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DieseArbeitsmappe"/>
  <bookViews>
    <workbookView xWindow="0" yWindow="0" windowWidth="13020" windowHeight="8196" tabRatio="605" activeTab="1"/>
  </bookViews>
  <sheets>
    <sheet name="UB2EZH" sheetId="38" r:id="rId1"/>
    <sheet name="MQ2E53" sheetId="29" r:id="rId2"/>
  </sheets>
  <calcPr calcId="125725"/>
</workbook>
</file>

<file path=xl/calcChain.xml><?xml version="1.0" encoding="utf-8"?>
<calcChain xmlns="http://schemas.openxmlformats.org/spreadsheetml/2006/main">
  <c r="B6" i="29"/>
  <c r="B6" i="38"/>
  <c r="B5"/>
  <c r="E1"/>
  <c r="B4"/>
  <c r="B19" s="1"/>
  <c r="B20" s="1"/>
  <c r="G3"/>
  <c r="B24"/>
  <c r="B25"/>
  <c r="B34" s="1"/>
  <c r="H4"/>
  <c r="G10"/>
  <c r="J10"/>
  <c r="M10" s="1"/>
  <c r="M11" s="1"/>
  <c r="M12" s="1"/>
  <c r="D11"/>
  <c r="G11"/>
  <c r="J11"/>
  <c r="J13"/>
  <c r="B4" i="29"/>
  <c r="B19" s="1"/>
  <c r="B20" s="1"/>
  <c r="B5"/>
  <c r="B24"/>
  <c r="B25"/>
  <c r="B34"/>
  <c r="E1"/>
  <c r="G11"/>
  <c r="J11"/>
  <c r="G10"/>
  <c r="J10"/>
  <c r="J13"/>
  <c r="D11"/>
  <c r="G3"/>
  <c r="H4"/>
  <c r="M10"/>
  <c r="M11" s="1"/>
  <c r="M12" s="1"/>
  <c r="I14"/>
  <c r="I14" i="38"/>
  <c r="O14" i="29"/>
  <c r="O14" i="38"/>
  <c r="L14" i="29"/>
  <c r="L14" i="38"/>
  <c r="B21" l="1"/>
  <c r="B22" s="1"/>
  <c r="G2"/>
  <c r="J2" s="1"/>
  <c r="B50"/>
  <c r="B50" i="29"/>
  <c r="B21"/>
  <c r="B22" s="1"/>
  <c r="G2"/>
  <c r="J2" s="1"/>
  <c r="D13"/>
  <c r="C14"/>
  <c r="D13" i="38"/>
  <c r="C14"/>
  <c r="B14" i="29"/>
  <c r="B14" i="38"/>
  <c r="C15" l="1"/>
  <c r="B27" s="1"/>
  <c r="B16"/>
  <c r="B33" s="1"/>
  <c r="B36" s="1"/>
  <c r="C23" i="29"/>
  <c r="B28"/>
  <c r="B31"/>
  <c r="B16"/>
  <c r="B33" s="1"/>
  <c r="B36" s="1"/>
  <c r="C15"/>
  <c r="B27" s="1"/>
  <c r="B31" i="38"/>
  <c r="C23"/>
  <c r="B28"/>
  <c r="B29" l="1"/>
  <c r="B37" s="1"/>
  <c r="H11" s="1"/>
  <c r="B29" i="29"/>
  <c r="B37" s="1"/>
  <c r="H11" s="1"/>
  <c r="B30" l="1"/>
  <c r="B39" s="1"/>
  <c r="B30" i="38"/>
  <c r="F29" s="1"/>
  <c r="K11" i="29"/>
  <c r="H3" i="38"/>
  <c r="F29" i="29"/>
  <c r="H13" i="38"/>
  <c r="K13" s="1"/>
  <c r="K14" s="1"/>
  <c r="H6"/>
  <c r="H6" i="29"/>
  <c r="H13"/>
  <c r="K13" s="1"/>
  <c r="K14" s="1"/>
  <c r="H3"/>
  <c r="B40" l="1"/>
  <c r="H2"/>
  <c r="K2" s="1"/>
  <c r="K3" s="1"/>
  <c r="F30"/>
  <c r="H10"/>
  <c r="H17" s="1"/>
  <c r="F23"/>
  <c r="F26" s="1"/>
  <c r="F23" i="38"/>
  <c r="F26" s="1"/>
  <c r="B40"/>
  <c r="B39"/>
  <c r="H10"/>
  <c r="H17" s="1"/>
  <c r="K11"/>
  <c r="F30"/>
  <c r="H2"/>
  <c r="K2" s="1"/>
  <c r="H5"/>
  <c r="H7" s="1"/>
  <c r="K3"/>
  <c r="K5" s="1"/>
  <c r="K7" s="1"/>
  <c r="K10" i="29"/>
  <c r="H18"/>
  <c r="H5"/>
  <c r="H7" s="1"/>
  <c r="K10" i="38" l="1"/>
  <c r="K12" s="1"/>
  <c r="K17" s="1"/>
  <c r="H20" s="1"/>
  <c r="H22" s="1"/>
  <c r="H18"/>
  <c r="H8" i="29"/>
  <c r="H8" i="38"/>
  <c r="K5" i="29"/>
  <c r="K7" s="1"/>
  <c r="K8" s="1"/>
  <c r="K12"/>
  <c r="K17" s="1"/>
  <c r="H20" s="1"/>
  <c r="H22" s="1"/>
  <c r="N10"/>
  <c r="K8" i="38"/>
  <c r="N10" l="1"/>
  <c r="N11" s="1"/>
  <c r="N12" i="29"/>
  <c r="N11"/>
  <c r="N12" i="38" l="1"/>
</calcChain>
</file>

<file path=xl/sharedStrings.xml><?xml version="1.0" encoding="utf-8"?>
<sst xmlns="http://schemas.openxmlformats.org/spreadsheetml/2006/main" count="126" uniqueCount="60">
  <si>
    <t>Schiebung</t>
  </si>
  <si>
    <t>Steuer</t>
  </si>
  <si>
    <t>Anleihe</t>
  </si>
  <si>
    <t>Tagesgeld</t>
  </si>
  <si>
    <t>2 jähriges Festgeld</t>
  </si>
  <si>
    <t>Zins</t>
  </si>
  <si>
    <t>Freibetrag</t>
  </si>
  <si>
    <t xml:space="preserve">Heute </t>
  </si>
  <si>
    <t>Kaufdatum</t>
  </si>
  <si>
    <t>Valutadatum Kauf</t>
  </si>
  <si>
    <t>Verkaufsdatum</t>
  </si>
  <si>
    <t>Valutadatum Verkauf</t>
  </si>
  <si>
    <t>Fälligkeitsdatum</t>
  </si>
  <si>
    <t>"gemeinsamer Nenner" - Anlage bis Ende 2011</t>
  </si>
  <si>
    <t>Kupon</t>
  </si>
  <si>
    <t>p.a.</t>
  </si>
  <si>
    <t>Kurs (heute)</t>
  </si>
  <si>
    <t>Rendite (heute)</t>
  </si>
  <si>
    <t>Kaufkurs</t>
  </si>
  <si>
    <t>Interner Zinsfuss</t>
  </si>
  <si>
    <t>Verkaufskurs</t>
  </si>
  <si>
    <t>Fälligkeitskurs</t>
  </si>
  <si>
    <t>Gewinn</t>
  </si>
  <si>
    <t>Risiko</t>
  </si>
  <si>
    <t>Stückzinstage (heute)</t>
  </si>
  <si>
    <t>Stückzinsen (heute)</t>
  </si>
  <si>
    <t>Stückzinstage Kauf</t>
  </si>
  <si>
    <t>Stückzinsen Kauf</t>
  </si>
  <si>
    <t>Kredit</t>
  </si>
  <si>
    <t>Anzahl Anteile</t>
  </si>
  <si>
    <t>Kreditsumme</t>
  </si>
  <si>
    <t>Stückzinstage Verkauf</t>
  </si>
  <si>
    <t>Zinssatz</t>
  </si>
  <si>
    <t>Stükzinsen Verkauf</t>
  </si>
  <si>
    <t>Tage</t>
  </si>
  <si>
    <t>Zinsen</t>
  </si>
  <si>
    <t>Anteile</t>
  </si>
  <si>
    <t>Stückzinsen</t>
  </si>
  <si>
    <t>Kosten</t>
  </si>
  <si>
    <t>Summe Kauf</t>
  </si>
  <si>
    <t xml:space="preserve">Kapitaleinnahmen </t>
  </si>
  <si>
    <t>Summe Verkauf</t>
  </si>
  <si>
    <t>Kapitaleinnnahmen (Kurs)</t>
  </si>
  <si>
    <t>Überschuss</t>
  </si>
  <si>
    <t>Basispreis</t>
  </si>
  <si>
    <t>Abstand Basispreis</t>
  </si>
  <si>
    <t>brief</t>
  </si>
  <si>
    <t>geld</t>
  </si>
  <si>
    <t>Stückzinseffizienz</t>
  </si>
  <si>
    <t>"Zeile 8"-Effizienz</t>
  </si>
  <si>
    <t>spread</t>
  </si>
  <si>
    <t>Kurs-Basiswert</t>
  </si>
  <si>
    <t>Emissionstag</t>
  </si>
  <si>
    <t>Basiswert (Kürzel)</t>
  </si>
  <si>
    <t>SKYD</t>
  </si>
  <si>
    <t>MQ2E53</t>
  </si>
  <si>
    <t>Kostenquote</t>
  </si>
  <si>
    <t>Inland</t>
  </si>
  <si>
    <t>UB2EZH</t>
  </si>
  <si>
    <t>VOW3</t>
  </si>
</sst>
</file>

<file path=xl/styles.xml><?xml version="1.0" encoding="utf-8"?>
<styleSheet xmlns="http://schemas.openxmlformats.org/spreadsheetml/2006/main">
  <numFmts count="12">
    <numFmt numFmtId="164" formatCode="dd/mm/yy"/>
    <numFmt numFmtId="165" formatCode="#,##0.00&quot; €&quot;"/>
    <numFmt numFmtId="166" formatCode="dd/mm/yy;@"/>
    <numFmt numFmtId="167" formatCode="#,##0.00\ [$€-1]"/>
    <numFmt numFmtId="168" formatCode="0.000%"/>
    <numFmt numFmtId="169" formatCode="0.000"/>
    <numFmt numFmtId="170" formatCode="#,##0.000\ [$€-1]"/>
    <numFmt numFmtId="171" formatCode="_-* #,##0.00\ _D_M_-;\-* #,##0.00\ _D_M_-;_-* \-??\ _D_M_-;_-@_-"/>
    <numFmt numFmtId="172" formatCode="0.0000"/>
    <numFmt numFmtId="173" formatCode="#,##0.00\ [$€-1];[Red]\-#,##0.00\ [$€-1]"/>
    <numFmt numFmtId="174" formatCode="#,##0.00\ [$€-1];[Red]#,##0.00\ [$€-1]"/>
    <numFmt numFmtId="179" formatCode="#,##0.00\ &quot;€&quot;"/>
  </numFmts>
  <fonts count="3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lightGrid">
        <bgColor indexed="22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71" fontId="2" fillId="0" borderId="0" applyFill="0" applyBorder="0" applyAlignment="0" applyProtection="0"/>
  </cellStyleXfs>
  <cellXfs count="80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0" fontId="0" fillId="0" borderId="0" xfId="0" applyNumberFormat="1"/>
    <xf numFmtId="164" fontId="0" fillId="0" borderId="1" xfId="0" applyNumberFormat="1" applyFont="1" applyBorder="1"/>
    <xf numFmtId="165" fontId="0" fillId="0" borderId="2" xfId="0" applyNumberFormat="1" applyBorder="1"/>
    <xf numFmtId="0" fontId="0" fillId="0" borderId="2" xfId="0" applyBorder="1"/>
    <xf numFmtId="166" fontId="0" fillId="0" borderId="2" xfId="0" applyNumberFormat="1" applyFont="1" applyBorder="1"/>
    <xf numFmtId="164" fontId="0" fillId="0" borderId="3" xfId="0" applyNumberFormat="1" applyBorder="1"/>
    <xf numFmtId="165" fontId="0" fillId="0" borderId="0" xfId="0" applyNumberFormat="1" applyBorder="1"/>
    <xf numFmtId="0" fontId="0" fillId="0" borderId="0" xfId="0" applyBorder="1"/>
    <xf numFmtId="166" fontId="0" fillId="0" borderId="0" xfId="0" applyNumberFormat="1" applyBorder="1"/>
    <xf numFmtId="0" fontId="1" fillId="0" borderId="0" xfId="0" applyFont="1"/>
    <xf numFmtId="164" fontId="1" fillId="0" borderId="0" xfId="0" applyNumberFormat="1" applyFont="1"/>
    <xf numFmtId="166" fontId="0" fillId="0" borderId="4" xfId="0" applyNumberFormat="1" applyBorder="1"/>
    <xf numFmtId="1" fontId="0" fillId="0" borderId="0" xfId="0" applyNumberFormat="1"/>
    <xf numFmtId="165" fontId="0" fillId="0" borderId="4" xfId="0" applyNumberFormat="1" applyBorder="1"/>
    <xf numFmtId="10" fontId="1" fillId="0" borderId="4" xfId="0" applyNumberFormat="1" applyFont="1" applyBorder="1"/>
    <xf numFmtId="169" fontId="0" fillId="0" borderId="0" xfId="0" applyNumberFormat="1"/>
    <xf numFmtId="3" fontId="0" fillId="0" borderId="0" xfId="0" applyNumberFormat="1"/>
    <xf numFmtId="170" fontId="0" fillId="0" borderId="0" xfId="0" applyNumberFormat="1"/>
    <xf numFmtId="0" fontId="0" fillId="0" borderId="0" xfId="0" applyFont="1"/>
    <xf numFmtId="165" fontId="0" fillId="0" borderId="0" xfId="0" applyNumberFormat="1" applyFont="1"/>
    <xf numFmtId="164" fontId="0" fillId="0" borderId="0" xfId="0" applyNumberFormat="1" applyFont="1"/>
    <xf numFmtId="166" fontId="0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7" fontId="0" fillId="0" borderId="0" xfId="0" applyNumberFormat="1" applyFont="1"/>
    <xf numFmtId="165" fontId="1" fillId="0" borderId="0" xfId="1" applyNumberFormat="1" applyFont="1" applyFill="1" applyBorder="1" applyAlignment="1" applyProtection="1"/>
    <xf numFmtId="167" fontId="1" fillId="0" borderId="0" xfId="0" applyNumberFormat="1" applyFont="1"/>
    <xf numFmtId="172" fontId="0" fillId="0" borderId="0" xfId="0" applyNumberFormat="1"/>
    <xf numFmtId="173" fontId="1" fillId="0" borderId="0" xfId="0" applyNumberFormat="1" applyFont="1"/>
    <xf numFmtId="174" fontId="0" fillId="0" borderId="0" xfId="0" applyNumberFormat="1"/>
    <xf numFmtId="10" fontId="1" fillId="0" borderId="0" xfId="0" applyNumberFormat="1" applyFont="1"/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5" xfId="0" applyBorder="1"/>
    <xf numFmtId="0" fontId="0" fillId="0" borderId="6" xfId="0" applyBorder="1"/>
    <xf numFmtId="165" fontId="0" fillId="0" borderId="6" xfId="0" applyNumberFormat="1" applyBorder="1"/>
    <xf numFmtId="164" fontId="0" fillId="0" borderId="6" xfId="0" applyNumberFormat="1" applyBorder="1"/>
    <xf numFmtId="10" fontId="0" fillId="0" borderId="6" xfId="0" applyNumberFormat="1" applyBorder="1"/>
    <xf numFmtId="164" fontId="0" fillId="0" borderId="0" xfId="0" applyNumberFormat="1" applyBorder="1"/>
    <xf numFmtId="165" fontId="2" fillId="0" borderId="6" xfId="1" applyNumberFormat="1" applyFont="1" applyFill="1" applyBorder="1" applyAlignment="1" applyProtection="1"/>
    <xf numFmtId="3" fontId="0" fillId="0" borderId="6" xfId="0" applyNumberFormat="1" applyBorder="1"/>
    <xf numFmtId="179" fontId="0" fillId="0" borderId="0" xfId="0" applyNumberFormat="1"/>
    <xf numFmtId="164" fontId="0" fillId="0" borderId="7" xfId="0" applyNumberFormat="1" applyBorder="1"/>
    <xf numFmtId="164" fontId="0" fillId="0" borderId="8" xfId="0" applyNumberFormat="1" applyBorder="1"/>
    <xf numFmtId="2" fontId="0" fillId="0" borderId="0" xfId="0" applyNumberFormat="1"/>
    <xf numFmtId="164" fontId="0" fillId="2" borderId="1" xfId="0" applyNumberFormat="1" applyFont="1" applyFill="1" applyBorder="1"/>
    <xf numFmtId="165" fontId="0" fillId="2" borderId="2" xfId="0" applyNumberFormat="1" applyFill="1" applyBorder="1"/>
    <xf numFmtId="0" fontId="0" fillId="2" borderId="2" xfId="0" applyFill="1" applyBorder="1"/>
    <xf numFmtId="166" fontId="0" fillId="2" borderId="2" xfId="0" applyNumberFormat="1" applyFont="1" applyFill="1" applyBorder="1"/>
    <xf numFmtId="165" fontId="0" fillId="2" borderId="9" xfId="0" applyNumberFormat="1" applyFill="1" applyBorder="1"/>
    <xf numFmtId="164" fontId="0" fillId="2" borderId="3" xfId="0" applyNumberFormat="1" applyFill="1" applyBorder="1"/>
    <xf numFmtId="165" fontId="0" fillId="2" borderId="0" xfId="0" applyNumberFormat="1" applyFill="1" applyBorder="1"/>
    <xf numFmtId="0" fontId="0" fillId="2" borderId="0" xfId="0" applyFill="1" applyBorder="1"/>
    <xf numFmtId="166" fontId="0" fillId="2" borderId="0" xfId="0" applyNumberFormat="1" applyFill="1" applyBorder="1"/>
    <xf numFmtId="165" fontId="0" fillId="2" borderId="10" xfId="0" applyNumberFormat="1" applyFill="1" applyBorder="1"/>
    <xf numFmtId="10" fontId="0" fillId="2" borderId="0" xfId="0" applyNumberFormat="1" applyFill="1" applyBorder="1"/>
    <xf numFmtId="2" fontId="0" fillId="2" borderId="0" xfId="0" applyNumberFormat="1" applyFill="1" applyBorder="1"/>
    <xf numFmtId="164" fontId="0" fillId="2" borderId="7" xfId="0" applyNumberFormat="1" applyFill="1" applyBorder="1"/>
    <xf numFmtId="165" fontId="1" fillId="2" borderId="4" xfId="0" applyNumberFormat="1" applyFont="1" applyFill="1" applyBorder="1"/>
    <xf numFmtId="0" fontId="0" fillId="2" borderId="4" xfId="0" applyFill="1" applyBorder="1"/>
    <xf numFmtId="166" fontId="0" fillId="2" borderId="4" xfId="0" applyNumberFormat="1" applyFill="1" applyBorder="1"/>
    <xf numFmtId="165" fontId="1" fillId="2" borderId="11" xfId="0" applyNumberFormat="1" applyFont="1" applyFill="1" applyBorder="1"/>
    <xf numFmtId="0" fontId="0" fillId="2" borderId="10" xfId="0" applyFill="1" applyBorder="1"/>
    <xf numFmtId="165" fontId="0" fillId="2" borderId="4" xfId="0" applyNumberFormat="1" applyFill="1" applyBorder="1"/>
    <xf numFmtId="10" fontId="1" fillId="2" borderId="11" xfId="0" applyNumberFormat="1" applyFont="1" applyFill="1" applyBorder="1"/>
    <xf numFmtId="0" fontId="1" fillId="2" borderId="0" xfId="0" applyFont="1" applyFill="1"/>
    <xf numFmtId="0" fontId="0" fillId="2" borderId="0" xfId="0" applyFill="1"/>
    <xf numFmtId="0" fontId="0" fillId="2" borderId="0" xfId="0" applyFont="1" applyFill="1"/>
    <xf numFmtId="165" fontId="0" fillId="2" borderId="0" xfId="0" applyNumberFormat="1" applyFont="1" applyFill="1"/>
    <xf numFmtId="10" fontId="0" fillId="2" borderId="0" xfId="0" applyNumberFormat="1" applyFont="1" applyFill="1"/>
    <xf numFmtId="1" fontId="0" fillId="2" borderId="0" xfId="0" applyNumberFormat="1" applyFont="1" applyFill="1"/>
    <xf numFmtId="165" fontId="0" fillId="2" borderId="0" xfId="0" applyNumberFormat="1" applyFill="1"/>
    <xf numFmtId="10" fontId="0" fillId="2" borderId="0" xfId="0" applyNumberFormat="1" applyFill="1"/>
    <xf numFmtId="164" fontId="0" fillId="2" borderId="0" xfId="0" applyNumberFormat="1" applyFill="1"/>
    <xf numFmtId="166" fontId="0" fillId="2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39"/>
  <dimension ref="A1:O53"/>
  <sheetViews>
    <sheetView topLeftCell="A16" zoomScaleNormal="76" workbookViewId="0">
      <selection activeCell="B23" sqref="B23"/>
    </sheetView>
  </sheetViews>
  <sheetFormatPr defaultColWidth="11.5546875" defaultRowHeight="13.2"/>
  <cols>
    <col min="1" max="1" width="25.44140625" customWidth="1"/>
    <col min="2" max="2" width="15.6640625" customWidth="1"/>
    <col min="3" max="3" width="11.6640625" customWidth="1"/>
    <col min="7" max="7" width="11.5546875" style="1" customWidth="1"/>
    <col min="8" max="8" width="11.5546875" style="2" customWidth="1"/>
    <col min="10" max="10" width="11.44140625" style="3" customWidth="1"/>
    <col min="11" max="11" width="11.44140625" style="2" customWidth="1"/>
    <col min="15" max="15" width="11.5546875" style="2" customWidth="1"/>
  </cols>
  <sheetData>
    <row r="1" spans="1:15">
      <c r="A1" t="s">
        <v>0</v>
      </c>
      <c r="B1" s="4">
        <v>650</v>
      </c>
      <c r="D1" t="s">
        <v>1</v>
      </c>
      <c r="E1" s="5">
        <f>25%*1.055</f>
        <v>0.26374999999999998</v>
      </c>
      <c r="G1" s="50" t="s">
        <v>2</v>
      </c>
      <c r="H1" s="51"/>
      <c r="I1" s="52"/>
      <c r="J1" s="53" t="s">
        <v>3</v>
      </c>
      <c r="K1" s="54"/>
      <c r="L1" s="71"/>
      <c r="M1" s="71" t="s">
        <v>4</v>
      </c>
      <c r="N1" s="71"/>
      <c r="O1" s="76"/>
    </row>
    <row r="2" spans="1:15" ht="13.8" thickBot="1">
      <c r="B2" s="4"/>
      <c r="D2" t="s">
        <v>5</v>
      </c>
      <c r="E2" s="5">
        <v>3.5000000000000003E-2</v>
      </c>
      <c r="G2" s="55">
        <f>B6</f>
        <v>40878</v>
      </c>
      <c r="H2" s="56">
        <f ca="1">B30</f>
        <v>-3653.3599144883951</v>
      </c>
      <c r="I2" s="57"/>
      <c r="J2" s="58">
        <f>G2</f>
        <v>40878</v>
      </c>
      <c r="K2" s="59">
        <f ca="1">H2</f>
        <v>-3653.3599144883951</v>
      </c>
      <c r="L2" s="71"/>
      <c r="M2" s="71"/>
      <c r="N2" s="71"/>
      <c r="O2" s="76"/>
    </row>
    <row r="3" spans="1:15" ht="14.4" thickTop="1" thickBot="1">
      <c r="A3" s="1" t="s">
        <v>52</v>
      </c>
      <c r="B3" s="41">
        <v>40407</v>
      </c>
      <c r="D3" t="s">
        <v>6</v>
      </c>
      <c r="E3" s="2">
        <v>801</v>
      </c>
      <c r="G3" s="55">
        <f>B8</f>
        <v>40904</v>
      </c>
      <c r="H3" s="56">
        <f ca="1">B36-MAX((B37-E3),0)*E1</f>
        <v>3655.2230099999997</v>
      </c>
      <c r="I3" s="57"/>
      <c r="J3" s="58">
        <v>40178</v>
      </c>
      <c r="K3" s="59">
        <f ca="1">-K2*E2*(J3-J2)/365*(1-E1)</f>
        <v>-180.54729536309861</v>
      </c>
      <c r="L3" s="71"/>
      <c r="M3" s="71"/>
      <c r="N3" s="71"/>
      <c r="O3" s="77">
        <v>3.3000000000000002E-2</v>
      </c>
    </row>
    <row r="4" spans="1:15" ht="13.8" thickTop="1">
      <c r="A4" s="1" t="s">
        <v>7</v>
      </c>
      <c r="B4" s="1">
        <f ca="1">TODAY()</f>
        <v>40863</v>
      </c>
      <c r="C4" s="1"/>
      <c r="D4" s="1" t="s">
        <v>57</v>
      </c>
      <c r="E4" s="17">
        <v>1</v>
      </c>
      <c r="F4" s="1"/>
      <c r="G4" s="55">
        <v>40390</v>
      </c>
      <c r="H4" s="56">
        <f>B1*E1</f>
        <v>171.4375</v>
      </c>
      <c r="I4" s="57"/>
      <c r="J4" s="58"/>
      <c r="K4" s="59"/>
      <c r="L4" s="71"/>
      <c r="M4" s="71"/>
      <c r="N4" s="71"/>
      <c r="O4" s="76"/>
    </row>
    <row r="5" spans="1:15" s="1" customFormat="1">
      <c r="A5" t="s">
        <v>8</v>
      </c>
      <c r="B5" s="43">
        <f>B7-28</f>
        <v>40876</v>
      </c>
      <c r="C5"/>
      <c r="D5"/>
      <c r="E5"/>
      <c r="F5"/>
      <c r="G5" s="55">
        <v>40543</v>
      </c>
      <c r="H5" s="56">
        <f ca="1">H3*E2*(G5-G3)/365*(1-E1)+H4*E2*(G5-G4)/365*(1-E1)</f>
        <v>-91.306487353433752</v>
      </c>
      <c r="I5" s="60"/>
      <c r="J5" s="58">
        <v>40543</v>
      </c>
      <c r="K5" s="59">
        <f ca="1">(-K2+K3)*E2*(J5-J3)/365*(1-E1)</f>
        <v>89.490040179085</v>
      </c>
      <c r="L5" s="77"/>
      <c r="M5" s="78"/>
      <c r="N5" s="78"/>
      <c r="O5" s="76"/>
    </row>
    <row r="6" spans="1:15" ht="13.8" thickBot="1">
      <c r="A6" s="14" t="s">
        <v>9</v>
      </c>
      <c r="B6" s="15">
        <f>$B5+2</f>
        <v>40878</v>
      </c>
      <c r="G6" s="55">
        <v>40755</v>
      </c>
      <c r="H6" s="56">
        <f ca="1">MAX(B37-E3,0)*E1</f>
        <v>0</v>
      </c>
      <c r="I6" s="57"/>
      <c r="J6" s="58"/>
      <c r="K6" s="59"/>
      <c r="L6" s="71"/>
      <c r="M6" s="71"/>
      <c r="N6" s="71"/>
      <c r="O6" s="76"/>
    </row>
    <row r="7" spans="1:15" ht="14.4" thickTop="1" thickBot="1">
      <c r="A7" t="s">
        <v>10</v>
      </c>
      <c r="B7" s="41">
        <v>40904</v>
      </c>
      <c r="G7" s="55">
        <v>40908</v>
      </c>
      <c r="H7" s="56">
        <f ca="1">SUM(H3:H5)*E2*(G7-G5)/365*(1-E1)+H6*E2*(G7-G6)/365*(1-E1)</f>
        <v>96.255403971073733</v>
      </c>
      <c r="I7" s="61"/>
      <c r="J7" s="58">
        <v>40908</v>
      </c>
      <c r="K7" s="59">
        <f ca="1">(-K2+K3+K5)*E2*(J7-J5)/365*(1-E1)</f>
        <v>91.796086651949793</v>
      </c>
      <c r="L7" s="71"/>
      <c r="M7" s="71"/>
      <c r="N7" s="76"/>
      <c r="O7" s="71"/>
    </row>
    <row r="8" spans="1:15" ht="14.4" thickTop="1" thickBot="1">
      <c r="A8" s="14" t="s">
        <v>11</v>
      </c>
      <c r="B8" s="15">
        <v>40904</v>
      </c>
      <c r="E8" s="25"/>
      <c r="F8" s="1"/>
      <c r="G8" s="62"/>
      <c r="H8" s="63">
        <f ca="1">H3+H4+H5+H6+H7</f>
        <v>3831.6094266176397</v>
      </c>
      <c r="I8" s="64"/>
      <c r="J8" s="65"/>
      <c r="K8" s="66">
        <f ca="1">-K2+K3+K4+K5+K7</f>
        <v>3654.0987459563312</v>
      </c>
      <c r="L8" s="71"/>
      <c r="M8" s="71"/>
      <c r="N8" s="76"/>
      <c r="O8" s="71"/>
    </row>
    <row r="9" spans="1:15" ht="14.4" thickTop="1" thickBot="1">
      <c r="A9" t="s">
        <v>12</v>
      </c>
      <c r="B9" s="41">
        <v>40904</v>
      </c>
      <c r="D9" s="17"/>
      <c r="E9" s="15"/>
      <c r="F9" s="23"/>
      <c r="G9" s="78" t="s">
        <v>13</v>
      </c>
      <c r="H9" s="76"/>
      <c r="I9" s="71"/>
      <c r="J9" s="79"/>
      <c r="K9" s="76"/>
      <c r="L9" s="71"/>
      <c r="M9" s="71"/>
      <c r="N9" s="76"/>
      <c r="O9" s="71"/>
    </row>
    <row r="10" spans="1:15" ht="14.4" thickTop="1" thickBot="1">
      <c r="B10" s="1"/>
      <c r="E10" s="14"/>
      <c r="F10" s="1"/>
      <c r="G10" s="6">
        <f>B5</f>
        <v>40876</v>
      </c>
      <c r="H10" s="7">
        <f ca="1">B30</f>
        <v>-3653.3599144883951</v>
      </c>
      <c r="I10" s="8"/>
      <c r="J10" s="9">
        <f>G10</f>
        <v>40876</v>
      </c>
      <c r="K10" s="7">
        <f ca="1">H10</f>
        <v>-3653.3599144883951</v>
      </c>
      <c r="L10" s="8"/>
      <c r="M10" s="53">
        <f>J10</f>
        <v>40876</v>
      </c>
      <c r="N10" s="51">
        <f ca="1">K10</f>
        <v>-3653.3599144883951</v>
      </c>
      <c r="O10" s="54"/>
    </row>
    <row r="11" spans="1:15" ht="14.4" thickTop="1" thickBot="1">
      <c r="A11" t="s">
        <v>14</v>
      </c>
      <c r="B11" s="42">
        <v>0.16039999999999999</v>
      </c>
      <c r="C11" t="s">
        <v>15</v>
      </c>
      <c r="D11" s="5">
        <f>B11*(B9-B3)/D19</f>
        <v>0.21840767123287669</v>
      </c>
      <c r="E11" s="14"/>
      <c r="F11" s="15"/>
      <c r="G11" s="10">
        <f>B9</f>
        <v>40904</v>
      </c>
      <c r="H11" s="11">
        <f ca="1">B36-B37*E1*E4</f>
        <v>3490.957174358814</v>
      </c>
      <c r="I11" s="12"/>
      <c r="J11" s="13">
        <f>G11</f>
        <v>40904</v>
      </c>
      <c r="K11" s="11">
        <f ca="1">-B30-B37*E1*E4</f>
        <v>3489.0940788472094</v>
      </c>
      <c r="L11" s="12"/>
      <c r="M11" s="58">
        <f>M10+365</f>
        <v>41241</v>
      </c>
      <c r="N11" s="56">
        <f ca="1">-N10*O3*(M11-M10)/365*(1-E1)</f>
        <v>88.762945822388673</v>
      </c>
      <c r="O11" s="67"/>
    </row>
    <row r="12" spans="1:15" ht="13.8" thickTop="1">
      <c r="B12" s="36" t="s">
        <v>47</v>
      </c>
      <c r="C12" s="37" t="s">
        <v>46</v>
      </c>
      <c r="D12" s="36" t="s">
        <v>50</v>
      </c>
      <c r="E12" s="14"/>
      <c r="F12" s="1"/>
      <c r="G12" s="10"/>
      <c r="H12" s="11"/>
      <c r="I12" s="12"/>
      <c r="J12" s="13">
        <v>40908</v>
      </c>
      <c r="K12" s="11">
        <f ca="1">-K10*E2*(J11-J10)/365*(1-E1)+(-K10-K11)*E2*(J12-J11)/365*(1-E1)</f>
        <v>7.2682800364656295</v>
      </c>
      <c r="L12" s="12"/>
      <c r="M12" s="58">
        <f>M11+365</f>
        <v>41606</v>
      </c>
      <c r="N12" s="56">
        <f ca="1">-N10*O3*(M12-M11)/365*(1-E1)-N10</f>
        <v>3742.1228603107838</v>
      </c>
      <c r="O12" s="67"/>
    </row>
    <row r="13" spans="1:15">
      <c r="A13" t="s">
        <v>16</v>
      </c>
      <c r="B13" s="2">
        <v>100.84</v>
      </c>
      <c r="C13" s="2">
        <v>101.04</v>
      </c>
      <c r="D13" s="5">
        <f>(C13-B13)/B13</f>
        <v>1.9833399444665095E-3</v>
      </c>
      <c r="E13" s="14"/>
      <c r="F13" s="1"/>
      <c r="G13" s="48">
        <v>41090</v>
      </c>
      <c r="H13" s="11">
        <f ca="1">B37*E1*E4</f>
        <v>164.26583564118576</v>
      </c>
      <c r="I13" s="12"/>
      <c r="J13" s="13">
        <f>G13</f>
        <v>41090</v>
      </c>
      <c r="K13" s="11">
        <f ca="1">H13</f>
        <v>164.26583564118576</v>
      </c>
      <c r="L13" s="12"/>
      <c r="M13" s="58"/>
      <c r="N13" s="56"/>
      <c r="O13" s="67"/>
    </row>
    <row r="14" spans="1:15">
      <c r="A14" t="s">
        <v>17</v>
      </c>
      <c r="B14" s="5">
        <f ca="1">(($B$17+$B$17*$B$11*($B$9-$B$3)/D19)/(B13+$B$20))^(D19/($B$9-$B$4))-1</f>
        <v>7.309869223560872E-2</v>
      </c>
      <c r="C14" s="5">
        <f ca="1">(($B$17+$B$17*$B$11*($B$9-$B$3)/D19)/(C13+$B$20))^(D19/($B$9-$B$4))-1</f>
        <v>5.7421191892587542E-2</v>
      </c>
      <c r="F14" s="1"/>
      <c r="G14" s="47"/>
      <c r="H14" s="18"/>
      <c r="I14" s="19" t="e">
        <f ca="1">_xll.XINTZINSFUSS(H10:H14,G10:G14,0.1)</f>
        <v>#NAME?</v>
      </c>
      <c r="J14" s="16">
        <v>41274</v>
      </c>
      <c r="K14" s="18">
        <f ca="1">K13*E2*(J13-J12)/365*(1-E1)</f>
        <v>2.1106640983466924</v>
      </c>
      <c r="L14" s="19" t="e">
        <f ca="1">_xll.XINTZINSFUSS(K10:K14,J10:J14,0.1)</f>
        <v>#NAME?</v>
      </c>
      <c r="M14" s="64"/>
      <c r="N14" s="68"/>
      <c r="O14" s="69" t="e">
        <f ca="1">_xll.XINTZINSFUSS(N10:N12,M10:M12,0.2)</f>
        <v>#NAME?</v>
      </c>
    </row>
    <row r="15" spans="1:15">
      <c r="A15" t="s">
        <v>18</v>
      </c>
      <c r="C15" s="46">
        <f ca="1">(($B$17+(($B$9-$B$3)/$D$19*$B$11*100))/(1+(($B$9-$B$5)/$D$19*$B$14))-(($B$5-$B$3)/$D$19*$B$11*100))*(1+$D$13)</f>
        <v>100.75047181627983</v>
      </c>
      <c r="D15">
        <v>100.95</v>
      </c>
      <c r="E15" s="46"/>
      <c r="G15" s="1" t="s">
        <v>19</v>
      </c>
    </row>
    <row r="16" spans="1:15">
      <c r="A16" t="s">
        <v>20</v>
      </c>
      <c r="B16" s="46">
        <f ca="1">(($B$17+(($B$9-$B$3)/$D$19*$B$11*100))/(1+(($B$9-$B$7)/$D$19*$B$14))-(($B$7-$B$3)/$D$19*$B$11*100))</f>
        <v>100</v>
      </c>
      <c r="C16" s="5"/>
      <c r="D16" s="2"/>
      <c r="E16" s="46"/>
    </row>
    <row r="17" spans="1:15">
      <c r="A17" t="s">
        <v>21</v>
      </c>
      <c r="B17" s="2">
        <v>100</v>
      </c>
      <c r="E17" s="20"/>
      <c r="F17" s="2"/>
      <c r="G17" s="1" t="s">
        <v>22</v>
      </c>
      <c r="H17" s="2">
        <f ca="1">SUM(H10:H14)</f>
        <v>1.8630955116045982</v>
      </c>
      <c r="J17" s="49" t="s">
        <v>22</v>
      </c>
      <c r="K17" s="2">
        <f ca="1">SUM(K10:K14)</f>
        <v>9.3789441348123468</v>
      </c>
    </row>
    <row r="18" spans="1:15" ht="13.8" thickBot="1">
      <c r="B18" s="4"/>
      <c r="G18" s="1" t="s">
        <v>23</v>
      </c>
      <c r="H18" s="2">
        <f ca="1">SUM(H10:H12)</f>
        <v>-162.40274012958116</v>
      </c>
    </row>
    <row r="19" spans="1:15" ht="14.4" thickTop="1" thickBot="1">
      <c r="A19" t="s">
        <v>24</v>
      </c>
      <c r="B19" s="21">
        <f ca="1">B4-B3</f>
        <v>456</v>
      </c>
      <c r="D19" s="39">
        <v>365</v>
      </c>
    </row>
    <row r="20" spans="1:15" ht="13.8" thickTop="1">
      <c r="A20" t="s">
        <v>25</v>
      </c>
      <c r="B20" s="22">
        <f ca="1">ROUND(100*B11*(B19/D19),6)</f>
        <v>20.039014000000002</v>
      </c>
      <c r="G20" s="1" t="s">
        <v>38</v>
      </c>
      <c r="H20" s="2">
        <f ca="1">K17-H17</f>
        <v>7.5158486232077486</v>
      </c>
    </row>
    <row r="21" spans="1:15">
      <c r="A21" t="s">
        <v>26</v>
      </c>
      <c r="B21" s="17">
        <f>B6-B3</f>
        <v>471</v>
      </c>
    </row>
    <row r="22" spans="1:15" ht="13.8" thickBot="1">
      <c r="A22" t="s">
        <v>27</v>
      </c>
      <c r="B22" s="22">
        <f>ROUND(100*B11*(B21/D19),6)</f>
        <v>20.698191999999999</v>
      </c>
      <c r="C22" s="22"/>
      <c r="E22" s="70" t="s">
        <v>28</v>
      </c>
      <c r="F22" s="71">
        <v>0</v>
      </c>
      <c r="G22" s="1" t="s">
        <v>56</v>
      </c>
      <c r="H22" s="5">
        <f ca="1">-H20/(B31*E1)</f>
        <v>4.5891461637503454E-2</v>
      </c>
    </row>
    <row r="23" spans="1:15" ht="14.4" thickTop="1" thickBot="1">
      <c r="A23" t="s">
        <v>29</v>
      </c>
      <c r="B23" s="45">
        <v>30</v>
      </c>
      <c r="C23" s="20">
        <f>B1/B22</f>
        <v>31.403709077585138</v>
      </c>
      <c r="D23" s="23"/>
      <c r="E23" s="72" t="s">
        <v>30</v>
      </c>
      <c r="F23" s="73">
        <f ca="1">-ROUNDDOWN(B30,-3)*F22</f>
        <v>0</v>
      </c>
    </row>
    <row r="24" spans="1:15" ht="13.8" thickTop="1">
      <c r="A24" t="s">
        <v>31</v>
      </c>
      <c r="B24" s="21">
        <f>B8-B3</f>
        <v>497</v>
      </c>
      <c r="D24" s="14"/>
      <c r="E24" s="72" t="s">
        <v>32</v>
      </c>
      <c r="F24" s="74">
        <v>6.9900000000000004E-2</v>
      </c>
    </row>
    <row r="25" spans="1:15">
      <c r="A25" t="s">
        <v>33</v>
      </c>
      <c r="B25" s="22">
        <f>ROUND(100*B11*(B24/D19),6)</f>
        <v>21.840767</v>
      </c>
      <c r="C25" s="23"/>
      <c r="E25" s="72" t="s">
        <v>34</v>
      </c>
      <c r="F25" s="75">
        <v>10</v>
      </c>
      <c r="G25" s="25"/>
      <c r="H25" s="24"/>
      <c r="I25" s="23"/>
      <c r="J25" s="26"/>
      <c r="K25" s="24"/>
      <c r="L25" s="23"/>
      <c r="M25" s="23"/>
      <c r="N25" s="23"/>
      <c r="O25" s="24"/>
    </row>
    <row r="26" spans="1:15" s="23" customFormat="1">
      <c r="A26"/>
      <c r="B26" s="21"/>
      <c r="C26" s="14"/>
      <c r="D26" s="14"/>
      <c r="E26" s="72" t="s">
        <v>35</v>
      </c>
      <c r="F26" s="73">
        <f ca="1">F23*F24*F25/365</f>
        <v>0</v>
      </c>
      <c r="G26" s="15"/>
      <c r="H26" s="27"/>
      <c r="I26" s="14"/>
      <c r="J26" s="28"/>
      <c r="K26" s="27"/>
      <c r="L26" s="14"/>
      <c r="M26" s="14"/>
      <c r="N26" s="14"/>
      <c r="O26" s="27"/>
    </row>
    <row r="27" spans="1:15" s="14" customFormat="1">
      <c r="A27" t="s">
        <v>36</v>
      </c>
      <c r="B27" s="2">
        <f ca="1">-B23*C15</f>
        <v>-3022.514154488395</v>
      </c>
      <c r="C27"/>
      <c r="D27"/>
      <c r="E27"/>
      <c r="F27"/>
      <c r="G27" s="1"/>
      <c r="H27" s="2"/>
      <c r="I27"/>
      <c r="J27" s="3"/>
      <c r="K27" s="2"/>
      <c r="L27"/>
      <c r="M27"/>
      <c r="N27"/>
      <c r="O27" s="2"/>
    </row>
    <row r="28" spans="1:15" ht="13.8" thickBot="1">
      <c r="A28" t="s">
        <v>37</v>
      </c>
      <c r="B28" s="29">
        <f>-B23*B22</f>
        <v>-620.94575999999995</v>
      </c>
      <c r="C28" s="14"/>
      <c r="E28" s="22"/>
      <c r="G28" s="15"/>
      <c r="H28" s="27"/>
      <c r="I28" s="14"/>
      <c r="J28" s="28"/>
      <c r="K28" s="27"/>
      <c r="L28" s="14"/>
      <c r="M28" s="14"/>
      <c r="N28" s="14"/>
      <c r="O28" s="27"/>
    </row>
    <row r="29" spans="1:15" s="14" customFormat="1" ht="14.4" thickTop="1" thickBot="1">
      <c r="A29" s="23" t="s">
        <v>38</v>
      </c>
      <c r="B29" s="44">
        <f ca="1">-ROUND(IF(0.0025*(-B27)&lt;9.9,9.9,IF(0.0025*(-B27)&gt;39.9,39.9,0.0025*(-B27))),2)</f>
        <v>-9.9</v>
      </c>
      <c r="C29"/>
      <c r="D29" t="s">
        <v>48</v>
      </c>
      <c r="E29" s="2"/>
      <c r="F29" s="5">
        <f ca="1">B31/B30</f>
        <v>0.16996566846246661</v>
      </c>
      <c r="G29" s="1"/>
      <c r="H29" s="2"/>
      <c r="I29"/>
      <c r="J29" s="3"/>
      <c r="K29" s="2"/>
      <c r="L29"/>
      <c r="M29"/>
      <c r="N29"/>
      <c r="O29" s="2"/>
    </row>
    <row r="30" spans="1:15" ht="13.8" thickTop="1">
      <c r="A30" s="14" t="s">
        <v>39</v>
      </c>
      <c r="B30" s="30">
        <f ca="1">SUM(B27:B29)</f>
        <v>-3653.3599144883951</v>
      </c>
      <c r="D30" t="s">
        <v>49</v>
      </c>
      <c r="F30" s="5">
        <f ca="1">-B37/B30</f>
        <v>0.1704756361511732</v>
      </c>
    </row>
    <row r="31" spans="1:15">
      <c r="A31" s="14" t="s">
        <v>40</v>
      </c>
      <c r="B31" s="31">
        <f>-B23*B22</f>
        <v>-620.94575999999995</v>
      </c>
      <c r="F31" s="5"/>
    </row>
    <row r="32" spans="1:15">
      <c r="B32" s="4"/>
    </row>
    <row r="33" spans="1:15">
      <c r="A33" t="s">
        <v>36</v>
      </c>
      <c r="B33" s="2">
        <f ca="1">$B$16*$B$23</f>
        <v>3000</v>
      </c>
      <c r="C33" s="14"/>
      <c r="D33" s="14"/>
      <c r="E33" s="14"/>
      <c r="F33" s="14"/>
      <c r="G33" s="15"/>
      <c r="H33" s="27"/>
      <c r="I33" s="14"/>
      <c r="J33" s="28"/>
      <c r="K33" s="27"/>
      <c r="L33" s="14"/>
      <c r="M33" s="14"/>
      <c r="N33" s="14"/>
      <c r="O33" s="27"/>
    </row>
    <row r="34" spans="1:15" s="14" customFormat="1" ht="13.8" thickBot="1">
      <c r="A34" t="s">
        <v>37</v>
      </c>
      <c r="B34" s="2">
        <f>B23*B25</f>
        <v>655.22300999999993</v>
      </c>
      <c r="C34"/>
      <c r="G34" s="1"/>
      <c r="H34" s="2"/>
      <c r="I34"/>
      <c r="J34" s="3"/>
      <c r="K34" s="2"/>
      <c r="L34"/>
      <c r="M34"/>
      <c r="N34"/>
      <c r="O34" s="2"/>
    </row>
    <row r="35" spans="1:15" ht="14.4" thickTop="1" thickBot="1">
      <c r="A35" t="s">
        <v>38</v>
      </c>
      <c r="B35" s="44">
        <v>0</v>
      </c>
      <c r="C35" s="14"/>
      <c r="G35" s="15"/>
      <c r="H35" s="27"/>
      <c r="I35" s="14"/>
      <c r="J35" s="28"/>
      <c r="K35" s="27"/>
      <c r="L35" s="14"/>
      <c r="M35" s="14"/>
      <c r="N35" s="14"/>
      <c r="O35" s="27"/>
    </row>
    <row r="36" spans="1:15" s="14" customFormat="1" ht="13.8" thickTop="1">
      <c r="A36" s="14" t="s">
        <v>41</v>
      </c>
      <c r="B36" s="27">
        <f ca="1">SUM(B33:B35)</f>
        <v>3655.2230099999997</v>
      </c>
      <c r="G36" s="15"/>
      <c r="H36" s="27"/>
      <c r="J36" s="28"/>
      <c r="K36" s="27"/>
      <c r="O36" s="27"/>
    </row>
    <row r="37" spans="1:15" s="14" customFormat="1">
      <c r="A37" s="14" t="s">
        <v>42</v>
      </c>
      <c r="B37" s="31">
        <f ca="1">B27+B29+B33+B35+B34</f>
        <v>622.80885551160486</v>
      </c>
      <c r="C37"/>
      <c r="D37"/>
      <c r="E37"/>
      <c r="F37" s="32"/>
      <c r="G37" s="1"/>
      <c r="H37" s="2"/>
      <c r="I37"/>
      <c r="J37" s="3"/>
      <c r="K37" s="2"/>
      <c r="L37"/>
      <c r="M37"/>
      <c r="N37"/>
      <c r="O37" s="2"/>
    </row>
    <row r="38" spans="1:15">
      <c r="C38" s="14"/>
      <c r="G38" s="15"/>
      <c r="H38" s="27"/>
      <c r="I38" s="14"/>
      <c r="J38" s="28"/>
      <c r="K38" s="27"/>
      <c r="L38" s="14"/>
      <c r="M38" s="14"/>
      <c r="N38" s="14"/>
      <c r="O38" s="27"/>
    </row>
    <row r="39" spans="1:15" s="14" customFormat="1">
      <c r="A39" s="14" t="s">
        <v>43</v>
      </c>
      <c r="B39" s="33">
        <f ca="1">B30+B36</f>
        <v>1.8630955116045698</v>
      </c>
      <c r="C39"/>
      <c r="D39"/>
      <c r="E39"/>
      <c r="F39"/>
      <c r="G39" s="1"/>
      <c r="H39" s="2"/>
      <c r="I39"/>
      <c r="J39" s="3"/>
      <c r="K39" s="2"/>
      <c r="L39"/>
      <c r="M39"/>
      <c r="N39"/>
      <c r="O39" s="2"/>
    </row>
    <row r="40" spans="1:15">
      <c r="B40" s="5">
        <f ca="1">(-B36/B30)^(365/(B8-B6))-1</f>
        <v>7.1830118877587168E-3</v>
      </c>
    </row>
    <row r="41" spans="1:15" ht="13.8" thickBot="1">
      <c r="B41" s="34"/>
    </row>
    <row r="42" spans="1:15" ht="13.8" thickBot="1">
      <c r="B42" s="38" t="s">
        <v>58</v>
      </c>
    </row>
    <row r="43" spans="1:15" ht="13.8" thickBot="1"/>
    <row r="44" spans="1:15" ht="14.4" thickTop="1" thickBot="1">
      <c r="A44" t="s">
        <v>53</v>
      </c>
      <c r="B44" s="39" t="s">
        <v>59</v>
      </c>
    </row>
    <row r="45" spans="1:15" ht="13.8" thickTop="1"/>
    <row r="46" spans="1:15">
      <c r="A46" s="2" t="s">
        <v>51</v>
      </c>
      <c r="B46" s="11">
        <v>125.05</v>
      </c>
      <c r="D46" s="2"/>
      <c r="E46" s="2"/>
      <c r="F46" s="2"/>
    </row>
    <row r="47" spans="1:15" ht="13.8" thickBot="1"/>
    <row r="48" spans="1:15" ht="14.4" thickTop="1" thickBot="1">
      <c r="A48" s="2" t="s">
        <v>44</v>
      </c>
      <c r="B48" s="40">
        <v>88</v>
      </c>
      <c r="C48" s="2"/>
      <c r="D48" s="2"/>
      <c r="E48" s="2"/>
      <c r="F48" s="2"/>
      <c r="I48" s="2"/>
      <c r="L48" s="2"/>
      <c r="M48" s="2"/>
      <c r="N48" s="2"/>
    </row>
    <row r="49" spans="1:15" s="2" customFormat="1" ht="13.8" thickTop="1">
      <c r="A49"/>
      <c r="B49"/>
      <c r="C49"/>
      <c r="D49"/>
      <c r="E49"/>
      <c r="F49"/>
      <c r="G49" s="1"/>
      <c r="I49"/>
      <c r="J49" s="3"/>
      <c r="L49"/>
      <c r="M49"/>
      <c r="N49"/>
    </row>
    <row r="50" spans="1:15">
      <c r="A50" s="35" t="s">
        <v>45</v>
      </c>
      <c r="B50" s="35">
        <f>(B46-B48)/B46</f>
        <v>0.29628148740503796</v>
      </c>
      <c r="C50" s="2"/>
      <c r="D50" s="35"/>
      <c r="E50" s="35"/>
      <c r="F50" s="35"/>
      <c r="I50" s="2"/>
      <c r="L50" s="2"/>
      <c r="M50" s="2"/>
      <c r="N50" s="2"/>
    </row>
    <row r="51" spans="1:15" s="2" customFormat="1">
      <c r="A51"/>
      <c r="B51"/>
      <c r="C51"/>
      <c r="D51"/>
      <c r="E51"/>
      <c r="F51"/>
      <c r="G51" s="1"/>
      <c r="I51"/>
      <c r="J51" s="3"/>
      <c r="L51"/>
      <c r="M51"/>
      <c r="N51"/>
    </row>
    <row r="52" spans="1:15">
      <c r="C52" s="35"/>
      <c r="G52" s="15"/>
      <c r="H52" s="27"/>
      <c r="I52" s="35"/>
      <c r="J52" s="28"/>
      <c r="K52" s="27"/>
      <c r="L52" s="35"/>
      <c r="M52" s="35"/>
      <c r="N52" s="35"/>
      <c r="O52" s="27"/>
    </row>
    <row r="53" spans="1:15" s="35" customFormat="1">
      <c r="A53"/>
      <c r="B53"/>
      <c r="C53"/>
      <c r="D53"/>
      <c r="E53"/>
      <c r="F53"/>
      <c r="G53" s="1"/>
      <c r="H53" s="2"/>
      <c r="I53"/>
      <c r="J53" s="3"/>
      <c r="K53" s="2"/>
      <c r="L53"/>
      <c r="M53"/>
      <c r="N53"/>
      <c r="O53" s="2"/>
    </row>
  </sheetData>
  <phoneticPr fontId="0" type="noConversion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4"/>
  <dimension ref="A1:O53"/>
  <sheetViews>
    <sheetView tabSelected="1" zoomScaleNormal="76" workbookViewId="0">
      <selection activeCell="B16" sqref="B16"/>
    </sheetView>
  </sheetViews>
  <sheetFormatPr defaultColWidth="11.5546875" defaultRowHeight="13.2"/>
  <cols>
    <col min="1" max="1" width="25.44140625" customWidth="1"/>
    <col min="2" max="2" width="15.6640625" customWidth="1"/>
    <col min="3" max="3" width="11.6640625" customWidth="1"/>
    <col min="7" max="7" width="11.5546875" style="1" customWidth="1"/>
    <col min="8" max="8" width="11.5546875" style="2" customWidth="1"/>
    <col min="10" max="10" width="11.44140625" style="3" customWidth="1"/>
    <col min="11" max="11" width="11.44140625" style="2" customWidth="1"/>
    <col min="15" max="15" width="11.5546875" style="2" customWidth="1"/>
  </cols>
  <sheetData>
    <row r="1" spans="1:15">
      <c r="A1" t="s">
        <v>0</v>
      </c>
      <c r="B1" s="4">
        <v>650</v>
      </c>
      <c r="D1" t="s">
        <v>1</v>
      </c>
      <c r="E1" s="5">
        <f>25%*1.055</f>
        <v>0.26374999999999998</v>
      </c>
      <c r="G1" s="50" t="s">
        <v>2</v>
      </c>
      <c r="H1" s="51"/>
      <c r="I1" s="52"/>
      <c r="J1" s="53" t="s">
        <v>3</v>
      </c>
      <c r="K1" s="54"/>
      <c r="L1" s="71"/>
      <c r="M1" s="71" t="s">
        <v>4</v>
      </c>
      <c r="N1" s="71"/>
      <c r="O1" s="76"/>
    </row>
    <row r="2" spans="1:15" ht="13.8" thickBot="1">
      <c r="B2" s="4"/>
      <c r="D2" t="s">
        <v>5</v>
      </c>
      <c r="E2" s="5">
        <v>3.5000000000000003E-2</v>
      </c>
      <c r="G2" s="55">
        <f>B6</f>
        <v>40874</v>
      </c>
      <c r="H2" s="56">
        <f ca="1">B30</f>
        <v>-3728.8954020803149</v>
      </c>
      <c r="I2" s="57"/>
      <c r="J2" s="58">
        <f>G2</f>
        <v>40874</v>
      </c>
      <c r="K2" s="59">
        <f ca="1">H2</f>
        <v>-3728.8954020803149</v>
      </c>
      <c r="L2" s="71"/>
      <c r="M2" s="71"/>
      <c r="N2" s="71"/>
      <c r="O2" s="76"/>
    </row>
    <row r="3" spans="1:15" ht="14.4" thickTop="1" thickBot="1">
      <c r="A3" s="1" t="s">
        <v>52</v>
      </c>
      <c r="B3" s="41">
        <v>40486</v>
      </c>
      <c r="D3" t="s">
        <v>6</v>
      </c>
      <c r="E3" s="2">
        <v>801</v>
      </c>
      <c r="G3" s="55">
        <f>B8</f>
        <v>40900</v>
      </c>
      <c r="H3" s="56">
        <f ca="1">B36-MAX((B37-E3),0)*E1</f>
        <v>3723.0821999999998</v>
      </c>
      <c r="I3" s="57"/>
      <c r="J3" s="58">
        <v>40178</v>
      </c>
      <c r="K3" s="59">
        <f ca="1">-K2*E2*(J3-J2)/365*(1-E1)</f>
        <v>-183.22719309885088</v>
      </c>
      <c r="L3" s="71"/>
      <c r="M3" s="71"/>
      <c r="N3" s="71"/>
      <c r="O3" s="77">
        <v>3.3000000000000002E-2</v>
      </c>
    </row>
    <row r="4" spans="1:15" ht="13.8" thickTop="1">
      <c r="A4" s="1" t="s">
        <v>7</v>
      </c>
      <c r="B4" s="1">
        <f ca="1">TODAY()</f>
        <v>40863</v>
      </c>
      <c r="C4" s="1"/>
      <c r="D4" s="1" t="s">
        <v>57</v>
      </c>
      <c r="E4" s="17">
        <v>1</v>
      </c>
      <c r="F4" s="1"/>
      <c r="G4" s="55">
        <v>40390</v>
      </c>
      <c r="H4" s="56">
        <f>B1*E1</f>
        <v>171.4375</v>
      </c>
      <c r="I4" s="57"/>
      <c r="J4" s="58"/>
      <c r="K4" s="59"/>
      <c r="L4" s="71"/>
      <c r="M4" s="71"/>
      <c r="N4" s="71"/>
      <c r="O4" s="76"/>
    </row>
    <row r="5" spans="1:15" s="1" customFormat="1">
      <c r="A5" t="s">
        <v>8</v>
      </c>
      <c r="B5" s="43">
        <f>B7-28</f>
        <v>40872</v>
      </c>
      <c r="C5"/>
      <c r="D5"/>
      <c r="E5"/>
      <c r="F5"/>
      <c r="G5" s="55">
        <v>40543</v>
      </c>
      <c r="H5" s="56">
        <f ca="1">H3*E2*(G5-G3)/365*(1-E1)+H4*E2*(G5-G4)/365*(1-E1)</f>
        <v>-91.984582393351047</v>
      </c>
      <c r="I5" s="60"/>
      <c r="J5" s="58">
        <v>40543</v>
      </c>
      <c r="K5" s="59">
        <f ca="1">(-K2+K3)*E2*(J5-J3)/365*(1-E1)</f>
        <v>91.367437660191115</v>
      </c>
      <c r="L5" s="77"/>
      <c r="M5" s="78"/>
      <c r="N5" s="78"/>
      <c r="O5" s="76"/>
    </row>
    <row r="6" spans="1:15" ht="13.8" thickBot="1">
      <c r="A6" s="14" t="s">
        <v>9</v>
      </c>
      <c r="B6" s="15">
        <f>$B5+2</f>
        <v>40874</v>
      </c>
      <c r="G6" s="55">
        <v>40755</v>
      </c>
      <c r="H6" s="56">
        <f ca="1">MAX(B37-E3,0)*E1</f>
        <v>0</v>
      </c>
      <c r="I6" s="57"/>
      <c r="J6" s="58"/>
      <c r="K6" s="59"/>
      <c r="L6" s="71"/>
      <c r="M6" s="71"/>
      <c r="N6" s="71"/>
      <c r="O6" s="76"/>
    </row>
    <row r="7" spans="1:15" ht="14.4" thickTop="1" thickBot="1">
      <c r="A7" t="s">
        <v>10</v>
      </c>
      <c r="B7" s="41">
        <v>40900</v>
      </c>
      <c r="G7" s="55">
        <v>40908</v>
      </c>
      <c r="H7" s="56">
        <f ca="1">SUM(H3:H5)*E2*(G7-G5)/365*(1-E1)+H6*E2*(G7-G6)/365*(1-E1)</f>
        <v>97.986576811826339</v>
      </c>
      <c r="I7" s="61"/>
      <c r="J7" s="58">
        <v>40908</v>
      </c>
      <c r="K7" s="59">
        <f ca="1">(-K2+K3+K5)*E2*(J7-J5)/365*(1-E1)</f>
        <v>93.721862319397175</v>
      </c>
      <c r="L7" s="71"/>
      <c r="M7" s="71"/>
      <c r="N7" s="76"/>
      <c r="O7" s="71"/>
    </row>
    <row r="8" spans="1:15" ht="14.4" thickTop="1" thickBot="1">
      <c r="A8" s="14" t="s">
        <v>11</v>
      </c>
      <c r="B8" s="15">
        <v>40900</v>
      </c>
      <c r="E8" s="25"/>
      <c r="F8" s="1"/>
      <c r="G8" s="62"/>
      <c r="H8" s="63">
        <f ca="1">H3+H4+H5+H6+H7</f>
        <v>3900.5216944184749</v>
      </c>
      <c r="I8" s="64"/>
      <c r="J8" s="65"/>
      <c r="K8" s="66">
        <f ca="1">-K2+K3+K4+K5+K7</f>
        <v>3730.7575089610523</v>
      </c>
      <c r="L8" s="71"/>
      <c r="M8" s="71"/>
      <c r="N8" s="76"/>
      <c r="O8" s="71"/>
    </row>
    <row r="9" spans="1:15" ht="14.4" thickTop="1" thickBot="1">
      <c r="A9" t="s">
        <v>12</v>
      </c>
      <c r="B9" s="41">
        <v>40900</v>
      </c>
      <c r="D9" s="17"/>
      <c r="E9" s="15"/>
      <c r="F9" s="23"/>
      <c r="G9" s="78" t="s">
        <v>13</v>
      </c>
      <c r="H9" s="76"/>
      <c r="I9" s="71"/>
      <c r="J9" s="79"/>
      <c r="K9" s="76"/>
      <c r="L9" s="71"/>
      <c r="M9" s="71"/>
      <c r="N9" s="76"/>
      <c r="O9" s="71"/>
    </row>
    <row r="10" spans="1:15" ht="14.4" thickTop="1" thickBot="1">
      <c r="B10" s="1"/>
      <c r="E10" s="14"/>
      <c r="F10" s="1"/>
      <c r="G10" s="6">
        <f>B5</f>
        <v>40872</v>
      </c>
      <c r="H10" s="7">
        <f ca="1">B30</f>
        <v>-3728.8954020803149</v>
      </c>
      <c r="I10" s="8"/>
      <c r="J10" s="9">
        <f>G10</f>
        <v>40872</v>
      </c>
      <c r="K10" s="7">
        <f ca="1">H10</f>
        <v>-3728.8954020803149</v>
      </c>
      <c r="L10" s="8"/>
      <c r="M10" s="53">
        <f>J10</f>
        <v>40872</v>
      </c>
      <c r="N10" s="51">
        <f ca="1">K10</f>
        <v>-3728.8954020803149</v>
      </c>
      <c r="O10" s="54"/>
    </row>
    <row r="11" spans="1:15" ht="14.4" thickTop="1" thickBot="1">
      <c r="A11" t="s">
        <v>14</v>
      </c>
      <c r="B11" s="42">
        <v>0.21249999999999999</v>
      </c>
      <c r="C11" t="s">
        <v>15</v>
      </c>
      <c r="D11" s="5">
        <f>B11*(B9-B3)/D19</f>
        <v>0.24102739726027395</v>
      </c>
      <c r="E11" s="14"/>
      <c r="F11" s="15"/>
      <c r="G11" s="10">
        <f>B9</f>
        <v>40900</v>
      </c>
      <c r="H11" s="11">
        <f ca="1">B36-B37*E1*E4</f>
        <v>3545.8796451361827</v>
      </c>
      <c r="I11" s="12"/>
      <c r="J11" s="13">
        <f>G11</f>
        <v>40900</v>
      </c>
      <c r="K11" s="11">
        <f ca="1">-B30-B37*E1*E4</f>
        <v>3551.6928472164977</v>
      </c>
      <c r="L11" s="12"/>
      <c r="M11" s="58">
        <f>M10+365</f>
        <v>41237</v>
      </c>
      <c r="N11" s="56">
        <f ca="1">-N10*O3*(M11-M10)/365*(1-E1)</f>
        <v>90.598174912793866</v>
      </c>
      <c r="O11" s="67"/>
    </row>
    <row r="12" spans="1:15" ht="13.8" thickTop="1">
      <c r="B12" s="36" t="s">
        <v>47</v>
      </c>
      <c r="C12" s="37" t="s">
        <v>46</v>
      </c>
      <c r="D12" s="36" t="s">
        <v>50</v>
      </c>
      <c r="E12" s="14"/>
      <c r="F12" s="1"/>
      <c r="G12" s="10"/>
      <c r="H12" s="11"/>
      <c r="I12" s="12"/>
      <c r="J12" s="13">
        <v>40908</v>
      </c>
      <c r="K12" s="11">
        <f ca="1">-K10*E2*(J11-J10)/365*(1-E1)+(-K10-K11)*E2*(J12-J11)/365*(1-E1)</f>
        <v>7.4712919497840424</v>
      </c>
      <c r="L12" s="12"/>
      <c r="M12" s="58">
        <f>M11+365</f>
        <v>41602</v>
      </c>
      <c r="N12" s="56">
        <f ca="1">-N10*O3*(M12-M11)/365*(1-E1)-N10</f>
        <v>3819.4935769931089</v>
      </c>
      <c r="O12" s="67"/>
    </row>
    <row r="13" spans="1:15">
      <c r="A13" t="s">
        <v>16</v>
      </c>
      <c r="B13" s="2">
        <v>101.57</v>
      </c>
      <c r="C13" s="2">
        <v>101.77</v>
      </c>
      <c r="D13" s="5">
        <f>(C13-B13)/B13</f>
        <v>1.9690853598503776E-3</v>
      </c>
      <c r="E13" s="14"/>
      <c r="F13" s="1"/>
      <c r="G13" s="48">
        <v>41090</v>
      </c>
      <c r="H13" s="11">
        <f ca="1">B37*E1*E4</f>
        <v>177.20255486381694</v>
      </c>
      <c r="I13" s="12"/>
      <c r="J13" s="13">
        <f>G13</f>
        <v>41090</v>
      </c>
      <c r="K13" s="11">
        <f ca="1">H13</f>
        <v>177.20255486381694</v>
      </c>
      <c r="L13" s="12"/>
      <c r="M13" s="58"/>
      <c r="N13" s="56"/>
      <c r="O13" s="67"/>
    </row>
    <row r="14" spans="1:15">
      <c r="A14" t="s">
        <v>17</v>
      </c>
      <c r="B14" s="5">
        <f ca="1">(($B$17+$B$17*$B$11*($B$9-$B$3)/D19)/(B13+$B$20))^(D19/($B$9-$B$4))-1</f>
        <v>4.7640194757424315E-2</v>
      </c>
      <c r="C14" s="5">
        <f ca="1">(($B$17+$B$17*$B$11*($B$9-$B$3)/D19)/(C13+$B$20))^(D19/($B$9-$B$4))-1</f>
        <v>3.1052411143692948E-2</v>
      </c>
      <c r="F14" s="1"/>
      <c r="G14" s="47"/>
      <c r="H14" s="18"/>
      <c r="I14" s="19" t="e">
        <f ca="1">XINTZINSFUSS(H10:H14,G10:G14,0.1)</f>
        <v>#NAME?</v>
      </c>
      <c r="J14" s="16">
        <v>41274</v>
      </c>
      <c r="K14" s="18">
        <f ca="1">K13*E2*(J13-J12)/365*(1-E1)</f>
        <v>2.2768889783226052</v>
      </c>
      <c r="L14" s="19" t="e">
        <f ca="1">_xll.XINTZINSFUSS(K10:K14,J10:J14,0.1)</f>
        <v>#NAME?</v>
      </c>
      <c r="M14" s="64"/>
      <c r="N14" s="68"/>
      <c r="O14" s="69" t="e">
        <f ca="1">_xll.XINTZINSFUSS(N10:N12,M10:M12,0.2)</f>
        <v>#NAME?</v>
      </c>
    </row>
    <row r="15" spans="1:15">
      <c r="A15" t="s">
        <v>18</v>
      </c>
      <c r="C15" s="46">
        <f ca="1">(($B$17+(($B$9-$B$3)/$D$19*$B$11*100))/(1+(($B$9-$B$5)/$D$19*$B$14))-(($B$5-$B$3)/$D$19*$B$11*100))*(1+$D$13)</f>
        <v>101.37747240267716</v>
      </c>
      <c r="D15">
        <v>101.41</v>
      </c>
      <c r="E15" s="46"/>
      <c r="G15" s="1" t="s">
        <v>19</v>
      </c>
    </row>
    <row r="16" spans="1:15">
      <c r="A16" t="s">
        <v>20</v>
      </c>
      <c r="B16" s="46">
        <f ca="1">(($B$17+(($B$9-$B$3)/$D$19*$B$11*100))/(1+(($B$9-$B$7)/$D$19*$B$14))-(($B$7-$B$3)/$D$19*$B$11*100))</f>
        <v>100</v>
      </c>
      <c r="C16" s="5"/>
      <c r="D16" s="2"/>
      <c r="E16" s="46"/>
    </row>
    <row r="17" spans="1:15">
      <c r="A17" t="s">
        <v>21</v>
      </c>
      <c r="B17" s="2">
        <v>100</v>
      </c>
      <c r="E17" s="20"/>
      <c r="F17" s="2"/>
      <c r="G17" s="1" t="s">
        <v>22</v>
      </c>
      <c r="H17" s="2">
        <f ca="1">SUM(H10:H14)</f>
        <v>-5.8132020803151931</v>
      </c>
      <c r="J17" s="49" t="s">
        <v>22</v>
      </c>
      <c r="K17" s="2">
        <f ca="1">SUM(K10:K14)</f>
        <v>9.7481809281064802</v>
      </c>
    </row>
    <row r="18" spans="1:15" ht="13.8" thickBot="1">
      <c r="B18" s="4"/>
      <c r="G18" s="1" t="s">
        <v>23</v>
      </c>
      <c r="H18" s="2">
        <f ca="1">SUM(H10:H12)</f>
        <v>-183.01575694413214</v>
      </c>
    </row>
    <row r="19" spans="1:15" ht="14.4" thickTop="1" thickBot="1">
      <c r="A19" t="s">
        <v>24</v>
      </c>
      <c r="B19" s="21">
        <f ca="1">B4-B3</f>
        <v>377</v>
      </c>
      <c r="D19" s="39">
        <v>365</v>
      </c>
    </row>
    <row r="20" spans="1:15" ht="13.8" thickTop="1">
      <c r="A20" t="s">
        <v>25</v>
      </c>
      <c r="B20" s="22">
        <f ca="1">ROUND(100*B11*(B19/D19),6)</f>
        <v>21.948630000000001</v>
      </c>
      <c r="G20" s="1" t="s">
        <v>38</v>
      </c>
      <c r="H20" s="2">
        <f ca="1">K17-H17</f>
        <v>15.561383008421673</v>
      </c>
    </row>
    <row r="21" spans="1:15">
      <c r="A21" t="s">
        <v>26</v>
      </c>
      <c r="B21" s="17">
        <f>B6-B3</f>
        <v>388</v>
      </c>
    </row>
    <row r="22" spans="1:15" ht="13.8" thickBot="1">
      <c r="A22" t="s">
        <v>27</v>
      </c>
      <c r="B22" s="22">
        <f>ROUND(100*B11*(B21/D19),6)</f>
        <v>22.589041000000002</v>
      </c>
      <c r="C22" s="22"/>
      <c r="E22" s="70" t="s">
        <v>28</v>
      </c>
      <c r="F22" s="71">
        <v>0</v>
      </c>
      <c r="G22" s="1" t="s">
        <v>56</v>
      </c>
      <c r="H22" s="5">
        <f ca="1">-H20/(B31*E1)</f>
        <v>8.7063610915477929E-2</v>
      </c>
    </row>
    <row r="23" spans="1:15" ht="14.4" thickTop="1" thickBot="1">
      <c r="A23" t="s">
        <v>29</v>
      </c>
      <c r="B23" s="45">
        <v>30</v>
      </c>
      <c r="C23" s="20">
        <f>B1/B22</f>
        <v>28.775015282853307</v>
      </c>
      <c r="D23" s="23"/>
      <c r="E23" s="72" t="s">
        <v>30</v>
      </c>
      <c r="F23" s="73">
        <f ca="1">-ROUNDDOWN(B30,-3)*F22</f>
        <v>0</v>
      </c>
    </row>
    <row r="24" spans="1:15" ht="13.8" thickTop="1">
      <c r="A24" t="s">
        <v>31</v>
      </c>
      <c r="B24" s="21">
        <f>B8-B3</f>
        <v>414</v>
      </c>
      <c r="D24" s="14"/>
      <c r="E24" s="72" t="s">
        <v>32</v>
      </c>
      <c r="F24" s="74">
        <v>6.9900000000000004E-2</v>
      </c>
    </row>
    <row r="25" spans="1:15">
      <c r="A25" t="s">
        <v>33</v>
      </c>
      <c r="B25" s="22">
        <f>ROUND(100*B11*(B24/D19),6)</f>
        <v>24.102740000000001</v>
      </c>
      <c r="C25" s="23"/>
      <c r="E25" s="72" t="s">
        <v>34</v>
      </c>
      <c r="F25" s="75">
        <v>10</v>
      </c>
      <c r="G25" s="25"/>
      <c r="H25" s="24"/>
      <c r="I25" s="23"/>
      <c r="J25" s="26"/>
      <c r="K25" s="24"/>
      <c r="L25" s="23"/>
      <c r="M25" s="23"/>
      <c r="N25" s="23"/>
      <c r="O25" s="24"/>
    </row>
    <row r="26" spans="1:15" s="23" customFormat="1">
      <c r="A26"/>
      <c r="B26" s="21"/>
      <c r="C26" s="14"/>
      <c r="D26" s="14"/>
      <c r="E26" s="72" t="s">
        <v>35</v>
      </c>
      <c r="F26" s="73">
        <f ca="1">F23*F24*F25/365</f>
        <v>0</v>
      </c>
      <c r="G26" s="15"/>
      <c r="H26" s="27"/>
      <c r="I26" s="14"/>
      <c r="J26" s="28"/>
      <c r="K26" s="27"/>
      <c r="L26" s="14"/>
      <c r="M26" s="14"/>
      <c r="N26" s="14"/>
      <c r="O26" s="27"/>
    </row>
    <row r="27" spans="1:15" s="14" customFormat="1">
      <c r="A27" t="s">
        <v>36</v>
      </c>
      <c r="B27" s="2">
        <f ca="1">-B23*C15</f>
        <v>-3041.3241720803148</v>
      </c>
      <c r="C27"/>
      <c r="D27"/>
      <c r="E27"/>
      <c r="F27"/>
      <c r="G27" s="1"/>
      <c r="H27" s="2"/>
      <c r="I27"/>
      <c r="J27" s="3"/>
      <c r="K27" s="2"/>
      <c r="L27"/>
      <c r="M27"/>
      <c r="N27"/>
      <c r="O27" s="2"/>
    </row>
    <row r="28" spans="1:15" ht="13.8" thickBot="1">
      <c r="A28" t="s">
        <v>37</v>
      </c>
      <c r="B28" s="29">
        <f>-B23*B22</f>
        <v>-677.67123000000004</v>
      </c>
      <c r="C28" s="14"/>
      <c r="E28" s="22"/>
      <c r="G28" s="15"/>
      <c r="H28" s="27"/>
      <c r="I28" s="14"/>
      <c r="J28" s="28"/>
      <c r="K28" s="27"/>
      <c r="L28" s="14"/>
      <c r="M28" s="14"/>
      <c r="N28" s="14"/>
      <c r="O28" s="27"/>
    </row>
    <row r="29" spans="1:15" s="14" customFormat="1" ht="14.4" thickTop="1" thickBot="1">
      <c r="A29" s="23" t="s">
        <v>38</v>
      </c>
      <c r="B29" s="44">
        <f ca="1">-ROUND(IF(0.0025*(-B27)&lt;9.9,9.9,IF(0.0025*(-B27)&gt;39.9,39.9,0.0025*(-B27))),2)</f>
        <v>-9.9</v>
      </c>
      <c r="C29"/>
      <c r="D29" t="s">
        <v>48</v>
      </c>
      <c r="E29" s="2"/>
      <c r="F29" s="5">
        <f ca="1">B31/B30</f>
        <v>0.18173511373419962</v>
      </c>
      <c r="G29" s="1"/>
      <c r="H29" s="2"/>
      <c r="I29"/>
      <c r="J29" s="3"/>
      <c r="K29" s="2"/>
      <c r="L29"/>
      <c r="M29"/>
      <c r="N29"/>
      <c r="O29" s="2"/>
    </row>
    <row r="30" spans="1:15" ht="13.8" thickTop="1">
      <c r="A30" s="14" t="s">
        <v>39</v>
      </c>
      <c r="B30" s="30">
        <f ca="1">SUM(B27:B29)</f>
        <v>-3728.8954020803149</v>
      </c>
      <c r="D30" t="s">
        <v>49</v>
      </c>
      <c r="F30" s="5">
        <f ca="1">-B37/B30</f>
        <v>0.18017615284806918</v>
      </c>
    </row>
    <row r="31" spans="1:15">
      <c r="A31" s="14" t="s">
        <v>40</v>
      </c>
      <c r="B31" s="31">
        <f>-B23*B22</f>
        <v>-677.67123000000004</v>
      </c>
      <c r="F31" s="5"/>
    </row>
    <row r="32" spans="1:15">
      <c r="B32" s="4"/>
    </row>
    <row r="33" spans="1:15">
      <c r="A33" t="s">
        <v>36</v>
      </c>
      <c r="B33" s="2">
        <f ca="1">$B$16*$B$23</f>
        <v>3000</v>
      </c>
      <c r="C33" s="14"/>
      <c r="D33" s="14"/>
      <c r="E33" s="14"/>
      <c r="F33" s="14"/>
      <c r="G33" s="15"/>
      <c r="H33" s="27"/>
      <c r="I33" s="14"/>
      <c r="J33" s="28"/>
      <c r="K33" s="27"/>
      <c r="L33" s="14"/>
      <c r="M33" s="14"/>
      <c r="N33" s="14"/>
      <c r="O33" s="27"/>
    </row>
    <row r="34" spans="1:15" s="14" customFormat="1" ht="13.8" thickBot="1">
      <c r="A34" t="s">
        <v>37</v>
      </c>
      <c r="B34" s="2">
        <f>B23*B25</f>
        <v>723.08220000000006</v>
      </c>
      <c r="C34"/>
      <c r="G34" s="1"/>
      <c r="H34" s="2"/>
      <c r="I34"/>
      <c r="J34" s="3"/>
      <c r="K34" s="2"/>
      <c r="L34"/>
      <c r="M34"/>
      <c r="N34"/>
      <c r="O34" s="2"/>
    </row>
    <row r="35" spans="1:15" ht="14.4" thickTop="1" thickBot="1">
      <c r="A35" t="s">
        <v>38</v>
      </c>
      <c r="B35" s="44">
        <v>0</v>
      </c>
      <c r="C35" s="14"/>
      <c r="G35" s="15"/>
      <c r="H35" s="27"/>
      <c r="I35" s="14"/>
      <c r="J35" s="28"/>
      <c r="K35" s="27"/>
      <c r="L35" s="14"/>
      <c r="M35" s="14"/>
      <c r="N35" s="14"/>
      <c r="O35" s="27"/>
    </row>
    <row r="36" spans="1:15" s="14" customFormat="1" ht="13.8" thickTop="1">
      <c r="A36" s="14" t="s">
        <v>41</v>
      </c>
      <c r="B36" s="27">
        <f ca="1">SUM(B33:B35)</f>
        <v>3723.0821999999998</v>
      </c>
      <c r="G36" s="15"/>
      <c r="H36" s="27"/>
      <c r="J36" s="28"/>
      <c r="K36" s="27"/>
      <c r="O36" s="27"/>
    </row>
    <row r="37" spans="1:15" s="14" customFormat="1">
      <c r="A37" s="14" t="s">
        <v>42</v>
      </c>
      <c r="B37" s="31">
        <f ca="1">B27+B29+B33+B35+B34</f>
        <v>671.85802791968513</v>
      </c>
      <c r="C37"/>
      <c r="D37"/>
      <c r="E37"/>
      <c r="F37" s="32"/>
      <c r="G37" s="1"/>
      <c r="H37" s="2"/>
      <c r="I37"/>
      <c r="J37" s="3"/>
      <c r="K37" s="2"/>
      <c r="L37"/>
      <c r="M37"/>
      <c r="N37"/>
      <c r="O37" s="2"/>
    </row>
    <row r="38" spans="1:15">
      <c r="C38" s="14"/>
      <c r="G38" s="15"/>
      <c r="H38" s="27"/>
      <c r="I38" s="14"/>
      <c r="J38" s="28"/>
      <c r="K38" s="27"/>
      <c r="L38" s="14"/>
      <c r="M38" s="14"/>
      <c r="N38" s="14"/>
      <c r="O38" s="27"/>
    </row>
    <row r="39" spans="1:15" s="14" customFormat="1">
      <c r="A39" s="14" t="s">
        <v>43</v>
      </c>
      <c r="B39" s="33">
        <f ca="1">B30+B36</f>
        <v>-5.8132020803150226</v>
      </c>
      <c r="C39"/>
      <c r="D39"/>
      <c r="E39"/>
      <c r="F39"/>
      <c r="G39" s="1"/>
      <c r="H39" s="2"/>
      <c r="I39"/>
      <c r="J39" s="3"/>
      <c r="K39" s="2"/>
      <c r="L39"/>
      <c r="M39"/>
      <c r="N39"/>
      <c r="O39" s="2"/>
    </row>
    <row r="40" spans="1:15">
      <c r="B40" s="5">
        <f ca="1">(-B36/B30)^(365/(B8-B6))-1</f>
        <v>-2.1664371546221139E-2</v>
      </c>
    </row>
    <row r="41" spans="1:15" ht="13.8" thickBot="1">
      <c r="B41" s="34"/>
    </row>
    <row r="42" spans="1:15" ht="13.8" thickBot="1">
      <c r="B42" s="38" t="s">
        <v>55</v>
      </c>
    </row>
    <row r="43" spans="1:15" ht="13.8" thickBot="1"/>
    <row r="44" spans="1:15" ht="14.4" thickTop="1" thickBot="1">
      <c r="A44" t="s">
        <v>53</v>
      </c>
      <c r="B44" s="39" t="s">
        <v>54</v>
      </c>
    </row>
    <row r="45" spans="1:15" ht="13.8" thickTop="1"/>
    <row r="46" spans="1:15">
      <c r="A46" s="2" t="s">
        <v>51</v>
      </c>
      <c r="B46" s="11">
        <v>1.881</v>
      </c>
      <c r="D46" s="2"/>
      <c r="E46" s="2"/>
      <c r="F46" s="2"/>
    </row>
    <row r="47" spans="1:15" ht="13.8" thickBot="1"/>
    <row r="48" spans="1:15" ht="14.4" thickTop="1" thickBot="1">
      <c r="A48" s="2" t="s">
        <v>44</v>
      </c>
      <c r="B48" s="40">
        <v>1.1499999999999999</v>
      </c>
      <c r="C48" s="2"/>
      <c r="D48" s="2"/>
      <c r="E48" s="2"/>
      <c r="F48" s="2"/>
      <c r="I48" s="2"/>
      <c r="L48" s="2"/>
      <c r="M48" s="2"/>
      <c r="N48" s="2"/>
    </row>
    <row r="49" spans="1:15" s="2" customFormat="1" ht="13.8" thickTop="1">
      <c r="A49"/>
      <c r="B49"/>
      <c r="C49"/>
      <c r="D49"/>
      <c r="E49"/>
      <c r="F49"/>
      <c r="G49" s="1"/>
      <c r="I49"/>
      <c r="J49" s="3"/>
      <c r="L49"/>
      <c r="M49"/>
      <c r="N49"/>
    </row>
    <row r="50" spans="1:15">
      <c r="A50" s="35" t="s">
        <v>45</v>
      </c>
      <c r="B50" s="35">
        <f>(B46-B48)/B46</f>
        <v>0.3886230728335992</v>
      </c>
      <c r="C50" s="2"/>
      <c r="D50" s="35"/>
      <c r="E50" s="35"/>
      <c r="F50" s="35"/>
      <c r="I50" s="2"/>
      <c r="L50" s="2"/>
      <c r="M50" s="2"/>
      <c r="N50" s="2"/>
    </row>
    <row r="51" spans="1:15" s="2" customFormat="1">
      <c r="A51"/>
      <c r="B51"/>
      <c r="C51"/>
      <c r="D51"/>
      <c r="E51"/>
      <c r="F51"/>
      <c r="G51" s="1"/>
      <c r="I51"/>
      <c r="J51" s="3"/>
      <c r="L51"/>
      <c r="M51"/>
      <c r="N51"/>
    </row>
    <row r="52" spans="1:15">
      <c r="C52" s="35"/>
      <c r="G52" s="15"/>
      <c r="H52" s="27"/>
      <c r="I52" s="35"/>
      <c r="J52" s="28"/>
      <c r="K52" s="27"/>
      <c r="L52" s="35"/>
      <c r="M52" s="35"/>
      <c r="N52" s="35"/>
      <c r="O52" s="27"/>
    </row>
    <row r="53" spans="1:15" s="35" customFormat="1">
      <c r="A53"/>
      <c r="B53"/>
      <c r="C53"/>
      <c r="D53"/>
      <c r="E53"/>
      <c r="F53"/>
      <c r="G53" s="1"/>
      <c r="H53" s="2"/>
      <c r="I53"/>
      <c r="J53" s="3"/>
      <c r="K53" s="2"/>
      <c r="L53"/>
      <c r="M53"/>
      <c r="N53"/>
      <c r="O53" s="2"/>
    </row>
  </sheetData>
  <phoneticPr fontId="0" type="noConversion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UB2EZH</vt:lpstr>
      <vt:lpstr>MQ2E53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2011-11-16T11:41:25Z</dcterms:created>
  <dcterms:modified xsi:type="dcterms:W3CDTF">2011-11-16T11:45:07Z</dcterms:modified>
</cp:coreProperties>
</file>