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25" windowWidth="21315" windowHeight="9855" activeTab="3"/>
  </bookViews>
  <sheets>
    <sheet name="GuV" sheetId="1" r:id="rId1"/>
    <sheet name="Bilanz" sheetId="2" r:id="rId2"/>
    <sheet name="CashFlow" sheetId="3" r:id="rId3"/>
    <sheet name="WACC" sheetId="4" r:id="rId4"/>
  </sheets>
  <calcPr calcId="145621"/>
</workbook>
</file>

<file path=xl/calcChain.xml><?xml version="1.0" encoding="utf-8"?>
<calcChain xmlns="http://schemas.openxmlformats.org/spreadsheetml/2006/main">
  <c r="C16" i="3" l="1"/>
  <c r="D16" i="3"/>
  <c r="E16" i="3"/>
  <c r="B16" i="3"/>
  <c r="C22" i="1"/>
  <c r="D22" i="1"/>
  <c r="E22" i="1"/>
  <c r="B22" i="1"/>
  <c r="D42" i="4"/>
  <c r="D38" i="4" l="1"/>
  <c r="D40" i="4"/>
  <c r="E39" i="4" l="1"/>
  <c r="C19" i="3"/>
  <c r="D19" i="3"/>
  <c r="E19" i="3"/>
  <c r="B19" i="3"/>
  <c r="I8" i="4"/>
  <c r="G13" i="4"/>
  <c r="H8" i="4"/>
  <c r="J3" i="4"/>
  <c r="I4" i="4"/>
  <c r="D32" i="4"/>
  <c r="D37" i="4" l="1"/>
  <c r="D35" i="4"/>
  <c r="E35" i="4" s="1"/>
  <c r="D36" i="4"/>
  <c r="I31" i="4"/>
  <c r="E32" i="4"/>
  <c r="F32" i="4"/>
  <c r="G32" i="4"/>
  <c r="E31" i="4"/>
  <c r="F31" i="4"/>
  <c r="G31" i="4"/>
  <c r="D31" i="4"/>
  <c r="E30" i="4"/>
  <c r="E33" i="4" s="1"/>
  <c r="C15" i="3" s="1"/>
  <c r="F30" i="4"/>
  <c r="F33" i="4" s="1"/>
  <c r="D15" i="3" s="1"/>
  <c r="G30" i="4"/>
  <c r="G33" i="4" s="1"/>
  <c r="E15" i="3" s="1"/>
  <c r="D30" i="4"/>
  <c r="D33" i="4" s="1"/>
  <c r="B15" i="3" s="1"/>
  <c r="E23" i="4" l="1"/>
  <c r="F23" i="4"/>
  <c r="G23" i="4"/>
  <c r="D23" i="4"/>
  <c r="E21" i="4"/>
  <c r="F21" i="4"/>
  <c r="G21" i="4"/>
  <c r="D21" i="4"/>
  <c r="E20" i="4"/>
  <c r="F20" i="4"/>
  <c r="G20" i="4"/>
  <c r="D20" i="4"/>
  <c r="E19" i="4"/>
  <c r="F19" i="4"/>
  <c r="G19" i="4"/>
  <c r="D19" i="4"/>
  <c r="H34" i="2"/>
  <c r="I34" i="2"/>
  <c r="J34" i="2"/>
  <c r="G34" i="2"/>
  <c r="B15" i="4" l="1"/>
  <c r="H25" i="2"/>
  <c r="I25" i="2"/>
  <c r="J25" i="2"/>
  <c r="G22" i="4" l="1"/>
  <c r="G25" i="4" s="1"/>
  <c r="E22" i="4"/>
  <c r="E25" i="4" s="1"/>
  <c r="D22" i="4"/>
  <c r="D25" i="4" s="1"/>
  <c r="F22" i="4"/>
  <c r="F25" i="4" s="1"/>
  <c r="H24" i="2"/>
  <c r="I24" i="2"/>
  <c r="J24" i="2"/>
  <c r="G24" i="2"/>
  <c r="M30" i="2"/>
  <c r="N30" i="2"/>
  <c r="O30" i="2"/>
  <c r="P30" i="2"/>
  <c r="H26" i="2"/>
  <c r="I26" i="2"/>
  <c r="J26" i="2"/>
  <c r="G26" i="2"/>
  <c r="G25" i="2"/>
  <c r="H23" i="2" l="1"/>
  <c r="I23" i="2"/>
  <c r="J23" i="2"/>
  <c r="G23" i="2"/>
  <c r="H22" i="2"/>
  <c r="I22" i="2"/>
  <c r="J22" i="2"/>
  <c r="G22" i="2"/>
  <c r="E8" i="3" l="1"/>
  <c r="D8" i="3"/>
  <c r="C8" i="3"/>
  <c r="B8" i="3"/>
  <c r="H9" i="2"/>
  <c r="I9" i="2"/>
  <c r="J9" i="2"/>
  <c r="H13" i="2"/>
  <c r="I13" i="2"/>
  <c r="J13" i="2"/>
  <c r="H18" i="2"/>
  <c r="I18" i="2"/>
  <c r="J18" i="2"/>
  <c r="C11" i="2"/>
  <c r="D11" i="2"/>
  <c r="E11" i="2"/>
  <c r="C18" i="2"/>
  <c r="D18" i="2"/>
  <c r="E18" i="2"/>
  <c r="G18" i="2"/>
  <c r="G13" i="2"/>
  <c r="G9" i="2"/>
  <c r="B18" i="2"/>
  <c r="B11" i="2"/>
  <c r="B19" i="2" l="1"/>
  <c r="G19" i="2"/>
  <c r="J19" i="2"/>
  <c r="I19" i="2"/>
  <c r="H19" i="2"/>
  <c r="E19" i="2"/>
  <c r="D19" i="2"/>
  <c r="C19" i="2"/>
  <c r="E8" i="1"/>
  <c r="E13" i="1" s="1"/>
  <c r="C8" i="1"/>
  <c r="C13" i="1" s="1"/>
  <c r="D8" i="1"/>
  <c r="D13" i="1"/>
  <c r="C17" i="1"/>
  <c r="D17" i="1"/>
  <c r="E17" i="1"/>
  <c r="B20" i="1"/>
  <c r="B18" i="1"/>
  <c r="B17" i="1"/>
  <c r="B8" i="1"/>
  <c r="B13" i="1" s="1"/>
  <c r="E18" i="1" l="1"/>
  <c r="E20" i="1" s="1"/>
  <c r="D20" i="1"/>
  <c r="C18" i="1"/>
  <c r="C20" i="1" s="1"/>
</calcChain>
</file>

<file path=xl/sharedStrings.xml><?xml version="1.0" encoding="utf-8"?>
<sst xmlns="http://schemas.openxmlformats.org/spreadsheetml/2006/main" count="126" uniqueCount="98">
  <si>
    <t>Umsatzerlöse</t>
  </si>
  <si>
    <t>Umsatzkosten</t>
  </si>
  <si>
    <t>Bruttoergebnis</t>
  </si>
  <si>
    <t>Verwaltung/Vertrieb</t>
  </si>
  <si>
    <t>Forschung/Entwicklung</t>
  </si>
  <si>
    <t>sonst. betr. Erträge</t>
  </si>
  <si>
    <t>sonst. betr. Aufwand</t>
  </si>
  <si>
    <t>Operatives Ergebnis</t>
  </si>
  <si>
    <t>Zinsertrag</t>
  </si>
  <si>
    <t>Zinsaufwand</t>
  </si>
  <si>
    <t>sonst. Finanzergebnis</t>
  </si>
  <si>
    <t>Finanzergebnis</t>
  </si>
  <si>
    <t>Ergebnis vor Steuern</t>
  </si>
  <si>
    <t>Ertragsteuern</t>
  </si>
  <si>
    <t>Jahresüberschuss</t>
  </si>
  <si>
    <t>in Mio. EUR</t>
  </si>
  <si>
    <t>Plan*</t>
  </si>
  <si>
    <t>Aktiva</t>
  </si>
  <si>
    <t>Passiva</t>
  </si>
  <si>
    <t>Immatrielle Vermögenswerte</t>
  </si>
  <si>
    <t>Sachanlagevermögen</t>
  </si>
  <si>
    <t>Finanzanlagevermögen</t>
  </si>
  <si>
    <t>Vermietete Gegenstände</t>
  </si>
  <si>
    <t>Forderungen aus
Finanzdienstleistung</t>
  </si>
  <si>
    <t>sonstige Vermögenswerte</t>
  </si>
  <si>
    <t>Summe langfristige
Vermögenswerte</t>
  </si>
  <si>
    <t>Vorräte</t>
  </si>
  <si>
    <t>Forderungen aus Lieferung
und Leistung</t>
  </si>
  <si>
    <t>sonstige finanzielle
Vermögenswerte</t>
  </si>
  <si>
    <t>Flüssige Mittel</t>
  </si>
  <si>
    <t>Summe kurzfristige
Vermögenswerte</t>
  </si>
  <si>
    <t>Summe Aktiva</t>
  </si>
  <si>
    <t>Gezeichnetes Kapital</t>
  </si>
  <si>
    <t>Kapitalrücklagen</t>
  </si>
  <si>
    <t>Gewinnrücklagen</t>
  </si>
  <si>
    <t>Übriges Eigenkapital</t>
  </si>
  <si>
    <t>Eigenkapital</t>
  </si>
  <si>
    <t>Langfristige Finanzverbinlich-
keiten (verzinslich)</t>
  </si>
  <si>
    <t>Langfristige Rückstellungen</t>
  </si>
  <si>
    <t>Übrige langfristige
Verbindlichkeiten</t>
  </si>
  <si>
    <t>Langfristige Schulden</t>
  </si>
  <si>
    <t>Kurzfristige Finanzverbindlich-
keiten (verzinslich)</t>
  </si>
  <si>
    <t>Verbindlichkeiten aus
Lieferung und Leistung</t>
  </si>
  <si>
    <t>kurzfristige Rückstellungen</t>
  </si>
  <si>
    <t>Übrige kurzfristige
Verbindlichkeiten</t>
  </si>
  <si>
    <t>kurzfristige Schulden</t>
  </si>
  <si>
    <t>Summe Passiva</t>
  </si>
  <si>
    <t>CashFlow aus der laufenden
Geschäftstätigkeit</t>
  </si>
  <si>
    <t>CashFlow aus der
Investitionstätigkeit</t>
  </si>
  <si>
    <t>CashFlow aus der
Finanzierungstätigkeit</t>
  </si>
  <si>
    <t>Summe CashFlows</t>
  </si>
  <si>
    <t>EK-Quote</t>
  </si>
  <si>
    <t>operativer CF</t>
  </si>
  <si>
    <t>EBT</t>
  </si>
  <si>
    <t>EBIT</t>
  </si>
  <si>
    <t>net income</t>
  </si>
  <si>
    <t>Eigenkapitalrendite n. St.</t>
  </si>
  <si>
    <t>Umsatzrendite v. St.</t>
  </si>
  <si>
    <t>stat. VG</t>
  </si>
  <si>
    <t>Gearing</t>
  </si>
  <si>
    <t>dyn. VG</t>
  </si>
  <si>
    <t>falsch glaube ich</t>
  </si>
  <si>
    <t>ß-Werte</t>
  </si>
  <si>
    <t>BAW AG</t>
  </si>
  <si>
    <t>Daimler</t>
  </si>
  <si>
    <t>VW</t>
  </si>
  <si>
    <t>Umlaufrendite deutscher
festverzinslicher WPs
öffentlicher Hand</t>
  </si>
  <si>
    <t>durchschnittliche Wert-
entwicklung des DAX</t>
  </si>
  <si>
    <t>Umlaufrendite deutscher festverzinslicher WPs öffentlicher Hand</t>
  </si>
  <si>
    <t>durchschnittliche Wertentwicklung des DAX</t>
  </si>
  <si>
    <t>beinhaltet:</t>
  </si>
  <si>
    <t>daraus folgt, dass Ekr=</t>
  </si>
  <si>
    <t>891 / (17.607
+17154)</t>
  </si>
  <si>
    <t>998 / (18.914
+20.046)</t>
  </si>
  <si>
    <t>963 / (21.127
+19.842)</t>
  </si>
  <si>
    <t>1.008 / (24.081
+25.278)</t>
  </si>
  <si>
    <t>Jahr</t>
  </si>
  <si>
    <t>Zinsaufwand/Fkverzinslich 
(in Mio.)</t>
  </si>
  <si>
    <t>Fremdkapital</t>
  </si>
  <si>
    <t>Gesamtkapital</t>
  </si>
  <si>
    <t>Fremdkapitalrendite</t>
  </si>
  <si>
    <t>WACC</t>
  </si>
  <si>
    <t>Eigenkapitalrendite
Annahme:konstant</t>
  </si>
  <si>
    <t>effekt. Steuersatz</t>
  </si>
  <si>
    <t>Fremdkapitalkostensatz</t>
  </si>
  <si>
    <t>verzinsliches FK</t>
  </si>
  <si>
    <t>TSM</t>
  </si>
  <si>
    <t>Tax Shield</t>
  </si>
  <si>
    <t>Free-Cash-Flow</t>
  </si>
  <si>
    <t>FCF</t>
  </si>
  <si>
    <t>KöSt</t>
  </si>
  <si>
    <t>SolZ</t>
  </si>
  <si>
    <t>GewSt</t>
  </si>
  <si>
    <t>(0,75*</t>
  </si>
  <si>
    <r>
      <t>ist r</t>
    </r>
    <r>
      <rPr>
        <sz val="8"/>
        <color rgb="FFFF0000"/>
        <rFont val="Calibri"/>
        <family val="2"/>
        <scheme val="minor"/>
      </rPr>
      <t>f</t>
    </r>
  </si>
  <si>
    <r>
      <t>ist r</t>
    </r>
    <r>
      <rPr>
        <sz val="8"/>
        <color rgb="FFFF0000"/>
        <rFont val="Calibri"/>
        <family val="2"/>
        <scheme val="minor"/>
      </rPr>
      <t>m</t>
    </r>
  </si>
  <si>
    <r>
      <t>WACC: (EK/GK)xEK</t>
    </r>
    <r>
      <rPr>
        <sz val="8"/>
        <color rgb="FFFF0000"/>
        <rFont val="Calibri"/>
        <family val="2"/>
        <scheme val="minor"/>
      </rPr>
      <t>r</t>
    </r>
    <r>
      <rPr>
        <sz val="11"/>
        <color rgb="FFFF0000"/>
        <rFont val="Calibri"/>
        <family val="2"/>
        <scheme val="minor"/>
      </rPr>
      <t>+(FK/GK)xFK</t>
    </r>
    <r>
      <rPr>
        <sz val="8"/>
        <color rgb="FFFF0000"/>
        <rFont val="Calibri"/>
        <family val="2"/>
        <scheme val="minor"/>
      </rPr>
      <t>r</t>
    </r>
  </si>
  <si>
    <r>
      <t>EKr=r</t>
    </r>
    <r>
      <rPr>
        <sz val="8"/>
        <color rgb="FFFF0000"/>
        <rFont val="Calibri"/>
        <family val="2"/>
        <scheme val="minor"/>
      </rPr>
      <t>f</t>
    </r>
    <r>
      <rPr>
        <sz val="11"/>
        <color rgb="FFFF0000"/>
        <rFont val="Calibri"/>
        <family val="2"/>
        <scheme val="minor"/>
      </rPr>
      <t>+(r</t>
    </r>
    <r>
      <rPr>
        <sz val="8"/>
        <color rgb="FFFF0000"/>
        <rFont val="Calibri"/>
        <family val="2"/>
        <scheme val="minor"/>
      </rPr>
      <t>m</t>
    </r>
    <r>
      <rPr>
        <sz val="11"/>
        <color rgb="FFFF0000"/>
        <rFont val="Calibri"/>
        <family val="2"/>
        <scheme val="minor"/>
      </rPr>
      <t>-r</t>
    </r>
    <r>
      <rPr>
        <sz val="8"/>
        <color rgb="FFFF0000"/>
        <rFont val="Calibri"/>
        <family val="2"/>
        <scheme val="minor"/>
      </rPr>
      <t>f</t>
    </r>
    <r>
      <rPr>
        <sz val="11"/>
        <color rgb="FFFF0000"/>
        <rFont val="Calibri"/>
        <family val="2"/>
        <scheme val="minor"/>
      </rPr>
      <t>)xß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</si>
</sst>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%"/>
    <numFmt numFmtId="165" formatCode="0.0000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1" fillId="0" borderId="2" xfId="0" applyNumberFormat="1" applyFont="1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6" xfId="0" applyBorder="1" applyAlignment="1">
      <alignment horizontal="right"/>
    </xf>
    <xf numFmtId="3" fontId="0" fillId="0" borderId="0" xfId="0" applyNumberFormat="1" applyBorder="1"/>
    <xf numFmtId="3" fontId="0" fillId="0" borderId="6" xfId="0" applyNumberFormat="1" applyBorder="1"/>
    <xf numFmtId="0" fontId="1" fillId="0" borderId="7" xfId="0" applyFont="1" applyBorder="1"/>
    <xf numFmtId="3" fontId="1" fillId="0" borderId="8" xfId="0" applyNumberFormat="1" applyFont="1" applyBorder="1"/>
    <xf numFmtId="0" fontId="0" fillId="0" borderId="9" xfId="0" applyBorder="1"/>
    <xf numFmtId="3" fontId="0" fillId="0" borderId="9" xfId="0" applyNumberFormat="1" applyBorder="1"/>
    <xf numFmtId="0" fontId="0" fillId="0" borderId="11" xfId="0" applyBorder="1"/>
    <xf numFmtId="3" fontId="0" fillId="0" borderId="11" xfId="0" applyNumberFormat="1" applyBorder="1"/>
    <xf numFmtId="3" fontId="0" fillId="0" borderId="12" xfId="0" applyNumberFormat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0" fontId="1" fillId="0" borderId="11" xfId="0" applyFont="1" applyBorder="1"/>
    <xf numFmtId="3" fontId="1" fillId="0" borderId="16" xfId="0" applyNumberFormat="1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right"/>
    </xf>
    <xf numFmtId="0" fontId="0" fillId="0" borderId="22" xfId="0" applyBorder="1"/>
    <xf numFmtId="0" fontId="0" fillId="0" borderId="23" xfId="0" applyBorder="1"/>
    <xf numFmtId="3" fontId="0" fillId="0" borderId="24" xfId="0" applyNumberFormat="1" applyBorder="1"/>
    <xf numFmtId="0" fontId="0" fillId="0" borderId="24" xfId="0" applyBorder="1"/>
    <xf numFmtId="0" fontId="0" fillId="0" borderId="23" xfId="0" applyBorder="1" applyAlignment="1">
      <alignment wrapText="1"/>
    </xf>
    <xf numFmtId="0" fontId="0" fillId="0" borderId="25" xfId="0" applyBorder="1"/>
    <xf numFmtId="3" fontId="0" fillId="0" borderId="26" xfId="0" applyNumberFormat="1" applyBorder="1"/>
    <xf numFmtId="0" fontId="0" fillId="0" borderId="27" xfId="0" applyBorder="1"/>
    <xf numFmtId="3" fontId="0" fillId="0" borderId="28" xfId="0" applyNumberFormat="1" applyBorder="1"/>
    <xf numFmtId="0" fontId="1" fillId="0" borderId="26" xfId="0" applyFont="1" applyBorder="1"/>
    <xf numFmtId="0" fontId="0" fillId="0" borderId="27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1" xfId="0" applyBorder="1" applyAlignment="1">
      <alignment vertical="top" wrapText="1"/>
    </xf>
    <xf numFmtId="3" fontId="0" fillId="0" borderId="22" xfId="0" applyNumberFormat="1" applyBorder="1"/>
    <xf numFmtId="0" fontId="0" fillId="0" borderId="21" xfId="0" applyBorder="1" applyAlignment="1">
      <alignment wrapText="1"/>
    </xf>
    <xf numFmtId="3" fontId="1" fillId="0" borderId="30" xfId="0" applyNumberFormat="1" applyFont="1" applyBorder="1"/>
    <xf numFmtId="3" fontId="1" fillId="0" borderId="17" xfId="0" applyNumberFormat="1" applyFont="1" applyBorder="1"/>
    <xf numFmtId="0" fontId="1" fillId="2" borderId="29" xfId="0" applyFont="1" applyFill="1" applyBorder="1"/>
    <xf numFmtId="3" fontId="0" fillId="0" borderId="0" xfId="0" applyNumberFormat="1"/>
    <xf numFmtId="10" fontId="0" fillId="0" borderId="0" xfId="0" applyNumberFormat="1"/>
    <xf numFmtId="3" fontId="1" fillId="0" borderId="0" xfId="0" applyNumberFormat="1" applyFont="1" applyFill="1" applyBorder="1"/>
    <xf numFmtId="0" fontId="3" fillId="0" borderId="0" xfId="0" applyFont="1" applyFill="1" applyBorder="1"/>
    <xf numFmtId="3" fontId="2" fillId="0" borderId="0" xfId="0" applyNumberFormat="1" applyFont="1"/>
    <xf numFmtId="0" fontId="2" fillId="0" borderId="0" xfId="0" applyFont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17" xfId="0" applyFont="1" applyBorder="1"/>
    <xf numFmtId="0" fontId="2" fillId="0" borderId="29" xfId="0" applyFont="1" applyBorder="1" applyAlignment="1">
      <alignment wrapText="1"/>
    </xf>
    <xf numFmtId="10" fontId="2" fillId="0" borderId="30" xfId="0" applyNumberFormat="1" applyFont="1" applyBorder="1"/>
    <xf numFmtId="0" fontId="2" fillId="0" borderId="12" xfId="0" applyFont="1" applyBorder="1" applyAlignment="1">
      <alignment wrapText="1"/>
    </xf>
    <xf numFmtId="0" fontId="2" fillId="0" borderId="34" xfId="0" applyFont="1" applyBorder="1" applyAlignment="1">
      <alignment horizontal="center" vertical="center" wrapText="1"/>
    </xf>
    <xf numFmtId="10" fontId="2" fillId="0" borderId="13" xfId="0" applyNumberFormat="1" applyFont="1" applyBorder="1"/>
    <xf numFmtId="10" fontId="2" fillId="0" borderId="14" xfId="0" applyNumberFormat="1" applyFont="1" applyBorder="1"/>
    <xf numFmtId="10" fontId="2" fillId="0" borderId="15" xfId="0" applyNumberFormat="1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0" fontId="2" fillId="0" borderId="23" xfId="0" applyFont="1" applyBorder="1" applyAlignment="1">
      <alignment vertical="top" wrapText="1"/>
    </xf>
    <xf numFmtId="3" fontId="2" fillId="0" borderId="9" xfId="0" applyNumberFormat="1" applyFont="1" applyBorder="1"/>
    <xf numFmtId="3" fontId="2" fillId="0" borderId="24" xfId="0" applyNumberFormat="1" applyFont="1" applyBorder="1"/>
    <xf numFmtId="0" fontId="2" fillId="0" borderId="38" xfId="0" applyFont="1" applyBorder="1"/>
    <xf numFmtId="0" fontId="2" fillId="0" borderId="39" xfId="0" applyFont="1" applyBorder="1"/>
    <xf numFmtId="3" fontId="2" fillId="0" borderId="39" xfId="0" applyNumberFormat="1" applyFont="1" applyBorder="1"/>
    <xf numFmtId="10" fontId="2" fillId="0" borderId="0" xfId="0" applyNumberFormat="1" applyFont="1"/>
    <xf numFmtId="164" fontId="2" fillId="0" borderId="0" xfId="0" applyNumberFormat="1" applyFont="1"/>
    <xf numFmtId="0" fontId="2" fillId="0" borderId="23" xfId="0" applyFont="1" applyBorder="1"/>
    <xf numFmtId="0" fontId="2" fillId="0" borderId="23" xfId="0" applyFont="1" applyBorder="1" applyAlignment="1">
      <alignment wrapText="1"/>
    </xf>
    <xf numFmtId="164" fontId="2" fillId="0" borderId="9" xfId="0" applyNumberFormat="1" applyFont="1" applyBorder="1"/>
    <xf numFmtId="164" fontId="2" fillId="0" borderId="24" xfId="0" applyNumberFormat="1" applyFont="1" applyBorder="1"/>
    <xf numFmtId="10" fontId="2" fillId="0" borderId="9" xfId="0" applyNumberFormat="1" applyFont="1" applyBorder="1"/>
    <xf numFmtId="10" fontId="2" fillId="0" borderId="24" xfId="0" applyNumberFormat="1" applyFont="1" applyBorder="1"/>
    <xf numFmtId="0" fontId="2" fillId="0" borderId="25" xfId="0" applyFont="1" applyBorder="1"/>
    <xf numFmtId="165" fontId="2" fillId="0" borderId="11" xfId="0" applyNumberFormat="1" applyFont="1" applyBorder="1"/>
    <xf numFmtId="0" fontId="2" fillId="0" borderId="13" xfId="0" applyFont="1" applyBorder="1"/>
    <xf numFmtId="164" fontId="2" fillId="0" borderId="14" xfId="0" applyNumberFormat="1" applyFont="1" applyBorder="1"/>
    <xf numFmtId="164" fontId="2" fillId="0" borderId="15" xfId="0" applyNumberFormat="1" applyFont="1" applyBorder="1"/>
    <xf numFmtId="0" fontId="2" fillId="0" borderId="9" xfId="0" applyFont="1" applyBorder="1"/>
    <xf numFmtId="0" fontId="2" fillId="0" borderId="24" xfId="0" applyFont="1" applyBorder="1"/>
    <xf numFmtId="0" fontId="2" fillId="0" borderId="40" xfId="0" applyFont="1" applyBorder="1"/>
    <xf numFmtId="4" fontId="2" fillId="0" borderId="0" xfId="0" applyNumberFormat="1" applyFont="1"/>
    <xf numFmtId="0" fontId="5" fillId="0" borderId="0" xfId="0" applyFont="1"/>
    <xf numFmtId="10" fontId="5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2"/>
  <sheetViews>
    <sheetView workbookViewId="0">
      <selection activeCell="A22" sqref="A22:E22"/>
    </sheetView>
  </sheetViews>
  <sheetFormatPr baseColWidth="10" defaultRowHeight="15" x14ac:dyDescent="0.25"/>
  <cols>
    <col min="1" max="1" width="25.7109375" customWidth="1"/>
    <col min="2" max="5" width="18.7109375" customWidth="1"/>
  </cols>
  <sheetData>
    <row r="4" spans="1:6" x14ac:dyDescent="0.25">
      <c r="A4" s="2" t="s">
        <v>15</v>
      </c>
      <c r="B4" s="3">
        <v>2010</v>
      </c>
      <c r="C4" s="3">
        <v>2011</v>
      </c>
      <c r="D4" s="3">
        <v>2012</v>
      </c>
      <c r="E4" s="4">
        <v>2013</v>
      </c>
    </row>
    <row r="5" spans="1:6" x14ac:dyDescent="0.25">
      <c r="A5" s="5"/>
      <c r="B5" s="6"/>
      <c r="C5" s="7" t="s">
        <v>16</v>
      </c>
      <c r="D5" s="7" t="s">
        <v>16</v>
      </c>
      <c r="E5" s="8" t="s">
        <v>16</v>
      </c>
    </row>
    <row r="6" spans="1:6" x14ac:dyDescent="0.25">
      <c r="A6" s="5" t="s">
        <v>0</v>
      </c>
      <c r="B6" s="9">
        <v>49824</v>
      </c>
      <c r="C6" s="9">
        <v>52432</v>
      </c>
      <c r="D6" s="9">
        <v>55065</v>
      </c>
      <c r="E6" s="10">
        <v>62953</v>
      </c>
    </row>
    <row r="7" spans="1:6" x14ac:dyDescent="0.25">
      <c r="A7" s="5" t="s">
        <v>1</v>
      </c>
      <c r="B7" s="9">
        <v>-38254</v>
      </c>
      <c r="C7" s="9">
        <v>-40448</v>
      </c>
      <c r="D7" s="9">
        <v>-42322</v>
      </c>
      <c r="E7" s="10">
        <v>-49258</v>
      </c>
    </row>
    <row r="8" spans="1:6" x14ac:dyDescent="0.25">
      <c r="A8" s="11" t="s">
        <v>2</v>
      </c>
      <c r="B8" s="1">
        <f>B6+B7</f>
        <v>11570</v>
      </c>
      <c r="C8" s="1">
        <f t="shared" ref="C8:D8" si="0">C6+C7</f>
        <v>11984</v>
      </c>
      <c r="D8" s="1">
        <f t="shared" si="0"/>
        <v>12743</v>
      </c>
      <c r="E8" s="12">
        <f>E6+E7</f>
        <v>13695</v>
      </c>
    </row>
    <row r="9" spans="1:6" x14ac:dyDescent="0.25">
      <c r="A9" s="5" t="s">
        <v>3</v>
      </c>
      <c r="B9" s="9">
        <v>-5223</v>
      </c>
      <c r="C9" s="9">
        <v>-5352</v>
      </c>
      <c r="D9" s="9">
        <v>-5588</v>
      </c>
      <c r="E9" s="10">
        <v>-5904</v>
      </c>
    </row>
    <row r="10" spans="1:6" x14ac:dyDescent="0.25">
      <c r="A10" s="5" t="s">
        <v>4</v>
      </c>
      <c r="B10" s="9">
        <v>-2623</v>
      </c>
      <c r="C10" s="9">
        <v>-2769</v>
      </c>
      <c r="D10" s="9">
        <v>-2859</v>
      </c>
      <c r="E10" s="10">
        <v>-3281</v>
      </c>
    </row>
    <row r="11" spans="1:6" x14ac:dyDescent="0.25">
      <c r="A11" s="5" t="s">
        <v>5</v>
      </c>
      <c r="B11" s="9">
        <v>1101</v>
      </c>
      <c r="C11" s="9">
        <v>948</v>
      </c>
      <c r="D11" s="9">
        <v>836</v>
      </c>
      <c r="E11" s="10">
        <v>820</v>
      </c>
    </row>
    <row r="12" spans="1:6" x14ac:dyDescent="0.25">
      <c r="A12" s="5" t="s">
        <v>6</v>
      </c>
      <c r="B12" s="9">
        <v>-583</v>
      </c>
      <c r="C12" s="9">
        <v>-550</v>
      </c>
      <c r="D12" s="9">
        <v>-581</v>
      </c>
      <c r="E12" s="10">
        <v>-596</v>
      </c>
    </row>
    <row r="13" spans="1:6" x14ac:dyDescent="0.25">
      <c r="A13" s="11" t="s">
        <v>7</v>
      </c>
      <c r="B13" s="1">
        <f>B8+B9+B10+B11+B12</f>
        <v>4242</v>
      </c>
      <c r="C13" s="1">
        <f t="shared" ref="C13:E13" si="1">C8+C9+C10+C11+C12</f>
        <v>4261</v>
      </c>
      <c r="D13" s="1">
        <f t="shared" si="1"/>
        <v>4551</v>
      </c>
      <c r="E13" s="12">
        <f t="shared" si="1"/>
        <v>4734</v>
      </c>
      <c r="F13" t="s">
        <v>54</v>
      </c>
    </row>
    <row r="14" spans="1:6" x14ac:dyDescent="0.25">
      <c r="A14" s="5" t="s">
        <v>8</v>
      </c>
      <c r="B14" s="9">
        <v>579</v>
      </c>
      <c r="C14" s="9">
        <v>726</v>
      </c>
      <c r="D14" s="9">
        <v>645</v>
      </c>
      <c r="E14" s="10">
        <v>725</v>
      </c>
    </row>
    <row r="15" spans="1:6" x14ac:dyDescent="0.25">
      <c r="A15" s="5" t="s">
        <v>9</v>
      </c>
      <c r="B15" s="9">
        <v>-891</v>
      </c>
      <c r="C15" s="9">
        <v>-998</v>
      </c>
      <c r="D15" s="9">
        <v>-963</v>
      </c>
      <c r="E15" s="10">
        <v>-1008</v>
      </c>
    </row>
    <row r="16" spans="1:6" x14ac:dyDescent="0.25">
      <c r="A16" s="5" t="s">
        <v>10</v>
      </c>
      <c r="B16" s="9">
        <v>98</v>
      </c>
      <c r="C16" s="9">
        <v>-297</v>
      </c>
      <c r="D16" s="9">
        <v>401</v>
      </c>
      <c r="E16" s="10">
        <v>-98</v>
      </c>
    </row>
    <row r="17" spans="1:6" x14ac:dyDescent="0.25">
      <c r="A17" s="11" t="s">
        <v>11</v>
      </c>
      <c r="B17" s="1">
        <f>B14+B15+B16</f>
        <v>-214</v>
      </c>
      <c r="C17" s="1">
        <f t="shared" ref="C17:E17" si="2">C14+C15+C16</f>
        <v>-569</v>
      </c>
      <c r="D17" s="1">
        <f t="shared" si="2"/>
        <v>83</v>
      </c>
      <c r="E17" s="12">
        <f t="shared" si="2"/>
        <v>-381</v>
      </c>
    </row>
    <row r="18" spans="1:6" x14ac:dyDescent="0.25">
      <c r="A18" s="11" t="s">
        <v>12</v>
      </c>
      <c r="B18" s="1">
        <f>B13+B17</f>
        <v>4028</v>
      </c>
      <c r="C18" s="1">
        <f t="shared" ref="C18:E18" si="3">C13+C17</f>
        <v>3692</v>
      </c>
      <c r="D18" s="1">
        <v>4634</v>
      </c>
      <c r="E18" s="12">
        <f t="shared" si="3"/>
        <v>4353</v>
      </c>
      <c r="F18" t="s">
        <v>53</v>
      </c>
    </row>
    <row r="19" spans="1:6" x14ac:dyDescent="0.25">
      <c r="A19" s="5" t="s">
        <v>13</v>
      </c>
      <c r="B19" s="9">
        <v>-1497</v>
      </c>
      <c r="C19" s="9">
        <v>-1178</v>
      </c>
      <c r="D19" s="9">
        <v>-1405</v>
      </c>
      <c r="E19" s="10">
        <v>-830</v>
      </c>
    </row>
    <row r="20" spans="1:6" x14ac:dyDescent="0.25">
      <c r="A20" s="11" t="s">
        <v>14</v>
      </c>
      <c r="B20" s="1">
        <f>B18+B19</f>
        <v>2531</v>
      </c>
      <c r="C20" s="1">
        <f t="shared" ref="C20:E20" si="4">C18+C19</f>
        <v>2514</v>
      </c>
      <c r="D20" s="1">
        <f t="shared" si="4"/>
        <v>3229</v>
      </c>
      <c r="E20" s="12">
        <f t="shared" si="4"/>
        <v>3523</v>
      </c>
      <c r="F20" t="s">
        <v>55</v>
      </c>
    </row>
    <row r="22" spans="1:6" x14ac:dyDescent="0.25">
      <c r="A22" s="51" t="s">
        <v>89</v>
      </c>
      <c r="B22" s="52">
        <f>B13-B19+B17</f>
        <v>5525</v>
      </c>
      <c r="C22" s="52">
        <f t="shared" ref="C22:E22" si="5">C13-C19+C17</f>
        <v>4870</v>
      </c>
      <c r="D22" s="52">
        <f t="shared" si="5"/>
        <v>6039</v>
      </c>
      <c r="E22" s="52">
        <f t="shared" si="5"/>
        <v>5183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opLeftCell="A17" workbookViewId="0">
      <selection activeCell="A27" sqref="A27:P35"/>
    </sheetView>
  </sheetViews>
  <sheetFormatPr baseColWidth="10" defaultRowHeight="15" x14ac:dyDescent="0.25"/>
  <cols>
    <col min="1" max="1" width="27.7109375" customWidth="1"/>
    <col min="2" max="5" width="10.7109375" customWidth="1"/>
    <col min="6" max="6" width="27.7109375" customWidth="1"/>
  </cols>
  <sheetData>
    <row r="1" spans="1:12" ht="15.75" thickBot="1" x14ac:dyDescent="0.3"/>
    <row r="2" spans="1:12" x14ac:dyDescent="0.25">
      <c r="A2" s="25" t="s">
        <v>17</v>
      </c>
      <c r="B2" s="26">
        <v>2010</v>
      </c>
      <c r="C2" s="26">
        <v>2011</v>
      </c>
      <c r="D2" s="26">
        <v>2012</v>
      </c>
      <c r="E2" s="27">
        <v>2013</v>
      </c>
      <c r="F2" s="25" t="s">
        <v>18</v>
      </c>
      <c r="G2" s="26">
        <v>2010</v>
      </c>
      <c r="H2" s="26">
        <v>2011</v>
      </c>
      <c r="I2" s="26">
        <v>2012</v>
      </c>
      <c r="J2" s="27">
        <v>2013</v>
      </c>
    </row>
    <row r="3" spans="1:12" x14ac:dyDescent="0.25">
      <c r="A3" s="28" t="s">
        <v>15</v>
      </c>
      <c r="B3" s="6"/>
      <c r="C3" s="7" t="s">
        <v>16</v>
      </c>
      <c r="D3" s="7" t="s">
        <v>16</v>
      </c>
      <c r="E3" s="29" t="s">
        <v>16</v>
      </c>
      <c r="F3" s="28" t="s">
        <v>15</v>
      </c>
      <c r="G3" s="6"/>
      <c r="H3" s="7" t="s">
        <v>16</v>
      </c>
      <c r="I3" s="7" t="s">
        <v>16</v>
      </c>
      <c r="J3" s="29" t="s">
        <v>16</v>
      </c>
    </row>
    <row r="4" spans="1:12" x14ac:dyDescent="0.25">
      <c r="A4" s="28"/>
      <c r="B4" s="6"/>
      <c r="C4" s="6"/>
      <c r="D4" s="6"/>
      <c r="E4" s="30"/>
      <c r="F4" s="28"/>
      <c r="G4" s="6"/>
      <c r="H4" s="6"/>
      <c r="I4" s="6"/>
      <c r="J4" s="30"/>
    </row>
    <row r="5" spans="1:12" x14ac:dyDescent="0.25">
      <c r="A5" s="31" t="s">
        <v>19</v>
      </c>
      <c r="B5" s="14">
        <v>4223</v>
      </c>
      <c r="C5" s="14">
        <v>5162</v>
      </c>
      <c r="D5" s="14">
        <v>5970</v>
      </c>
      <c r="E5" s="32">
        <v>6372</v>
      </c>
      <c r="F5" s="31" t="s">
        <v>32</v>
      </c>
      <c r="G5" s="13">
        <v>757</v>
      </c>
      <c r="H5" s="13">
        <v>757</v>
      </c>
      <c r="I5" s="13">
        <v>735</v>
      </c>
      <c r="J5" s="33">
        <v>735</v>
      </c>
    </row>
    <row r="6" spans="1:12" x14ac:dyDescent="0.25">
      <c r="A6" s="31" t="s">
        <v>20</v>
      </c>
      <c r="B6" s="14">
        <v>12052</v>
      </c>
      <c r="C6" s="14">
        <v>12460</v>
      </c>
      <c r="D6" s="14">
        <v>12682</v>
      </c>
      <c r="E6" s="32">
        <v>12483</v>
      </c>
      <c r="F6" s="31" t="s">
        <v>33</v>
      </c>
      <c r="G6" s="14">
        <v>2215</v>
      </c>
      <c r="H6" s="14">
        <v>2215</v>
      </c>
      <c r="I6" s="14">
        <v>2148</v>
      </c>
      <c r="J6" s="32">
        <v>2148</v>
      </c>
    </row>
    <row r="7" spans="1:12" x14ac:dyDescent="0.25">
      <c r="A7" s="31" t="s">
        <v>21</v>
      </c>
      <c r="B7" s="13">
        <v>791</v>
      </c>
      <c r="C7" s="14">
        <v>1324</v>
      </c>
      <c r="D7" s="13">
        <v>451</v>
      </c>
      <c r="E7" s="33">
        <v>235</v>
      </c>
      <c r="F7" s="31" t="s">
        <v>34</v>
      </c>
      <c r="G7" s="14">
        <v>16330</v>
      </c>
      <c r="H7" s="14">
        <v>18375</v>
      </c>
      <c r="I7" s="14">
        <v>20364</v>
      </c>
      <c r="J7" s="32">
        <v>23363</v>
      </c>
    </row>
    <row r="8" spans="1:12" ht="15.75" thickBot="1" x14ac:dyDescent="0.3">
      <c r="A8" s="31" t="s">
        <v>22</v>
      </c>
      <c r="B8" s="14">
        <v>8431</v>
      </c>
      <c r="C8" s="14">
        <v>12783</v>
      </c>
      <c r="D8" s="14">
        <v>15331</v>
      </c>
      <c r="E8" s="32">
        <v>19119</v>
      </c>
      <c r="F8" s="35" t="s">
        <v>35</v>
      </c>
      <c r="G8" s="15">
        <v>-721</v>
      </c>
      <c r="H8" s="16">
        <v>-2273</v>
      </c>
      <c r="I8" s="16">
        <v>-1749</v>
      </c>
      <c r="J8" s="36">
        <v>-1809</v>
      </c>
    </row>
    <row r="9" spans="1:12" ht="30.75" thickBot="1" x14ac:dyDescent="0.3">
      <c r="A9" s="34" t="s">
        <v>23</v>
      </c>
      <c r="B9" s="14">
        <v>17685</v>
      </c>
      <c r="C9" s="14">
        <v>19332</v>
      </c>
      <c r="D9" s="14">
        <v>20077</v>
      </c>
      <c r="E9" s="32">
        <v>22755</v>
      </c>
      <c r="F9" s="22" t="s">
        <v>36</v>
      </c>
      <c r="G9" s="18">
        <f>G5+G6+G7+G8</f>
        <v>18581</v>
      </c>
      <c r="H9" s="18">
        <f t="shared" ref="H9:J9" si="0">H5+H6+H7+H8</f>
        <v>19074</v>
      </c>
      <c r="I9" s="18">
        <f t="shared" si="0"/>
        <v>21498</v>
      </c>
      <c r="J9" s="19">
        <f t="shared" si="0"/>
        <v>24437</v>
      </c>
      <c r="L9" s="48"/>
    </row>
    <row r="10" spans="1:12" ht="30.75" thickBot="1" x14ac:dyDescent="0.3">
      <c r="A10" s="35" t="s">
        <v>24</v>
      </c>
      <c r="B10" s="16">
        <v>2694</v>
      </c>
      <c r="C10" s="16">
        <v>2384</v>
      </c>
      <c r="D10" s="16">
        <v>2258</v>
      </c>
      <c r="E10" s="36">
        <v>2665</v>
      </c>
      <c r="F10" s="40" t="s">
        <v>37</v>
      </c>
      <c r="G10" s="17">
        <v>17607</v>
      </c>
      <c r="H10" s="17">
        <v>18914</v>
      </c>
      <c r="I10" s="17">
        <v>21127</v>
      </c>
      <c r="J10" s="38">
        <v>24081</v>
      </c>
    </row>
    <row r="11" spans="1:12" ht="30.75" thickBot="1" x14ac:dyDescent="0.3">
      <c r="A11" s="23" t="s">
        <v>25</v>
      </c>
      <c r="B11" s="18">
        <f>B5+B6+B7+B8+B9+B10</f>
        <v>45876</v>
      </c>
      <c r="C11" s="18">
        <f t="shared" ref="C11:E11" si="1">C5+C6+C7+C8+C9+C10</f>
        <v>53445</v>
      </c>
      <c r="D11" s="18">
        <f t="shared" si="1"/>
        <v>56769</v>
      </c>
      <c r="E11" s="19">
        <f t="shared" si="1"/>
        <v>63629</v>
      </c>
      <c r="F11" s="31" t="s">
        <v>38</v>
      </c>
      <c r="G11" s="14">
        <v>8108</v>
      </c>
      <c r="H11" s="14">
        <v>7006</v>
      </c>
      <c r="I11" s="14">
        <v>8858</v>
      </c>
      <c r="J11" s="32">
        <v>8207</v>
      </c>
    </row>
    <row r="12" spans="1:12" ht="30.75" thickBot="1" x14ac:dyDescent="0.3">
      <c r="A12" s="37" t="s">
        <v>26</v>
      </c>
      <c r="B12" s="17">
        <v>7268</v>
      </c>
      <c r="C12" s="17">
        <v>7335</v>
      </c>
      <c r="D12" s="17">
        <v>7635</v>
      </c>
      <c r="E12" s="38">
        <v>8259</v>
      </c>
      <c r="F12" s="41" t="s">
        <v>39</v>
      </c>
      <c r="G12" s="16">
        <v>4085</v>
      </c>
      <c r="H12" s="16">
        <v>7243</v>
      </c>
      <c r="I12" s="16">
        <v>5271</v>
      </c>
      <c r="J12" s="36">
        <v>5325</v>
      </c>
    </row>
    <row r="13" spans="1:12" ht="30.75" thickBot="1" x14ac:dyDescent="0.3">
      <c r="A13" s="34" t="s">
        <v>27</v>
      </c>
      <c r="B13" s="14">
        <v>2099</v>
      </c>
      <c r="C13" s="14">
        <v>2399</v>
      </c>
      <c r="D13" s="14">
        <v>2538</v>
      </c>
      <c r="E13" s="32">
        <v>3003</v>
      </c>
      <c r="F13" s="22" t="s">
        <v>40</v>
      </c>
      <c r="G13" s="18">
        <f>G10+G11+G12</f>
        <v>29800</v>
      </c>
      <c r="H13" s="18">
        <f t="shared" ref="H13:J13" si="2">H10+H11+H12</f>
        <v>33163</v>
      </c>
      <c r="I13" s="18">
        <f t="shared" si="2"/>
        <v>35256</v>
      </c>
      <c r="J13" s="19">
        <f t="shared" si="2"/>
        <v>37613</v>
      </c>
    </row>
    <row r="14" spans="1:12" ht="30" x14ac:dyDescent="0.25">
      <c r="A14" s="34" t="s">
        <v>23</v>
      </c>
      <c r="B14" s="14">
        <v>10470</v>
      </c>
      <c r="C14" s="14">
        <v>13322</v>
      </c>
      <c r="D14" s="14">
        <v>14051</v>
      </c>
      <c r="E14" s="32">
        <v>15729</v>
      </c>
      <c r="F14" s="40" t="s">
        <v>41</v>
      </c>
      <c r="G14" s="17">
        <v>17154</v>
      </c>
      <c r="H14" s="17">
        <v>20046</v>
      </c>
      <c r="I14" s="17">
        <v>19842</v>
      </c>
      <c r="J14" s="38">
        <v>25278</v>
      </c>
    </row>
    <row r="15" spans="1:12" ht="30" x14ac:dyDescent="0.25">
      <c r="A15" s="34" t="s">
        <v>28</v>
      </c>
      <c r="B15" s="14">
        <v>7903</v>
      </c>
      <c r="C15" s="14">
        <v>5476</v>
      </c>
      <c r="D15" s="14">
        <v>6352</v>
      </c>
      <c r="E15" s="32">
        <v>6707</v>
      </c>
      <c r="F15" s="34" t="s">
        <v>42</v>
      </c>
      <c r="G15" s="14">
        <v>3794</v>
      </c>
      <c r="H15" s="14">
        <v>3983</v>
      </c>
      <c r="I15" s="14">
        <v>4200</v>
      </c>
      <c r="J15" s="32">
        <v>3991</v>
      </c>
    </row>
    <row r="16" spans="1:12" x14ac:dyDescent="0.25">
      <c r="A16" s="34" t="s">
        <v>29</v>
      </c>
      <c r="B16" s="14">
        <v>2391</v>
      </c>
      <c r="C16" s="14">
        <v>1822</v>
      </c>
      <c r="D16" s="14">
        <v>1501</v>
      </c>
      <c r="E16" s="32">
        <v>2689</v>
      </c>
      <c r="F16" s="34" t="s">
        <v>43</v>
      </c>
      <c r="G16" s="14">
        <v>2992</v>
      </c>
      <c r="H16" s="14">
        <v>2993</v>
      </c>
      <c r="I16" s="14">
        <v>3002</v>
      </c>
      <c r="J16" s="32">
        <v>3176</v>
      </c>
    </row>
    <row r="17" spans="1:16" ht="30.75" thickBot="1" x14ac:dyDescent="0.3">
      <c r="A17" s="35"/>
      <c r="B17" s="20"/>
      <c r="C17" s="20"/>
      <c r="D17" s="20"/>
      <c r="E17" s="39"/>
      <c r="F17" s="41" t="s">
        <v>44</v>
      </c>
      <c r="G17" s="16">
        <v>3687</v>
      </c>
      <c r="H17" s="16">
        <v>4539</v>
      </c>
      <c r="I17" s="16">
        <v>5047</v>
      </c>
      <c r="J17" s="36">
        <v>5522</v>
      </c>
    </row>
    <row r="18" spans="1:16" ht="30.75" thickBot="1" x14ac:dyDescent="0.3">
      <c r="A18" s="23" t="s">
        <v>30</v>
      </c>
      <c r="B18" s="18">
        <f>B12+B13+B14+B15+B16</f>
        <v>30131</v>
      </c>
      <c r="C18" s="18">
        <f t="shared" ref="C18:E18" si="3">C12+C13+C14+C15+C16</f>
        <v>30354</v>
      </c>
      <c r="D18" s="18">
        <f t="shared" si="3"/>
        <v>32077</v>
      </c>
      <c r="E18" s="19">
        <f t="shared" si="3"/>
        <v>36387</v>
      </c>
      <c r="F18" s="23" t="s">
        <v>45</v>
      </c>
      <c r="G18" s="18">
        <f>G14+G15+G16+G17</f>
        <v>27627</v>
      </c>
      <c r="H18" s="18">
        <f t="shared" ref="H18:J18" si="4">H14+H15+H16+H17</f>
        <v>31561</v>
      </c>
      <c r="I18" s="18">
        <f t="shared" si="4"/>
        <v>32091</v>
      </c>
      <c r="J18" s="19">
        <f t="shared" si="4"/>
        <v>37967</v>
      </c>
      <c r="L18" s="50"/>
      <c r="M18" s="50"/>
      <c r="N18" s="50"/>
      <c r="O18" s="50"/>
    </row>
    <row r="19" spans="1:16" ht="15.75" thickBot="1" x14ac:dyDescent="0.3">
      <c r="A19" s="23" t="s">
        <v>31</v>
      </c>
      <c r="B19" s="18">
        <f>B18+B11</f>
        <v>76007</v>
      </c>
      <c r="C19" s="18">
        <f t="shared" ref="C19:E19" si="5">C18+C11</f>
        <v>83799</v>
      </c>
      <c r="D19" s="18">
        <f t="shared" si="5"/>
        <v>88846</v>
      </c>
      <c r="E19" s="19">
        <f t="shared" si="5"/>
        <v>100016</v>
      </c>
      <c r="F19" s="24" t="s">
        <v>46</v>
      </c>
      <c r="G19" s="21">
        <f>G18+G13+G9</f>
        <v>76008</v>
      </c>
      <c r="H19" s="18">
        <f t="shared" ref="H19:J19" si="6">H18+H13+H9</f>
        <v>83798</v>
      </c>
      <c r="I19" s="18">
        <f t="shared" si="6"/>
        <v>88845</v>
      </c>
      <c r="J19" s="19">
        <f t="shared" si="6"/>
        <v>100017</v>
      </c>
    </row>
    <row r="22" spans="1:16" x14ac:dyDescent="0.25">
      <c r="F22" t="s">
        <v>51</v>
      </c>
      <c r="G22" s="49">
        <f>G9/G19</f>
        <v>0.24446110935690979</v>
      </c>
      <c r="H22" s="49">
        <f t="shared" ref="H22:J22" si="7">H9/H19</f>
        <v>0.22761879758466788</v>
      </c>
      <c r="I22" s="49">
        <f t="shared" si="7"/>
        <v>0.2419719736619956</v>
      </c>
      <c r="J22" s="49">
        <f t="shared" si="7"/>
        <v>0.24432846416109261</v>
      </c>
    </row>
    <row r="23" spans="1:16" x14ac:dyDescent="0.25">
      <c r="F23" t="s">
        <v>58</v>
      </c>
      <c r="G23">
        <f>(G13+G18)/G9</f>
        <v>3.0906302136591139</v>
      </c>
      <c r="H23">
        <f t="shared" ref="H23:J23" si="8">(H13+H18)/H9</f>
        <v>3.3933102652825835</v>
      </c>
      <c r="I23">
        <f t="shared" si="8"/>
        <v>3.132710019536701</v>
      </c>
      <c r="J23">
        <f t="shared" si="8"/>
        <v>3.0928510046241353</v>
      </c>
    </row>
    <row r="24" spans="1:16" x14ac:dyDescent="0.25">
      <c r="F24" t="s">
        <v>60</v>
      </c>
      <c r="G24">
        <f>(G18+G13)/CashFlow!B5</f>
        <v>4.9557300655850884</v>
      </c>
      <c r="H24">
        <f>(H18+H13)/CashFlow!C5</f>
        <v>4.9264728269142948</v>
      </c>
      <c r="I24">
        <f>(I18+I13)/CashFlow!D5</f>
        <v>4.6169191746075269</v>
      </c>
      <c r="J24">
        <f>(J18+J13)/CashFlow!E5</f>
        <v>4.546165413533835</v>
      </c>
    </row>
    <row r="25" spans="1:16" x14ac:dyDescent="0.25">
      <c r="F25" t="s">
        <v>56</v>
      </c>
      <c r="G25" s="49">
        <f>GuV!B20/Bilanz!G9</f>
        <v>0.13621441257198214</v>
      </c>
      <c r="H25" s="49">
        <f>GuV!C20/Bilanz!H9</f>
        <v>0.13180245360176157</v>
      </c>
      <c r="I25" s="49">
        <f>GuV!D20/Bilanz!I9</f>
        <v>0.15020001860638199</v>
      </c>
      <c r="J25" s="49">
        <f>GuV!E20/Bilanz!J9</f>
        <v>0.14416663256537218</v>
      </c>
    </row>
    <row r="26" spans="1:16" x14ac:dyDescent="0.25">
      <c r="F26" t="s">
        <v>57</v>
      </c>
      <c r="G26" s="49">
        <f>GuV!B13/GuV!B6</f>
        <v>8.5139691714836221E-2</v>
      </c>
      <c r="H26" s="49">
        <f>GuV!C13/GuV!C6</f>
        <v>8.1267165090021368E-2</v>
      </c>
      <c r="I26" s="49">
        <f>GuV!D13/GuV!D6</f>
        <v>8.2647779896485973E-2</v>
      </c>
      <c r="J26" s="49">
        <f>GuV!E13/GuV!E6</f>
        <v>7.5198957952758411E-2</v>
      </c>
    </row>
    <row r="27" spans="1:16" x14ac:dyDescent="0.25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5.75" thickBot="1" x14ac:dyDescent="0.3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x14ac:dyDescent="0.25">
      <c r="A29" s="54"/>
      <c r="B29" s="55" t="s">
        <v>63</v>
      </c>
      <c r="C29" s="55" t="s">
        <v>64</v>
      </c>
      <c r="D29" s="56" t="s">
        <v>65</v>
      </c>
      <c r="E29" s="53"/>
      <c r="F29" s="53"/>
      <c r="G29" s="53"/>
      <c r="H29" s="53"/>
      <c r="I29" s="53"/>
      <c r="J29" s="53"/>
      <c r="K29" s="53"/>
      <c r="L29" s="53" t="s">
        <v>61</v>
      </c>
      <c r="M29" s="53"/>
      <c r="N29" s="53"/>
      <c r="O29" s="53"/>
      <c r="P29" s="53"/>
    </row>
    <row r="30" spans="1:16" ht="15.75" thickBot="1" x14ac:dyDescent="0.3">
      <c r="A30" s="57" t="s">
        <v>62</v>
      </c>
      <c r="B30" s="58">
        <v>0.97</v>
      </c>
      <c r="C30" s="58">
        <v>1.26</v>
      </c>
      <c r="D30" s="59">
        <v>1.1599999999999999</v>
      </c>
      <c r="E30" s="53"/>
      <c r="F30" s="53"/>
      <c r="G30" s="53"/>
      <c r="H30" s="53"/>
      <c r="I30" s="53"/>
      <c r="J30" s="53"/>
      <c r="K30" s="53"/>
      <c r="L30" s="53" t="s">
        <v>59</v>
      </c>
      <c r="M30" s="53">
        <f>(G14+G10-B16)/G9</f>
        <v>1.7421021473548248</v>
      </c>
      <c r="N30" s="53">
        <f>(H14+H10-C16)/H9</f>
        <v>1.9470483380517982</v>
      </c>
      <c r="O30" s="53">
        <f>(I14+I10-D16)/I9</f>
        <v>1.8358917108568238</v>
      </c>
      <c r="P30" s="53">
        <f>(J14+J10-E16)/J9</f>
        <v>1.9098088963457054</v>
      </c>
    </row>
    <row r="31" spans="1:16" ht="15.75" thickBot="1" x14ac:dyDescent="0.3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ht="15.75" thickBot="1" x14ac:dyDescent="0.3">
      <c r="A32" s="53"/>
      <c r="B32" s="53"/>
      <c r="C32" s="53"/>
      <c r="D32" s="53"/>
      <c r="E32" s="53"/>
      <c r="F32" s="60" t="s">
        <v>76</v>
      </c>
      <c r="G32" s="61">
        <v>2010</v>
      </c>
      <c r="H32" s="61">
        <v>2011</v>
      </c>
      <c r="I32" s="61">
        <v>2012</v>
      </c>
      <c r="J32" s="62">
        <v>2013</v>
      </c>
      <c r="K32" s="53"/>
      <c r="L32" s="53"/>
      <c r="M32" s="53"/>
      <c r="N32" s="53"/>
      <c r="O32" s="53"/>
      <c r="P32" s="53"/>
    </row>
    <row r="33" spans="1:16" ht="45.75" thickBot="1" x14ac:dyDescent="0.3">
      <c r="A33" s="63" t="s">
        <v>66</v>
      </c>
      <c r="B33" s="64">
        <v>1.83E-2</v>
      </c>
      <c r="C33" s="61"/>
      <c r="D33" s="62"/>
      <c r="E33" s="53"/>
      <c r="F33" s="65" t="s">
        <v>77</v>
      </c>
      <c r="G33" s="66" t="s">
        <v>72</v>
      </c>
      <c r="H33" s="66" t="s">
        <v>73</v>
      </c>
      <c r="I33" s="66" t="s">
        <v>74</v>
      </c>
      <c r="J33" s="66" t="s">
        <v>75</v>
      </c>
      <c r="K33" s="53"/>
      <c r="L33" s="53"/>
      <c r="M33" s="53"/>
      <c r="N33" s="53"/>
      <c r="O33" s="53"/>
      <c r="P33" s="53"/>
    </row>
    <row r="34" spans="1:16" ht="15.75" thickBot="1" x14ac:dyDescent="0.3">
      <c r="A34" s="53"/>
      <c r="B34" s="53"/>
      <c r="C34" s="53"/>
      <c r="D34" s="53"/>
      <c r="E34" s="53"/>
      <c r="F34" s="60" t="s">
        <v>84</v>
      </c>
      <c r="G34" s="67">
        <f>GuV!B15/(Bilanz!G10+Bilanz!G14)*(-1)</f>
        <v>2.56321739880901E-2</v>
      </c>
      <c r="H34" s="68">
        <f>GuV!C15/(Bilanz!H10+Bilanz!H14)*(-1)</f>
        <v>2.5616016427104722E-2</v>
      </c>
      <c r="I34" s="68">
        <f>GuV!D15/(Bilanz!I10+Bilanz!I14)*(-1)</f>
        <v>2.3505577387781005E-2</v>
      </c>
      <c r="J34" s="69">
        <f>GuV!E15/(Bilanz!J10+Bilanz!J14)*(-1)</f>
        <v>2.0421807573086974E-2</v>
      </c>
      <c r="K34" s="53"/>
      <c r="L34" s="53"/>
      <c r="M34" s="53"/>
      <c r="N34" s="53"/>
      <c r="O34" s="53"/>
      <c r="P34" s="53"/>
    </row>
    <row r="35" spans="1:16" ht="30.75" thickBot="1" x14ac:dyDescent="0.3">
      <c r="A35" s="63" t="s">
        <v>67</v>
      </c>
      <c r="B35" s="64">
        <v>0.10580000000000001</v>
      </c>
      <c r="C35" s="61"/>
      <c r="D35" s="62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13" sqref="A13:E19"/>
    </sheetView>
  </sheetViews>
  <sheetFormatPr baseColWidth="10" defaultRowHeight="15" x14ac:dyDescent="0.25"/>
  <cols>
    <col min="1" max="1" width="26.7109375" customWidth="1"/>
  </cols>
  <sheetData>
    <row r="1" spans="1:6" ht="15.75" thickBot="1" x14ac:dyDescent="0.3"/>
    <row r="2" spans="1:6" x14ac:dyDescent="0.25">
      <c r="A2" s="25" t="s">
        <v>76</v>
      </c>
      <c r="B2" s="26">
        <v>2010</v>
      </c>
      <c r="C2" s="26">
        <v>2011</v>
      </c>
      <c r="D2" s="26">
        <v>2012</v>
      </c>
      <c r="E2" s="27">
        <v>2013</v>
      </c>
    </row>
    <row r="3" spans="1:6" x14ac:dyDescent="0.25">
      <c r="A3" s="28" t="s">
        <v>15</v>
      </c>
      <c r="B3" s="6"/>
      <c r="C3" s="7" t="s">
        <v>16</v>
      </c>
      <c r="D3" s="7" t="s">
        <v>16</v>
      </c>
      <c r="E3" s="29" t="s">
        <v>16</v>
      </c>
    </row>
    <row r="4" spans="1:6" x14ac:dyDescent="0.25">
      <c r="A4" s="28"/>
      <c r="B4" s="6"/>
      <c r="C4" s="6"/>
      <c r="D4" s="6"/>
      <c r="E4" s="30"/>
    </row>
    <row r="5" spans="1:6" ht="30" x14ac:dyDescent="0.25">
      <c r="A5" s="42" t="s">
        <v>47</v>
      </c>
      <c r="B5" s="9">
        <v>11588</v>
      </c>
      <c r="C5" s="9">
        <v>13138</v>
      </c>
      <c r="D5" s="9">
        <v>14587</v>
      </c>
      <c r="E5" s="43">
        <v>16625</v>
      </c>
      <c r="F5" t="s">
        <v>52</v>
      </c>
    </row>
    <row r="6" spans="1:6" ht="30" x14ac:dyDescent="0.25">
      <c r="A6" s="44" t="s">
        <v>48</v>
      </c>
      <c r="B6" s="9">
        <v>-12320</v>
      </c>
      <c r="C6" s="9">
        <v>-11190</v>
      </c>
      <c r="D6" s="9">
        <v>-13115</v>
      </c>
      <c r="E6" s="43">
        <v>-13764</v>
      </c>
    </row>
    <row r="7" spans="1:6" ht="30.75" thickBot="1" x14ac:dyDescent="0.3">
      <c r="A7" s="44" t="s">
        <v>49</v>
      </c>
      <c r="B7" s="9">
        <v>3525</v>
      </c>
      <c r="C7" s="6">
        <v>786</v>
      </c>
      <c r="D7" s="9">
        <v>3734</v>
      </c>
      <c r="E7" s="43">
        <v>1750</v>
      </c>
    </row>
    <row r="8" spans="1:6" ht="15.75" thickBot="1" x14ac:dyDescent="0.3">
      <c r="A8" s="47" t="s">
        <v>50</v>
      </c>
      <c r="B8" s="45">
        <f>B5+B6+B7</f>
        <v>2793</v>
      </c>
      <c r="C8" s="45">
        <f>C5+C6+C7</f>
        <v>2734</v>
      </c>
      <c r="D8" s="45">
        <f>D5+D6+D7</f>
        <v>5206</v>
      </c>
      <c r="E8" s="46">
        <f>E5+E6+E7</f>
        <v>4611</v>
      </c>
    </row>
    <row r="9" spans="1:6" x14ac:dyDescent="0.25">
      <c r="B9" s="48"/>
      <c r="C9" s="48"/>
      <c r="D9" s="48"/>
      <c r="E9" s="48"/>
    </row>
    <row r="12" spans="1:6" ht="15.75" thickBot="1" x14ac:dyDescent="0.3"/>
    <row r="13" spans="1:6" x14ac:dyDescent="0.25">
      <c r="A13" s="70" t="s">
        <v>76</v>
      </c>
      <c r="B13" s="71">
        <v>2010</v>
      </c>
      <c r="C13" s="71">
        <v>2011</v>
      </c>
      <c r="D13" s="71">
        <v>2012</v>
      </c>
      <c r="E13" s="72">
        <v>2013</v>
      </c>
    </row>
    <row r="14" spans="1:6" ht="30" x14ac:dyDescent="0.25">
      <c r="A14" s="73" t="s">
        <v>47</v>
      </c>
      <c r="B14" s="74">
        <v>11588</v>
      </c>
      <c r="C14" s="74">
        <v>13138</v>
      </c>
      <c r="D14" s="74">
        <v>14587</v>
      </c>
      <c r="E14" s="75">
        <v>16625</v>
      </c>
    </row>
    <row r="15" spans="1:6" ht="15.75" thickBot="1" x14ac:dyDescent="0.3">
      <c r="A15" s="76" t="s">
        <v>87</v>
      </c>
      <c r="B15" s="77">
        <f>WACC!D33</f>
        <v>183.02365125000003</v>
      </c>
      <c r="C15" s="77">
        <f>WACC!E33</f>
        <v>205.00292250000004</v>
      </c>
      <c r="D15" s="77">
        <f>WACC!F33</f>
        <v>197.81344125000004</v>
      </c>
      <c r="E15" s="77">
        <f>WACC!G33</f>
        <v>207.05706000000001</v>
      </c>
    </row>
    <row r="16" spans="1:6" ht="15.75" thickBot="1" x14ac:dyDescent="0.3">
      <c r="A16" s="76" t="s">
        <v>88</v>
      </c>
      <c r="B16" s="78">
        <f>B5+WACC!D33</f>
        <v>11771.02365125</v>
      </c>
      <c r="C16" s="78">
        <f>C5+WACC!E33</f>
        <v>13343.0029225</v>
      </c>
      <c r="D16" s="78">
        <f>D5+WACC!F33</f>
        <v>14784.81344125</v>
      </c>
      <c r="E16" s="78">
        <f>E5+WACC!G33</f>
        <v>16832.057059999999</v>
      </c>
    </row>
    <row r="17" spans="1:5" x14ac:dyDescent="0.25">
      <c r="A17" s="53"/>
      <c r="B17" s="53"/>
      <c r="C17" s="53"/>
      <c r="D17" s="53"/>
      <c r="E17" s="53"/>
    </row>
    <row r="18" spans="1:5" x14ac:dyDescent="0.25">
      <c r="A18" s="53"/>
      <c r="B18" s="53"/>
      <c r="C18" s="53"/>
      <c r="D18" s="53"/>
      <c r="E18" s="53"/>
    </row>
    <row r="19" spans="1:5" x14ac:dyDescent="0.25">
      <c r="A19" s="53" t="s">
        <v>89</v>
      </c>
      <c r="B19" s="52">
        <f>B5+B6-B15</f>
        <v>-915.02365125000006</v>
      </c>
      <c r="C19" s="52">
        <f t="shared" ref="C19:E19" si="0">C5+C6-C15</f>
        <v>1742.9970774999999</v>
      </c>
      <c r="D19" s="52">
        <f t="shared" si="0"/>
        <v>1274.1865587499999</v>
      </c>
      <c r="E19" s="52">
        <f t="shared" si="0"/>
        <v>2653.9429399999999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2"/>
  <sheetViews>
    <sheetView tabSelected="1" workbookViewId="0">
      <selection activeCell="H3" sqref="H3:J5"/>
    </sheetView>
  </sheetViews>
  <sheetFormatPr baseColWidth="10" defaultRowHeight="15" x14ac:dyDescent="0.25"/>
  <cols>
    <col min="2" max="2" width="41" customWidth="1"/>
    <col min="3" max="3" width="22.7109375" customWidth="1"/>
    <col min="4" max="4" width="11.7109375" bestFit="1" customWidth="1"/>
    <col min="5" max="5" width="12" bestFit="1" customWidth="1"/>
  </cols>
  <sheetData>
    <row r="1" spans="2:11" ht="15.75" thickBot="1" x14ac:dyDescent="0.3"/>
    <row r="2" spans="2:11" x14ac:dyDescent="0.25">
      <c r="B2" s="54"/>
      <c r="C2" s="55" t="s">
        <v>63</v>
      </c>
      <c r="D2" s="55" t="s">
        <v>64</v>
      </c>
      <c r="E2" s="56" t="s">
        <v>65</v>
      </c>
      <c r="F2" s="53"/>
      <c r="G2" s="53"/>
      <c r="H2" s="53"/>
      <c r="I2" s="53"/>
      <c r="J2" s="53"/>
      <c r="K2" s="53"/>
    </row>
    <row r="3" spans="2:11" ht="15.75" thickBot="1" x14ac:dyDescent="0.3">
      <c r="B3" s="57" t="s">
        <v>62</v>
      </c>
      <c r="C3" s="58">
        <v>0.97</v>
      </c>
      <c r="D3" s="58">
        <v>1.26</v>
      </c>
      <c r="E3" s="59">
        <v>1.1599999999999999</v>
      </c>
      <c r="F3" s="53"/>
      <c r="G3" s="53"/>
      <c r="H3" s="96" t="s">
        <v>90</v>
      </c>
      <c r="I3" s="97">
        <v>0.15</v>
      </c>
      <c r="J3" s="97">
        <f>I3*(1+I5)</f>
        <v>0.15824999999999997</v>
      </c>
      <c r="K3" s="53"/>
    </row>
    <row r="4" spans="2:11" x14ac:dyDescent="0.25">
      <c r="B4" s="53"/>
      <c r="C4" s="53"/>
      <c r="D4" s="53"/>
      <c r="E4" s="53"/>
      <c r="F4" s="53"/>
      <c r="G4" s="53"/>
      <c r="H4" s="96" t="s">
        <v>92</v>
      </c>
      <c r="I4" s="97">
        <f>4.6*3.5%</f>
        <v>0.161</v>
      </c>
      <c r="J4" s="96"/>
      <c r="K4" s="53"/>
    </row>
    <row r="5" spans="2:11" ht="15.75" thickBot="1" x14ac:dyDescent="0.3">
      <c r="B5" s="53"/>
      <c r="C5" s="53"/>
      <c r="D5" s="53"/>
      <c r="E5" s="53"/>
      <c r="F5" s="53"/>
      <c r="G5" s="53"/>
      <c r="H5" s="96" t="s">
        <v>91</v>
      </c>
      <c r="I5" s="97">
        <v>5.5E-2</v>
      </c>
      <c r="J5" s="96"/>
      <c r="K5" s="53"/>
    </row>
    <row r="6" spans="2:11" ht="30.75" thickBot="1" x14ac:dyDescent="0.3">
      <c r="B6" s="63" t="s">
        <v>68</v>
      </c>
      <c r="C6" s="64">
        <v>1.83E-2</v>
      </c>
      <c r="D6" s="61"/>
      <c r="E6" s="62"/>
      <c r="F6" s="53" t="s">
        <v>94</v>
      </c>
      <c r="G6" s="53"/>
      <c r="H6" s="53"/>
      <c r="I6" s="53"/>
      <c r="J6" s="53"/>
      <c r="K6" s="53"/>
    </row>
    <row r="7" spans="2:11" ht="15.75" thickBot="1" x14ac:dyDescent="0.3"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2:11" ht="15.75" thickBot="1" x14ac:dyDescent="0.3">
      <c r="B8" s="63" t="s">
        <v>69</v>
      </c>
      <c r="C8" s="64">
        <v>0.10580000000000001</v>
      </c>
      <c r="D8" s="61"/>
      <c r="E8" s="62"/>
      <c r="F8" s="53" t="s">
        <v>95</v>
      </c>
      <c r="G8" s="53"/>
      <c r="H8" s="53">
        <f>(1-J3)*(1-I4)</f>
        <v>0.70622825</v>
      </c>
      <c r="I8" s="79">
        <f>J3+I4</f>
        <v>0.31924999999999998</v>
      </c>
      <c r="J8" s="53"/>
      <c r="K8" s="53"/>
    </row>
    <row r="9" spans="2:11" x14ac:dyDescent="0.25">
      <c r="B9" s="53"/>
      <c r="C9" s="53"/>
      <c r="D9" s="53"/>
      <c r="E9" s="53"/>
      <c r="F9" s="53"/>
      <c r="G9" s="53"/>
      <c r="H9" s="53"/>
      <c r="I9" s="53"/>
      <c r="J9" s="53"/>
      <c r="K9" s="53"/>
    </row>
    <row r="10" spans="2:11" x14ac:dyDescent="0.25">
      <c r="B10" s="53" t="s">
        <v>96</v>
      </c>
      <c r="C10" s="53"/>
      <c r="D10" s="53"/>
      <c r="E10" s="53"/>
      <c r="F10" s="53"/>
      <c r="G10" s="53"/>
      <c r="H10" s="53"/>
      <c r="I10" s="53"/>
      <c r="J10" s="53"/>
      <c r="K10" s="53"/>
    </row>
    <row r="11" spans="2:11" x14ac:dyDescent="0.25">
      <c r="B11" s="53"/>
      <c r="C11" s="53"/>
      <c r="D11" s="53"/>
      <c r="E11" s="53"/>
      <c r="F11" s="53"/>
      <c r="G11" s="53"/>
      <c r="H11" s="53"/>
      <c r="I11" s="53"/>
      <c r="J11" s="53"/>
      <c r="K11" s="53"/>
    </row>
    <row r="12" spans="2:11" x14ac:dyDescent="0.25">
      <c r="B12" s="53" t="s">
        <v>70</v>
      </c>
      <c r="C12" s="53"/>
      <c r="D12" s="53"/>
      <c r="E12" s="53"/>
      <c r="F12" s="53"/>
      <c r="G12" s="53"/>
      <c r="H12" s="53"/>
      <c r="I12" s="53"/>
      <c r="J12" s="53"/>
      <c r="K12" s="53"/>
    </row>
    <row r="13" spans="2:11" x14ac:dyDescent="0.25">
      <c r="B13" s="53" t="s">
        <v>97</v>
      </c>
      <c r="C13" s="53"/>
      <c r="D13" s="53"/>
      <c r="E13" s="53"/>
      <c r="F13" s="53"/>
      <c r="G13" s="53">
        <f>(D19/D21)*D22+(D20/D21)*D23*(J3+I4)</f>
        <v>3.1404903755588694E-2</v>
      </c>
      <c r="H13" s="53"/>
      <c r="I13" s="53"/>
      <c r="J13" s="53"/>
      <c r="K13" s="53"/>
    </row>
    <row r="14" spans="2:11" x14ac:dyDescent="0.25">
      <c r="B14" s="53" t="s">
        <v>71</v>
      </c>
      <c r="C14" s="53"/>
      <c r="D14" s="53"/>
      <c r="E14" s="53"/>
      <c r="F14" s="53"/>
      <c r="G14" s="53"/>
      <c r="H14" s="53"/>
      <c r="I14" s="53"/>
      <c r="J14" s="53"/>
      <c r="K14" s="53"/>
    </row>
    <row r="15" spans="2:11" x14ac:dyDescent="0.25">
      <c r="B15" s="80">
        <f>C6+(C8-C6)*C3</f>
        <v>0.103175</v>
      </c>
      <c r="C15" s="53"/>
      <c r="D15" s="53"/>
      <c r="E15" s="53"/>
      <c r="F15" s="53"/>
      <c r="G15" s="53"/>
      <c r="H15" s="53"/>
      <c r="I15" s="53"/>
      <c r="J15" s="53"/>
      <c r="K15" s="53"/>
    </row>
    <row r="16" spans="2:11" x14ac:dyDescent="0.25">
      <c r="B16" s="53"/>
      <c r="C16" s="53"/>
      <c r="D16" s="53"/>
      <c r="E16" s="53"/>
      <c r="F16" s="53"/>
      <c r="G16" s="53"/>
      <c r="H16" s="53"/>
      <c r="I16" s="53"/>
      <c r="J16" s="53"/>
      <c r="K16" s="53"/>
    </row>
    <row r="17" spans="2:11" ht="15.75" thickBot="1" x14ac:dyDescent="0.3">
      <c r="B17" s="53"/>
      <c r="C17" s="53"/>
      <c r="D17" s="53"/>
      <c r="E17" s="53"/>
      <c r="F17" s="53"/>
      <c r="G17" s="53"/>
      <c r="H17" s="53"/>
      <c r="I17" s="53"/>
      <c r="J17" s="53"/>
      <c r="K17" s="53"/>
    </row>
    <row r="18" spans="2:11" x14ac:dyDescent="0.25">
      <c r="B18" s="53"/>
      <c r="C18" s="70" t="s">
        <v>76</v>
      </c>
      <c r="D18" s="71">
        <v>2010</v>
      </c>
      <c r="E18" s="71">
        <v>2011</v>
      </c>
      <c r="F18" s="71">
        <v>2012</v>
      </c>
      <c r="G18" s="72">
        <v>2013</v>
      </c>
      <c r="H18" s="53"/>
      <c r="I18" s="53"/>
      <c r="J18" s="53"/>
      <c r="K18" s="53"/>
    </row>
    <row r="19" spans="2:11" x14ac:dyDescent="0.25">
      <c r="B19" s="53"/>
      <c r="C19" s="81" t="s">
        <v>36</v>
      </c>
      <c r="D19" s="74">
        <f>Bilanz!G9</f>
        <v>18581</v>
      </c>
      <c r="E19" s="74">
        <f>Bilanz!H9</f>
        <v>19074</v>
      </c>
      <c r="F19" s="74">
        <f>Bilanz!I9</f>
        <v>21498</v>
      </c>
      <c r="G19" s="75">
        <f>Bilanz!J9</f>
        <v>24437</v>
      </c>
      <c r="H19" s="53"/>
      <c r="I19" s="53"/>
      <c r="J19" s="53"/>
      <c r="K19" s="53"/>
    </row>
    <row r="20" spans="2:11" x14ac:dyDescent="0.25">
      <c r="B20" s="53"/>
      <c r="C20" s="81" t="s">
        <v>78</v>
      </c>
      <c r="D20" s="74">
        <f>(Bilanz!G13+Bilanz!G18)</f>
        <v>57427</v>
      </c>
      <c r="E20" s="74">
        <f>(Bilanz!H13+Bilanz!H18)</f>
        <v>64724</v>
      </c>
      <c r="F20" s="74">
        <f>(Bilanz!I13+Bilanz!I18)</f>
        <v>67347</v>
      </c>
      <c r="G20" s="75">
        <f>(Bilanz!J13+Bilanz!J18)</f>
        <v>75580</v>
      </c>
      <c r="H20" s="53"/>
      <c r="I20" s="53"/>
      <c r="J20" s="53"/>
      <c r="K20" s="53"/>
    </row>
    <row r="21" spans="2:11" x14ac:dyDescent="0.25">
      <c r="B21" s="53"/>
      <c r="C21" s="81" t="s">
        <v>79</v>
      </c>
      <c r="D21" s="74">
        <f>Bilanz!G19</f>
        <v>76008</v>
      </c>
      <c r="E21" s="74">
        <f>Bilanz!H19</f>
        <v>83798</v>
      </c>
      <c r="F21" s="74">
        <f>Bilanz!I19</f>
        <v>88845</v>
      </c>
      <c r="G21" s="75">
        <f>Bilanz!J19</f>
        <v>100017</v>
      </c>
      <c r="H21" s="53"/>
      <c r="I21" s="53"/>
      <c r="J21" s="53"/>
      <c r="K21" s="53"/>
    </row>
    <row r="22" spans="2:11" ht="30" x14ac:dyDescent="0.25">
      <c r="B22" s="53"/>
      <c r="C22" s="82" t="s">
        <v>82</v>
      </c>
      <c r="D22" s="83">
        <f>B15</f>
        <v>0.103175</v>
      </c>
      <c r="E22" s="83">
        <f>B15</f>
        <v>0.103175</v>
      </c>
      <c r="F22" s="83">
        <f>B15</f>
        <v>0.103175</v>
      </c>
      <c r="G22" s="84">
        <f>B15</f>
        <v>0.103175</v>
      </c>
      <c r="H22" s="53"/>
      <c r="I22" s="53"/>
      <c r="J22" s="53"/>
      <c r="K22" s="53"/>
    </row>
    <row r="23" spans="2:11" x14ac:dyDescent="0.25">
      <c r="B23" s="53"/>
      <c r="C23" s="81" t="s">
        <v>80</v>
      </c>
      <c r="D23" s="85">
        <f>Bilanz!G34</f>
        <v>2.56321739880901E-2</v>
      </c>
      <c r="E23" s="85">
        <f>Bilanz!H34</f>
        <v>2.5616016427104722E-2</v>
      </c>
      <c r="F23" s="85">
        <f>Bilanz!I34</f>
        <v>2.3505577387781005E-2</v>
      </c>
      <c r="G23" s="86">
        <f>Bilanz!J34</f>
        <v>2.0421807573086974E-2</v>
      </c>
      <c r="H23" s="53"/>
      <c r="I23" s="53"/>
      <c r="J23" s="53"/>
      <c r="K23" s="53"/>
    </row>
    <row r="24" spans="2:11" ht="15.75" thickBot="1" x14ac:dyDescent="0.3">
      <c r="B24" s="53"/>
      <c r="C24" s="87" t="s">
        <v>83</v>
      </c>
      <c r="D24" s="88">
        <v>0.31924999999999998</v>
      </c>
      <c r="E24" s="88">
        <v>0.31924999999999998</v>
      </c>
      <c r="F24" s="88">
        <v>0.31924999999999998</v>
      </c>
      <c r="G24" s="88">
        <v>0.31924999999999998</v>
      </c>
      <c r="H24" s="53"/>
      <c r="I24" s="53"/>
      <c r="J24" s="53"/>
      <c r="K24" s="53"/>
    </row>
    <row r="25" spans="2:11" ht="15.75" thickBot="1" x14ac:dyDescent="0.3">
      <c r="B25" s="53"/>
      <c r="C25" s="89" t="s">
        <v>81</v>
      </c>
      <c r="D25" s="90">
        <f>(D19/D21)*D22+(D20/D21)*D23*(1-D24)</f>
        <v>3.8405750459941906E-2</v>
      </c>
      <c r="E25" s="90">
        <f t="shared" ref="E25:G25" si="0">(E19/E21)*E22+(E20/E21)*E23*(1-E24)</f>
        <v>3.695343254493437E-2</v>
      </c>
      <c r="F25" s="90">
        <f t="shared" si="0"/>
        <v>3.70949845733353E-2</v>
      </c>
      <c r="G25" s="91">
        <f t="shared" si="0"/>
        <v>3.5714044935326407E-2</v>
      </c>
      <c r="H25" s="53"/>
      <c r="I25" s="53"/>
      <c r="J25" s="53"/>
      <c r="K25" s="53"/>
    </row>
    <row r="26" spans="2:11" x14ac:dyDescent="0.25">
      <c r="B26" s="53"/>
      <c r="C26" s="53"/>
      <c r="D26" s="53"/>
      <c r="E26" s="53"/>
      <c r="F26" s="53"/>
      <c r="G26" s="53"/>
      <c r="H26" s="53"/>
      <c r="I26" s="53"/>
      <c r="J26" s="53"/>
      <c r="K26" s="53"/>
    </row>
    <row r="27" spans="2:11" x14ac:dyDescent="0.25">
      <c r="B27" s="53"/>
      <c r="C27" s="53"/>
      <c r="D27" s="53"/>
      <c r="E27" s="53"/>
      <c r="F27" s="53"/>
      <c r="G27" s="53"/>
      <c r="H27" s="53"/>
      <c r="I27" s="53"/>
      <c r="J27" s="53"/>
      <c r="K27" s="53"/>
    </row>
    <row r="28" spans="2:11" ht="15.75" thickBot="1" x14ac:dyDescent="0.3">
      <c r="B28" s="53"/>
      <c r="C28" s="53"/>
      <c r="D28" s="53"/>
      <c r="E28" s="53"/>
      <c r="F28" s="53"/>
      <c r="G28" s="53"/>
      <c r="H28" s="53"/>
      <c r="I28" s="53"/>
      <c r="J28" s="53"/>
      <c r="K28" s="53"/>
    </row>
    <row r="29" spans="2:11" x14ac:dyDescent="0.25">
      <c r="B29" s="53"/>
      <c r="C29" s="70" t="s">
        <v>76</v>
      </c>
      <c r="D29" s="71">
        <v>2010</v>
      </c>
      <c r="E29" s="71">
        <v>2011</v>
      </c>
      <c r="F29" s="71">
        <v>2012</v>
      </c>
      <c r="G29" s="72">
        <v>2013</v>
      </c>
      <c r="H29" s="53"/>
      <c r="I29" s="53"/>
      <c r="J29" s="53"/>
      <c r="K29" s="53"/>
    </row>
    <row r="30" spans="2:11" x14ac:dyDescent="0.25">
      <c r="B30" s="53"/>
      <c r="C30" s="81" t="s">
        <v>84</v>
      </c>
      <c r="D30" s="85">
        <f>Bilanz!G34</f>
        <v>2.56321739880901E-2</v>
      </c>
      <c r="E30" s="85">
        <f>Bilanz!H34</f>
        <v>2.5616016427104722E-2</v>
      </c>
      <c r="F30" s="85">
        <f>Bilanz!I34</f>
        <v>2.3505577387781005E-2</v>
      </c>
      <c r="G30" s="86">
        <f>Bilanz!J34</f>
        <v>2.0421807573086974E-2</v>
      </c>
      <c r="H30" s="53"/>
      <c r="I30" s="53"/>
      <c r="J30" s="53"/>
      <c r="K30" s="53"/>
    </row>
    <row r="31" spans="2:11" x14ac:dyDescent="0.25">
      <c r="B31" s="53"/>
      <c r="C31" s="81" t="s">
        <v>85</v>
      </c>
      <c r="D31" s="74">
        <f>Bilanz!G10+Bilanz!G14</f>
        <v>34761</v>
      </c>
      <c r="E31" s="74">
        <f>Bilanz!H10+Bilanz!H14</f>
        <v>38960</v>
      </c>
      <c r="F31" s="74">
        <f>Bilanz!I10+Bilanz!I14</f>
        <v>40969</v>
      </c>
      <c r="G31" s="75">
        <f>Bilanz!J10+Bilanz!J14</f>
        <v>49359</v>
      </c>
      <c r="H31" s="53"/>
      <c r="I31" s="53">
        <f>CashFlow!E16/WACC!G25/((1+WACC!G25)^3)</f>
        <v>424207.70964808931</v>
      </c>
      <c r="J31" s="53"/>
      <c r="K31" s="53"/>
    </row>
    <row r="32" spans="2:11" x14ac:dyDescent="0.25">
      <c r="B32" s="53"/>
      <c r="C32" s="81" t="s">
        <v>86</v>
      </c>
      <c r="D32" s="92">
        <f>((1-0.25)*0.161+0.15825)*(1-0.26375)</f>
        <v>0.20541375000000003</v>
      </c>
      <c r="E32" s="92">
        <f t="shared" ref="E32:G32" si="1">((1-0.25)*0.161+0.15825)*(1-0.26375)</f>
        <v>0.20541375000000003</v>
      </c>
      <c r="F32" s="92">
        <f t="shared" si="1"/>
        <v>0.20541375000000003</v>
      </c>
      <c r="G32" s="93">
        <f t="shared" si="1"/>
        <v>0.20541375000000003</v>
      </c>
      <c r="H32" s="53"/>
      <c r="I32" s="53"/>
      <c r="J32" s="53"/>
      <c r="K32" s="53"/>
    </row>
    <row r="33" spans="2:11" ht="15.75" thickBot="1" x14ac:dyDescent="0.3">
      <c r="B33" s="53"/>
      <c r="C33" s="76" t="s">
        <v>87</v>
      </c>
      <c r="D33" s="77">
        <f>D30*D31*D32</f>
        <v>183.02365125000003</v>
      </c>
      <c r="E33" s="77">
        <f t="shared" ref="E33:G33" si="2">E30*E31*E32</f>
        <v>205.00292250000004</v>
      </c>
      <c r="F33" s="77">
        <f t="shared" si="2"/>
        <v>197.81344125000004</v>
      </c>
      <c r="G33" s="94">
        <f t="shared" si="2"/>
        <v>207.05706000000001</v>
      </c>
      <c r="H33" s="53"/>
      <c r="I33" s="53"/>
      <c r="J33" s="53"/>
      <c r="K33" s="53"/>
    </row>
    <row r="34" spans="2:11" x14ac:dyDescent="0.25">
      <c r="B34" s="53"/>
      <c r="C34" s="53"/>
      <c r="D34" s="53"/>
      <c r="E34" s="53"/>
      <c r="F34" s="53"/>
      <c r="G34" s="53"/>
      <c r="H34" s="53"/>
      <c r="I34" s="53"/>
      <c r="J34" s="53"/>
      <c r="K34" s="53"/>
    </row>
    <row r="35" spans="2:11" x14ac:dyDescent="0.25">
      <c r="B35" s="53"/>
      <c r="C35" s="53"/>
      <c r="D35" s="95">
        <f>D19+CashFlow!B16+(CashFlow!C16/(1+WACC!E25))+(CashFlow!D16/(1+WACC!F25)^2)+(CashFlow!E16/(((1+WACC!G25)^3)))</f>
        <v>72115.778589484602</v>
      </c>
      <c r="E35" s="95">
        <f>D35-D37</f>
        <v>14688.778589484602</v>
      </c>
      <c r="F35" s="53"/>
      <c r="G35" s="53"/>
      <c r="H35" s="53"/>
      <c r="I35" s="53"/>
      <c r="J35" s="53"/>
      <c r="K35" s="53"/>
    </row>
    <row r="36" spans="2:11" x14ac:dyDescent="0.25">
      <c r="B36" s="53"/>
      <c r="C36" s="53"/>
      <c r="D36" s="95">
        <f>D31+(E31/1+E30)+(F31/(1+F30)^2)+(G31/((1+G30)^3))</f>
        <v>159284.29818612011</v>
      </c>
      <c r="E36" s="53"/>
      <c r="F36" s="53"/>
      <c r="G36" s="53"/>
      <c r="H36" s="53"/>
      <c r="I36" s="53"/>
      <c r="J36" s="53"/>
      <c r="K36" s="53"/>
    </row>
    <row r="37" spans="2:11" x14ac:dyDescent="0.25">
      <c r="B37" s="53"/>
      <c r="C37" s="53"/>
      <c r="D37" s="52">
        <f>D20</f>
        <v>57427</v>
      </c>
      <c r="E37" s="53"/>
      <c r="F37" s="53"/>
      <c r="G37" s="53"/>
      <c r="H37" s="53"/>
      <c r="I37" s="53"/>
      <c r="J37" s="53"/>
      <c r="K37" s="53"/>
    </row>
    <row r="38" spans="2:11" x14ac:dyDescent="0.25">
      <c r="B38" s="53"/>
      <c r="C38" s="53"/>
      <c r="D38" s="52">
        <f>CashFlow!B19+CashFlow!C19/(1+WACC!E25)+(CashFlow!D16/(1+WACC!F25)^2)+(CashFlow!E16/(1+WACC!G25)^3)+(CashFlow!E16/(WACC!G25))</f>
        <v>500962.88461572398</v>
      </c>
      <c r="E38" s="53"/>
      <c r="F38" s="53"/>
      <c r="G38" s="53"/>
      <c r="H38" s="53"/>
      <c r="I38" s="53"/>
      <c r="J38" s="53"/>
      <c r="K38" s="53"/>
    </row>
    <row r="39" spans="2:11" x14ac:dyDescent="0.25">
      <c r="B39" s="53"/>
      <c r="C39" s="53"/>
      <c r="D39" s="53"/>
      <c r="E39" s="52">
        <f>D38-D40</f>
        <v>-2074323.3945841091</v>
      </c>
      <c r="F39" s="53"/>
      <c r="G39" s="53"/>
      <c r="H39" s="53"/>
      <c r="I39" s="53"/>
      <c r="J39" s="53"/>
      <c r="K39" s="53"/>
    </row>
    <row r="40" spans="2:11" x14ac:dyDescent="0.25">
      <c r="B40" s="53"/>
      <c r="C40" s="53"/>
      <c r="D40" s="53">
        <f>D31+E31/(1+E30)+F31/(1+F30)^2+G31/(1+G30)^3+G31/(G30)</f>
        <v>2575286.2791998331</v>
      </c>
      <c r="E40" s="53"/>
      <c r="F40" s="53"/>
      <c r="G40" s="53"/>
      <c r="H40" s="53"/>
      <c r="I40" s="53"/>
      <c r="J40" s="53"/>
      <c r="K40" s="53"/>
    </row>
    <row r="41" spans="2:11" x14ac:dyDescent="0.25">
      <c r="B41" s="53"/>
      <c r="C41" s="53"/>
      <c r="D41" s="53"/>
      <c r="E41" s="53"/>
      <c r="F41" s="53" t="s">
        <v>93</v>
      </c>
      <c r="G41" s="53"/>
      <c r="H41" s="53"/>
      <c r="I41" s="53"/>
      <c r="J41" s="53"/>
      <c r="K41" s="53"/>
    </row>
    <row r="42" spans="2:11" x14ac:dyDescent="0.25">
      <c r="B42" s="53"/>
      <c r="C42" s="53"/>
      <c r="D42" s="53">
        <f>GuV!B13*(1-WACC!D24)</f>
        <v>2887.7414999999996</v>
      </c>
      <c r="E42" s="53"/>
      <c r="F42" s="53"/>
      <c r="G42" s="53"/>
      <c r="H42" s="53"/>
      <c r="I42" s="53"/>
      <c r="J42" s="53"/>
      <c r="K42" s="5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GuV</vt:lpstr>
      <vt:lpstr>Bilanz</vt:lpstr>
      <vt:lpstr>CashFlow</vt:lpstr>
      <vt:lpstr>WACC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</dc:creator>
  <cp:lastModifiedBy>Marcel</cp:lastModifiedBy>
  <dcterms:created xsi:type="dcterms:W3CDTF">2011-11-16T16:09:27Z</dcterms:created>
  <dcterms:modified xsi:type="dcterms:W3CDTF">2011-11-29T19:19:01Z</dcterms:modified>
</cp:coreProperties>
</file>