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525" windowWidth="19815" windowHeight="7365"/>
  </bookViews>
  <sheets>
    <sheet name="DCF" sheetId="11" r:id="rId1"/>
    <sheet name="KDG_Neu" sheetId="10" r:id="rId2"/>
    <sheet name="KDG Additional Information" sheetId="2" r:id="rId3"/>
  </sheets>
  <calcPr calcId="125725"/>
</workbook>
</file>

<file path=xl/calcChain.xml><?xml version="1.0" encoding="utf-8"?>
<calcChain xmlns="http://schemas.openxmlformats.org/spreadsheetml/2006/main">
  <c r="V24" i="10"/>
  <c r="W24"/>
  <c r="X24"/>
  <c r="Y24"/>
  <c r="Z24"/>
  <c r="AA24"/>
  <c r="AB24"/>
  <c r="AC24"/>
  <c r="U24"/>
  <c r="V23"/>
  <c r="W23"/>
  <c r="X23"/>
  <c r="Y23"/>
  <c r="Z23"/>
  <c r="AA23"/>
  <c r="AB23"/>
  <c r="AC23"/>
  <c r="U23"/>
  <c r="V22"/>
  <c r="W22"/>
  <c r="X22"/>
  <c r="Y22"/>
  <c r="Z22"/>
  <c r="AA22"/>
  <c r="AB22"/>
  <c r="AC22"/>
  <c r="U22"/>
  <c r="V21"/>
  <c r="W21"/>
  <c r="X21"/>
  <c r="Y21"/>
  <c r="Z21"/>
  <c r="AA21"/>
  <c r="AB21"/>
  <c r="AC21"/>
  <c r="U21"/>
  <c r="J17"/>
  <c r="P7"/>
  <c r="J6"/>
  <c r="J5"/>
  <c r="C4" i="11" s="1"/>
  <c r="J7" i="10"/>
  <c r="J9" s="1"/>
  <c r="P5"/>
  <c r="P54" s="1"/>
  <c r="D14" i="11"/>
  <c r="E14"/>
  <c r="F14"/>
  <c r="G14"/>
  <c r="H14"/>
  <c r="I14"/>
  <c r="J14"/>
  <c r="K14"/>
  <c r="C14"/>
  <c r="D11"/>
  <c r="E11"/>
  <c r="F11"/>
  <c r="G11"/>
  <c r="H11"/>
  <c r="I11"/>
  <c r="J11"/>
  <c r="K11"/>
  <c r="C11"/>
  <c r="D8"/>
  <c r="E8"/>
  <c r="F8"/>
  <c r="G8"/>
  <c r="H8"/>
  <c r="I8"/>
  <c r="J8"/>
  <c r="K8"/>
  <c r="C8"/>
  <c r="J54" i="10"/>
  <c r="C16" i="11" s="1"/>
  <c r="J31" i="10"/>
  <c r="J50" s="1"/>
  <c r="J25"/>
  <c r="K50"/>
  <c r="L50"/>
  <c r="M50"/>
  <c r="N50"/>
  <c r="O50"/>
  <c r="P50"/>
  <c r="Q50"/>
  <c r="R50"/>
  <c r="K31"/>
  <c r="L31"/>
  <c r="M31"/>
  <c r="N31"/>
  <c r="O31"/>
  <c r="P26"/>
  <c r="H51" i="2"/>
  <c r="I51"/>
  <c r="J51"/>
  <c r="K51"/>
  <c r="L51"/>
  <c r="M51"/>
  <c r="N51"/>
  <c r="O51"/>
  <c r="P51"/>
  <c r="H41"/>
  <c r="I41"/>
  <c r="H42"/>
  <c r="I42"/>
  <c r="H43"/>
  <c r="I43"/>
  <c r="H3"/>
  <c r="K6" i="10"/>
  <c r="L6" s="1"/>
  <c r="M6" s="1"/>
  <c r="N6" s="1"/>
  <c r="O6" s="1"/>
  <c r="P6" s="1"/>
  <c r="Q6" s="1"/>
  <c r="R6" s="1"/>
  <c r="R7"/>
  <c r="R26" s="1"/>
  <c r="R18"/>
  <c r="R13"/>
  <c r="R17" s="1"/>
  <c r="K7"/>
  <c r="K9" s="1"/>
  <c r="L7"/>
  <c r="L26" s="1"/>
  <c r="M7"/>
  <c r="N7"/>
  <c r="N5" s="1"/>
  <c r="N54" s="1"/>
  <c r="O7"/>
  <c r="Q7"/>
  <c r="Q9" s="1"/>
  <c r="J10"/>
  <c r="K13"/>
  <c r="L13"/>
  <c r="M13"/>
  <c r="N13"/>
  <c r="N17" s="1"/>
  <c r="O13"/>
  <c r="O17" s="1"/>
  <c r="P13"/>
  <c r="P17" s="1"/>
  <c r="Q13"/>
  <c r="Q17" s="1"/>
  <c r="J13"/>
  <c r="Q18"/>
  <c r="H18"/>
  <c r="I18"/>
  <c r="J18"/>
  <c r="K18"/>
  <c r="L18"/>
  <c r="M18"/>
  <c r="N18"/>
  <c r="O18"/>
  <c r="P18"/>
  <c r="F18"/>
  <c r="G18"/>
  <c r="E18"/>
  <c r="E17"/>
  <c r="F17"/>
  <c r="G17"/>
  <c r="H17"/>
  <c r="I17"/>
  <c r="K17"/>
  <c r="L17"/>
  <c r="M17"/>
  <c r="D17"/>
  <c r="E14"/>
  <c r="F14"/>
  <c r="G14"/>
  <c r="H14"/>
  <c r="I14"/>
  <c r="D14"/>
  <c r="R5" l="1"/>
  <c r="R54" s="1"/>
  <c r="I16" i="11"/>
  <c r="P55" i="10"/>
  <c r="N55"/>
  <c r="G16" i="11"/>
  <c r="O9" i="10"/>
  <c r="N26"/>
  <c r="M9"/>
  <c r="J55"/>
  <c r="J26"/>
  <c r="J29" s="1"/>
  <c r="R9"/>
  <c r="R25"/>
  <c r="P25"/>
  <c r="N25"/>
  <c r="N29" s="1"/>
  <c r="L25"/>
  <c r="P9"/>
  <c r="N9"/>
  <c r="L9"/>
  <c r="J27"/>
  <c r="Q26"/>
  <c r="O26"/>
  <c r="M26"/>
  <c r="K26"/>
  <c r="Q25"/>
  <c r="O25"/>
  <c r="M25"/>
  <c r="K25"/>
  <c r="P27"/>
  <c r="N27"/>
  <c r="L5"/>
  <c r="Q5"/>
  <c r="O5"/>
  <c r="M5"/>
  <c r="K5"/>
  <c r="K54" s="1"/>
  <c r="K16" i="11" l="1"/>
  <c r="R55" i="10"/>
  <c r="R27"/>
  <c r="R29" s="1"/>
  <c r="Q27"/>
  <c r="Q29" s="1"/>
  <c r="Q54"/>
  <c r="O27"/>
  <c r="O54"/>
  <c r="N30"/>
  <c r="N62"/>
  <c r="N35"/>
  <c r="M27"/>
  <c r="M29" s="1"/>
  <c r="M54"/>
  <c r="L27"/>
  <c r="L54"/>
  <c r="D16" i="11"/>
  <c r="K55" i="10"/>
  <c r="J62"/>
  <c r="J30"/>
  <c r="J35"/>
  <c r="J36"/>
  <c r="C7" i="11" s="1"/>
  <c r="C6" s="1"/>
  <c r="C9" s="1"/>
  <c r="C10" s="1"/>
  <c r="J39" i="10"/>
  <c r="J41" s="1"/>
  <c r="J43" s="1"/>
  <c r="E20" i="11"/>
  <c r="F20"/>
  <c r="K10" i="10"/>
  <c r="D5" i="11" s="1"/>
  <c r="D4" s="1"/>
  <c r="K27" i="10"/>
  <c r="K29" s="1"/>
  <c r="O29"/>
  <c r="L29"/>
  <c r="P29"/>
  <c r="O10"/>
  <c r="H5" i="11" s="1"/>
  <c r="P10" i="10"/>
  <c r="I5" i="11" s="1"/>
  <c r="L10" i="10"/>
  <c r="E5" i="11" s="1"/>
  <c r="M10" i="10"/>
  <c r="F5" i="11" s="1"/>
  <c r="Q10" i="10"/>
  <c r="J5" i="11" s="1"/>
  <c r="N10" i="10"/>
  <c r="G5" i="11" s="1"/>
  <c r="R10" i="10"/>
  <c r="K5" i="11" s="1"/>
  <c r="R62" i="10" l="1"/>
  <c r="R35"/>
  <c r="R30"/>
  <c r="Q30"/>
  <c r="Q62"/>
  <c r="Q35"/>
  <c r="J16" i="11"/>
  <c r="Q55" i="10"/>
  <c r="P62"/>
  <c r="P35"/>
  <c r="P30"/>
  <c r="O30"/>
  <c r="O62"/>
  <c r="O35"/>
  <c r="H16" i="11"/>
  <c r="O55" i="10"/>
  <c r="N39"/>
  <c r="N41" s="1"/>
  <c r="N43" s="1"/>
  <c r="N36"/>
  <c r="G7" i="11" s="1"/>
  <c r="M30" i="10"/>
  <c r="M62"/>
  <c r="M35"/>
  <c r="F16" i="11"/>
  <c r="M55" i="10"/>
  <c r="L30"/>
  <c r="L62"/>
  <c r="L35"/>
  <c r="L55"/>
  <c r="E16" i="11"/>
  <c r="K62" i="10"/>
  <c r="K30"/>
  <c r="K35"/>
  <c r="D20" i="11"/>
  <c r="E4"/>
  <c r="J45" i="10"/>
  <c r="J49"/>
  <c r="J52" s="1"/>
  <c r="J57" s="1"/>
  <c r="J59" s="1"/>
  <c r="J67" s="1"/>
  <c r="C12" i="11"/>
  <c r="G20"/>
  <c r="R39" i="10" l="1"/>
  <c r="R41" s="1"/>
  <c r="R43" s="1"/>
  <c r="R36"/>
  <c r="K7" i="11" s="1"/>
  <c r="Q39" i="10"/>
  <c r="Q41" s="1"/>
  <c r="Q43" s="1"/>
  <c r="Q36"/>
  <c r="J7" i="11" s="1"/>
  <c r="P39" i="10"/>
  <c r="P41" s="1"/>
  <c r="P43" s="1"/>
  <c r="P36"/>
  <c r="I7" i="11" s="1"/>
  <c r="O39" i="10"/>
  <c r="O41" s="1"/>
  <c r="O43" s="1"/>
  <c r="O36"/>
  <c r="H7" i="11" s="1"/>
  <c r="N45" i="10"/>
  <c r="N49"/>
  <c r="N52" s="1"/>
  <c r="N57" s="1"/>
  <c r="N59" s="1"/>
  <c r="N67" s="1"/>
  <c r="M39"/>
  <c r="M41" s="1"/>
  <c r="M43" s="1"/>
  <c r="M36"/>
  <c r="F7" i="11" s="1"/>
  <c r="L39" i="10"/>
  <c r="L41" s="1"/>
  <c r="L43" s="1"/>
  <c r="L36"/>
  <c r="E7" i="11" s="1"/>
  <c r="E6" s="1"/>
  <c r="E9" s="1"/>
  <c r="E10" s="1"/>
  <c r="E12" s="1"/>
  <c r="K39" i="10"/>
  <c r="K41" s="1"/>
  <c r="K43" s="1"/>
  <c r="K36"/>
  <c r="D7" i="11" s="1"/>
  <c r="D6" s="1"/>
  <c r="D9" s="1"/>
  <c r="D10" s="1"/>
  <c r="D12" s="1"/>
  <c r="D22" s="1"/>
  <c r="F4"/>
  <c r="C22"/>
  <c r="C13"/>
  <c r="H20"/>
  <c r="R45" i="10" l="1"/>
  <c r="R49"/>
  <c r="R52" s="1"/>
  <c r="R57" s="1"/>
  <c r="R59" s="1"/>
  <c r="R67" s="1"/>
  <c r="Q45"/>
  <c r="Q49"/>
  <c r="Q52" s="1"/>
  <c r="Q57" s="1"/>
  <c r="Q59" s="1"/>
  <c r="Q67" s="1"/>
  <c r="P45"/>
  <c r="P49"/>
  <c r="P52" s="1"/>
  <c r="P57" s="1"/>
  <c r="P59" s="1"/>
  <c r="P67" s="1"/>
  <c r="O45"/>
  <c r="O49"/>
  <c r="O52" s="1"/>
  <c r="O57" s="1"/>
  <c r="O59" s="1"/>
  <c r="O67" s="1"/>
  <c r="M45"/>
  <c r="M49"/>
  <c r="M52" s="1"/>
  <c r="M57" s="1"/>
  <c r="M59" s="1"/>
  <c r="M67" s="1"/>
  <c r="L45"/>
  <c r="L49"/>
  <c r="L52" s="1"/>
  <c r="L57" s="1"/>
  <c r="L59" s="1"/>
  <c r="L67" s="1"/>
  <c r="K45"/>
  <c r="K49"/>
  <c r="K52" s="1"/>
  <c r="K57" s="1"/>
  <c r="K59" s="1"/>
  <c r="K67" s="1"/>
  <c r="D13" i="11"/>
  <c r="E22"/>
  <c r="E13"/>
  <c r="G4"/>
  <c r="F6"/>
  <c r="F9" s="1"/>
  <c r="F10" s="1"/>
  <c r="F12" s="1"/>
  <c r="I20"/>
  <c r="H4" l="1"/>
  <c r="G6"/>
  <c r="G9" s="1"/>
  <c r="G10" s="1"/>
  <c r="G12" s="1"/>
  <c r="F13"/>
  <c r="F22"/>
  <c r="J20"/>
  <c r="I4" l="1"/>
  <c r="H6"/>
  <c r="H9" s="1"/>
  <c r="H10" s="1"/>
  <c r="H12" s="1"/>
  <c r="G22"/>
  <c r="G13"/>
  <c r="K20"/>
  <c r="I6" l="1"/>
  <c r="I9" s="1"/>
  <c r="I10" s="1"/>
  <c r="I12" s="1"/>
  <c r="J4"/>
  <c r="H22"/>
  <c r="H13"/>
  <c r="L20"/>
  <c r="I22" l="1"/>
  <c r="I13"/>
  <c r="K4"/>
  <c r="J6"/>
  <c r="J9" s="1"/>
  <c r="J10" s="1"/>
  <c r="J12" s="1"/>
  <c r="M20"/>
  <c r="L4" l="1"/>
  <c r="K6"/>
  <c r="K9" s="1"/>
  <c r="K10" s="1"/>
  <c r="K12" s="1"/>
  <c r="J13"/>
  <c r="J22"/>
  <c r="N20"/>
  <c r="M4" l="1"/>
  <c r="L6"/>
  <c r="L9" s="1"/>
  <c r="L10" s="1"/>
  <c r="L12" s="1"/>
  <c r="K22"/>
  <c r="K13"/>
  <c r="O20"/>
  <c r="L22" l="1"/>
  <c r="L13"/>
  <c r="M6"/>
  <c r="M9" s="1"/>
  <c r="M10" s="1"/>
  <c r="M12" s="1"/>
  <c r="N4"/>
  <c r="P20"/>
  <c r="M13" l="1"/>
  <c r="M22"/>
  <c r="O4"/>
  <c r="N6"/>
  <c r="N9" s="1"/>
  <c r="N10" s="1"/>
  <c r="N12" s="1"/>
  <c r="Q20"/>
  <c r="P4" l="1"/>
  <c r="O6"/>
  <c r="O9" s="1"/>
  <c r="O10" s="1"/>
  <c r="O12" s="1"/>
  <c r="N13"/>
  <c r="N22"/>
  <c r="Q4" l="1"/>
  <c r="Q6" s="1"/>
  <c r="Q9" s="1"/>
  <c r="Q10" s="1"/>
  <c r="Q12" s="1"/>
  <c r="Q13" s="1"/>
  <c r="P6"/>
  <c r="P9" s="1"/>
  <c r="P10" s="1"/>
  <c r="P12" s="1"/>
  <c r="O22"/>
  <c r="O13"/>
  <c r="Q22" l="1"/>
  <c r="Q23" s="1"/>
  <c r="P13"/>
  <c r="P22"/>
  <c r="C24" l="1"/>
  <c r="C25" s="1"/>
  <c r="F27" s="1"/>
</calcChain>
</file>

<file path=xl/sharedStrings.xml><?xml version="1.0" encoding="utf-8"?>
<sst xmlns="http://schemas.openxmlformats.org/spreadsheetml/2006/main" count="320" uniqueCount="116">
  <si>
    <t>Umsatz</t>
  </si>
  <si>
    <t>Anzahl Aktien</t>
  </si>
  <si>
    <t>n/a</t>
  </si>
  <si>
    <t>Ewige Rente</t>
  </si>
  <si>
    <t>EK-Kosten</t>
  </si>
  <si>
    <t>EBIT</t>
  </si>
  <si>
    <t>Steuerquote</t>
  </si>
  <si>
    <t>Jahresüberschuss</t>
  </si>
  <si>
    <t>Abschreibungen</t>
  </si>
  <si>
    <t>Investitionen</t>
  </si>
  <si>
    <t>Owners Earnings</t>
  </si>
  <si>
    <t>KDG Detailrrechnung</t>
  </si>
  <si>
    <t>2006A</t>
  </si>
  <si>
    <t>2007A</t>
  </si>
  <si>
    <t>2008A</t>
  </si>
  <si>
    <t>2009A</t>
  </si>
  <si>
    <t>2010A</t>
  </si>
  <si>
    <t>2011E</t>
  </si>
  <si>
    <t>2012E</t>
  </si>
  <si>
    <t>2013E</t>
  </si>
  <si>
    <t>2014E</t>
  </si>
  <si>
    <t>2015E</t>
  </si>
  <si>
    <t>2016E</t>
  </si>
  <si>
    <t>2017E</t>
  </si>
  <si>
    <t>2018E</t>
  </si>
  <si>
    <t>2019F</t>
  </si>
  <si>
    <t>Basic Cable</t>
  </si>
  <si>
    <t xml:space="preserve">   Wachstum Basic Cable</t>
  </si>
  <si>
    <t>n/m</t>
  </si>
  <si>
    <t>Premium TV</t>
  </si>
  <si>
    <t xml:space="preserve">   Wachstum Premium TV</t>
  </si>
  <si>
    <t>TKS</t>
  </si>
  <si>
    <t xml:space="preserve">   Wachstum TKS</t>
  </si>
  <si>
    <t>Internet &amp; Telefonie</t>
  </si>
  <si>
    <t xml:space="preserve">   Wachstum Internet &amp; Telefonie</t>
  </si>
  <si>
    <t>Gesamtumsatz Konzern</t>
  </si>
  <si>
    <t xml:space="preserve">   Wachstum  Konzern</t>
  </si>
  <si>
    <t>KDG Umsataufteilung nach Segment</t>
  </si>
  <si>
    <t>Homes upgraded</t>
  </si>
  <si>
    <t>Homes being marketed</t>
  </si>
  <si>
    <t xml:space="preserve">  In % von Homes upgraded</t>
  </si>
  <si>
    <t>Internet &amp; Telefonie Kunden</t>
  </si>
  <si>
    <t xml:space="preserve">  In % von Homes being marketed</t>
  </si>
  <si>
    <t xml:space="preserve">  Kundenwachstum</t>
  </si>
  <si>
    <t>Umsatz Internet &amp; Telefonie</t>
  </si>
  <si>
    <t>KDG Margen nach Segmenten</t>
  </si>
  <si>
    <t>EBITDA-Basis</t>
  </si>
  <si>
    <t>Verwaltung/Überleitung</t>
  </si>
  <si>
    <t>KDG EBITDA nach Segmente</t>
  </si>
  <si>
    <t>EBITDA Gesamtkonzern</t>
  </si>
  <si>
    <t>EBITDA Marge Gesamtkonzern</t>
  </si>
  <si>
    <t>Finanzaufwand</t>
  </si>
  <si>
    <t>Ergebnis vor Steuern</t>
  </si>
  <si>
    <t>Steueraufwand</t>
  </si>
  <si>
    <t>Anzahl ausstehender Aktien</t>
  </si>
  <si>
    <t>EPS (verwässert/unverwässert)</t>
  </si>
  <si>
    <t>KGV (Kurs: 35 €)</t>
  </si>
  <si>
    <t>neg</t>
  </si>
  <si>
    <t>ÜBERLEITUNG DCF Rechnung</t>
  </si>
  <si>
    <t>Non-Cash Finanzaufwand</t>
  </si>
  <si>
    <t>CAPEX</t>
  </si>
  <si>
    <t>WC-Veränderungen</t>
  </si>
  <si>
    <t>Owners Earnigns</t>
  </si>
  <si>
    <t>Discounted Owners Earnings</t>
  </si>
  <si>
    <t>Wert des EK</t>
  </si>
  <si>
    <t>Wert je Aktie</t>
  </si>
  <si>
    <t>EBT</t>
  </si>
  <si>
    <t>2011A</t>
  </si>
  <si>
    <t>2019E</t>
  </si>
  <si>
    <t>2020E</t>
  </si>
  <si>
    <t>davon: TV</t>
  </si>
  <si>
    <t>davon: I&amp;T</t>
  </si>
  <si>
    <t>TV in %</t>
  </si>
  <si>
    <t>I&amp;T in %</t>
  </si>
  <si>
    <t>Konzernwachstum</t>
  </si>
  <si>
    <t>EBITDA</t>
  </si>
  <si>
    <t>Marge TV</t>
  </si>
  <si>
    <t>Marge I&amp;T</t>
  </si>
  <si>
    <t>Marge Verwaltung</t>
  </si>
  <si>
    <t>EBITDA TV</t>
  </si>
  <si>
    <t>EBITDA I&amp;T</t>
  </si>
  <si>
    <t>EBITDA Verwaltung</t>
  </si>
  <si>
    <t>Zinsaufwand</t>
  </si>
  <si>
    <t>davon: Kundenstamm</t>
  </si>
  <si>
    <t>davon: normale AfA</t>
  </si>
  <si>
    <t>Überleitung FCF</t>
  </si>
  <si>
    <t>Working Capital</t>
  </si>
  <si>
    <t>Operativer Cashflow</t>
  </si>
  <si>
    <t>Cashflow aus Investitionen</t>
  </si>
  <si>
    <t>Free-Cashflow</t>
  </si>
  <si>
    <t>Free-Cashflow je Aktie</t>
  </si>
  <si>
    <t>Gewinn je Aktie</t>
  </si>
  <si>
    <t>EV/EBITDA</t>
  </si>
  <si>
    <t>FK = 2814</t>
  </si>
  <si>
    <t>EK = 3240</t>
  </si>
  <si>
    <t>Planungsperiode</t>
  </si>
  <si>
    <t>Übergangsperiode</t>
  </si>
  <si>
    <t>TV</t>
  </si>
  <si>
    <t>Umsatzwachstum (in%)</t>
  </si>
  <si>
    <t>EBIT-Marge (in%)</t>
  </si>
  <si>
    <t>Steuerquote (in%)</t>
  </si>
  <si>
    <t>(EPS)</t>
  </si>
  <si>
    <t>Abschreibungen (in%)</t>
  </si>
  <si>
    <t>Investitionen (in%)</t>
  </si>
  <si>
    <t>Net Working Capital</t>
  </si>
  <si>
    <t>NWC (in%)</t>
  </si>
  <si>
    <t>∆ NWC</t>
  </si>
  <si>
    <t>TV:</t>
  </si>
  <si>
    <t>Equity Value:</t>
  </si>
  <si>
    <t>DCF-Wert je Aktie:</t>
  </si>
  <si>
    <t>Sensivitätsanalyse:</t>
  </si>
  <si>
    <t>max. Div. Rendite (Kurs:36€)</t>
  </si>
  <si>
    <t>EBITDA (%)</t>
  </si>
  <si>
    <t>EBIT (%)</t>
  </si>
  <si>
    <t>Umsatzrendite (%)</t>
  </si>
  <si>
    <t>DIESES SHEET IST NICHTMEHR AKTUELL</t>
  </si>
</sst>
</file>

<file path=xl/styles.xml><?xml version="1.0" encoding="utf-8"?>
<styleSheet xmlns="http://schemas.openxmlformats.org/spreadsheetml/2006/main">
  <numFmts count="9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&quot; &quot;[$€-407];[Red]&quot;-&quot;#,##0.00&quot; &quot;[$€-407]"/>
    <numFmt numFmtId="165" formatCode="[$-407]General"/>
    <numFmt numFmtId="166" formatCode="0.0%"/>
    <numFmt numFmtId="167" formatCode="#,##0.00&quot; € &quot;;&quot;-&quot;#,##0.00&quot; € &quot;;&quot; -&quot;#&quot; € &quot;;@&quot; &quot;"/>
    <numFmt numFmtId="168" formatCode="[$-407]0%"/>
    <numFmt numFmtId="169" formatCode="0.0"/>
  </numFmts>
  <fonts count="30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u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Arial"/>
      <family val="2"/>
    </font>
    <font>
      <sz val="7"/>
      <color theme="1"/>
      <name val="Arial"/>
      <family val="2"/>
    </font>
    <font>
      <b/>
      <sz val="9"/>
      <color theme="1"/>
      <name val="Arial"/>
      <family val="2"/>
    </font>
    <font>
      <b/>
      <u/>
      <sz val="9"/>
      <color theme="1"/>
      <name val="Arial"/>
      <family val="2"/>
    </font>
    <font>
      <i/>
      <sz val="9"/>
      <color theme="1"/>
      <name val="Calibri"/>
      <family val="2"/>
      <scheme val="minor"/>
    </font>
    <font>
      <sz val="11"/>
      <color indexed="8"/>
      <name val="Calibri"/>
      <family val="2"/>
    </font>
    <font>
      <b/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8" tint="0.79998168889431442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2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5" fillId="0" borderId="0"/>
    <xf numFmtId="165" fontId="5" fillId="0" borderId="0"/>
    <xf numFmtId="168" fontId="5" fillId="0" borderId="0"/>
    <xf numFmtId="0" fontId="6" fillId="0" borderId="0">
      <alignment horizontal="center"/>
    </xf>
    <xf numFmtId="0" fontId="6" fillId="0" borderId="0">
      <alignment horizontal="center" textRotation="90"/>
    </xf>
    <xf numFmtId="0" fontId="7" fillId="0" borderId="0"/>
    <xf numFmtId="164" fontId="7" fillId="0" borderId="0"/>
  </cellStyleXfs>
  <cellXfs count="121">
    <xf numFmtId="0" fontId="0" fillId="0" borderId="0" xfId="0"/>
    <xf numFmtId="0" fontId="8" fillId="0" borderId="0" xfId="0" applyFont="1"/>
    <xf numFmtId="0" fontId="9" fillId="0" borderId="0" xfId="0" applyFont="1"/>
    <xf numFmtId="0" fontId="0" fillId="0" borderId="0" xfId="0" applyAlignment="1">
      <alignment horizontal="right"/>
    </xf>
    <xf numFmtId="0" fontId="10" fillId="0" borderId="0" xfId="0" applyFont="1"/>
    <xf numFmtId="10" fontId="0" fillId="0" borderId="0" xfId="0" applyNumberFormat="1"/>
    <xf numFmtId="2" fontId="0" fillId="0" borderId="0" xfId="0" applyNumberFormat="1"/>
    <xf numFmtId="0" fontId="11" fillId="0" borderId="0" xfId="0" applyFont="1"/>
    <xf numFmtId="0" fontId="1" fillId="0" borderId="0" xfId="0" applyFont="1"/>
    <xf numFmtId="0" fontId="11" fillId="0" borderId="0" xfId="0" applyFont="1" applyAlignment="1">
      <alignment horizontal="right"/>
    </xf>
    <xf numFmtId="0" fontId="3" fillId="0" borderId="0" xfId="0" applyFont="1"/>
    <xf numFmtId="0" fontId="1" fillId="0" borderId="0" xfId="0" applyFont="1" applyAlignment="1">
      <alignment horizontal="right"/>
    </xf>
    <xf numFmtId="0" fontId="12" fillId="0" borderId="0" xfId="0" applyFont="1"/>
    <xf numFmtId="0" fontId="12" fillId="0" borderId="0" xfId="0" applyFont="1" applyAlignment="1">
      <alignment horizontal="right"/>
    </xf>
    <xf numFmtId="10" fontId="12" fillId="0" borderId="0" xfId="0" applyNumberFormat="1" applyFont="1" applyAlignment="1">
      <alignment horizontal="right"/>
    </xf>
    <xf numFmtId="10" fontId="12" fillId="0" borderId="0" xfId="0" applyNumberFormat="1" applyFont="1"/>
    <xf numFmtId="0" fontId="13" fillId="0" borderId="0" xfId="0" applyFont="1"/>
    <xf numFmtId="0" fontId="14" fillId="0" borderId="0" xfId="0" applyFont="1"/>
    <xf numFmtId="10" fontId="1" fillId="0" borderId="0" xfId="0" applyNumberFormat="1" applyFont="1"/>
    <xf numFmtId="3" fontId="1" fillId="0" borderId="0" xfId="0" applyNumberFormat="1" applyFont="1"/>
    <xf numFmtId="10" fontId="1" fillId="0" borderId="0" xfId="0" applyNumberFormat="1" applyFont="1" applyAlignment="1">
      <alignment horizontal="right"/>
    </xf>
    <xf numFmtId="0" fontId="15" fillId="0" borderId="0" xfId="0" applyFont="1"/>
    <xf numFmtId="0" fontId="3" fillId="0" borderId="0" xfId="0" applyFont="1" applyAlignment="1">
      <alignment horizontal="right"/>
    </xf>
    <xf numFmtId="0" fontId="16" fillId="0" borderId="0" xfId="0" applyFont="1"/>
    <xf numFmtId="0" fontId="17" fillId="0" borderId="0" xfId="0" applyFont="1"/>
    <xf numFmtId="164" fontId="1" fillId="0" borderId="0" xfId="0" applyNumberFormat="1" applyFont="1"/>
    <xf numFmtId="0" fontId="18" fillId="0" borderId="0" xfId="0" applyFont="1"/>
    <xf numFmtId="0" fontId="19" fillId="0" borderId="0" xfId="0" applyFont="1"/>
    <xf numFmtId="10" fontId="19" fillId="0" borderId="0" xfId="0" applyNumberFormat="1" applyFont="1"/>
    <xf numFmtId="0" fontId="1" fillId="2" borderId="0" xfId="0" applyFont="1" applyFill="1"/>
    <xf numFmtId="10" fontId="1" fillId="2" borderId="0" xfId="0" applyNumberFormat="1" applyFont="1" applyFill="1"/>
    <xf numFmtId="0" fontId="1" fillId="5" borderId="0" xfId="0" applyFont="1" applyFill="1"/>
    <xf numFmtId="0" fontId="13" fillId="5" borderId="0" xfId="0" applyFont="1" applyFill="1"/>
    <xf numFmtId="166" fontId="19" fillId="0" borderId="0" xfId="3" applyNumberFormat="1" applyFont="1"/>
    <xf numFmtId="169" fontId="0" fillId="0" borderId="0" xfId="0" applyNumberFormat="1"/>
    <xf numFmtId="169" fontId="10" fillId="0" borderId="0" xfId="0" applyNumberFormat="1" applyFont="1"/>
    <xf numFmtId="2" fontId="10" fillId="0" borderId="0" xfId="0" applyNumberFormat="1" applyFont="1"/>
    <xf numFmtId="0" fontId="0" fillId="2" borderId="0" xfId="0" applyFill="1"/>
    <xf numFmtId="169" fontId="0" fillId="2" borderId="0" xfId="0" applyNumberFormat="1" applyFill="1"/>
    <xf numFmtId="0" fontId="10" fillId="2" borderId="0" xfId="0" applyFont="1" applyFill="1"/>
    <xf numFmtId="169" fontId="10" fillId="2" borderId="0" xfId="0" applyNumberFormat="1" applyFont="1" applyFill="1"/>
    <xf numFmtId="0" fontId="19" fillId="2" borderId="0" xfId="0" applyFont="1" applyFill="1"/>
    <xf numFmtId="10" fontId="19" fillId="2" borderId="0" xfId="0" applyNumberFormat="1" applyFont="1" applyFill="1"/>
    <xf numFmtId="44" fontId="0" fillId="2" borderId="0" xfId="0" applyNumberFormat="1" applyFill="1"/>
    <xf numFmtId="0" fontId="1" fillId="2" borderId="0" xfId="0" applyFont="1" applyFill="1" applyAlignment="1">
      <alignment horizontal="right"/>
    </xf>
    <xf numFmtId="0" fontId="18" fillId="2" borderId="0" xfId="0" applyFont="1" applyFill="1"/>
    <xf numFmtId="10" fontId="18" fillId="2" borderId="0" xfId="0" applyNumberFormat="1" applyFont="1" applyFill="1"/>
    <xf numFmtId="166" fontId="18" fillId="0" borderId="0" xfId="3" applyNumberFormat="1" applyFont="1"/>
    <xf numFmtId="10" fontId="18" fillId="0" borderId="0" xfId="0" applyNumberFormat="1" applyFont="1"/>
    <xf numFmtId="9" fontId="18" fillId="0" borderId="0" xfId="0" applyNumberFormat="1" applyFont="1"/>
    <xf numFmtId="2" fontId="18" fillId="0" borderId="0" xfId="0" applyNumberFormat="1" applyFont="1"/>
    <xf numFmtId="44" fontId="18" fillId="0" borderId="0" xfId="2" applyFont="1"/>
    <xf numFmtId="3" fontId="13" fillId="2" borderId="0" xfId="0" applyNumberFormat="1" applyFont="1" applyFill="1"/>
    <xf numFmtId="3" fontId="13" fillId="5" borderId="0" xfId="0" applyNumberFormat="1" applyFont="1" applyFill="1"/>
    <xf numFmtId="10" fontId="13" fillId="2" borderId="0" xfId="0" applyNumberFormat="1" applyFont="1" applyFill="1"/>
    <xf numFmtId="10" fontId="13" fillId="5" borderId="0" xfId="0" applyNumberFormat="1" applyFont="1" applyFill="1"/>
    <xf numFmtId="10" fontId="13" fillId="2" borderId="0" xfId="0" applyNumberFormat="1" applyFont="1" applyFill="1" applyAlignment="1">
      <alignment horizontal="right"/>
    </xf>
    <xf numFmtId="0" fontId="20" fillId="0" borderId="0" xfId="0" applyFont="1"/>
    <xf numFmtId="0" fontId="20" fillId="2" borderId="0" xfId="0" applyFont="1" applyFill="1"/>
    <xf numFmtId="0" fontId="21" fillId="0" borderId="0" xfId="0" applyFont="1"/>
    <xf numFmtId="0" fontId="21" fillId="2" borderId="0" xfId="0" applyFont="1" applyFill="1"/>
    <xf numFmtId="43" fontId="18" fillId="0" borderId="0" xfId="1" applyFont="1"/>
    <xf numFmtId="43" fontId="20" fillId="0" borderId="0" xfId="1" applyFont="1"/>
    <xf numFmtId="43" fontId="21" fillId="0" borderId="0" xfId="1" applyFont="1"/>
    <xf numFmtId="2" fontId="18" fillId="0" borderId="0" xfId="2" applyNumberFormat="1" applyFont="1"/>
    <xf numFmtId="0" fontId="0" fillId="3" borderId="3" xfId="0" applyFill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4" xfId="0" applyBorder="1"/>
    <xf numFmtId="2" fontId="0" fillId="5" borderId="4" xfId="0" applyNumberFormat="1" applyFill="1" applyBorder="1" applyAlignment="1">
      <alignment horizontal="right"/>
    </xf>
    <xf numFmtId="2" fontId="0" fillId="0" borderId="4" xfId="0" applyNumberFormat="1" applyBorder="1" applyAlignment="1">
      <alignment horizontal="right"/>
    </xf>
    <xf numFmtId="9" fontId="12" fillId="0" borderId="0" xfId="3" applyFont="1" applyAlignment="1">
      <alignment horizontal="right"/>
    </xf>
    <xf numFmtId="166" fontId="12" fillId="5" borderId="0" xfId="3" applyNumberFormat="1" applyFont="1" applyFill="1" applyAlignment="1">
      <alignment horizontal="right"/>
    </xf>
    <xf numFmtId="166" fontId="12" fillId="7" borderId="0" xfId="3" applyNumberFormat="1" applyFont="1" applyFill="1" applyAlignment="1">
      <alignment horizontal="right"/>
    </xf>
    <xf numFmtId="166" fontId="12" fillId="0" borderId="0" xfId="0" applyNumberFormat="1" applyFont="1"/>
    <xf numFmtId="0" fontId="0" fillId="0" borderId="5" xfId="0" applyBorder="1"/>
    <xf numFmtId="2" fontId="0" fillId="0" borderId="5" xfId="0" applyNumberFormat="1" applyBorder="1" applyAlignment="1">
      <alignment horizontal="right"/>
    </xf>
    <xf numFmtId="0" fontId="17" fillId="7" borderId="0" xfId="0" applyFont="1" applyFill="1"/>
    <xf numFmtId="2" fontId="0" fillId="5" borderId="0" xfId="0" applyNumberFormat="1" applyFill="1" applyAlignment="1">
      <alignment horizontal="right"/>
    </xf>
    <xf numFmtId="2" fontId="0" fillId="0" borderId="0" xfId="0" applyNumberFormat="1" applyAlignment="1">
      <alignment horizontal="right"/>
    </xf>
    <xf numFmtId="0" fontId="22" fillId="0" borderId="0" xfId="0" applyFont="1"/>
    <xf numFmtId="0" fontId="22" fillId="0" borderId="6" xfId="0" applyFont="1" applyBorder="1"/>
    <xf numFmtId="44" fontId="22" fillId="0" borderId="6" xfId="2" applyFont="1" applyBorder="1" applyAlignment="1">
      <alignment horizontal="right"/>
    </xf>
    <xf numFmtId="0" fontId="23" fillId="0" borderId="0" xfId="0" applyFont="1"/>
    <xf numFmtId="0" fontId="0" fillId="5" borderId="0" xfId="0" applyFill="1" applyAlignment="1">
      <alignment horizontal="right"/>
    </xf>
    <xf numFmtId="2" fontId="0" fillId="0" borderId="4" xfId="0" applyNumberFormat="1" applyBorder="1"/>
    <xf numFmtId="8" fontId="24" fillId="0" borderId="0" xfId="0" applyNumberFormat="1" applyFont="1"/>
    <xf numFmtId="8" fontId="25" fillId="0" borderId="0" xfId="0" applyNumberFormat="1" applyFont="1"/>
    <xf numFmtId="8" fontId="26" fillId="4" borderId="8" xfId="0" applyNumberFormat="1" applyFont="1" applyFill="1" applyBorder="1"/>
    <xf numFmtId="166" fontId="0" fillId="4" borderId="9" xfId="0" applyNumberFormat="1" applyFill="1" applyBorder="1"/>
    <xf numFmtId="166" fontId="0" fillId="4" borderId="10" xfId="0" applyNumberFormat="1" applyFill="1" applyBorder="1"/>
    <xf numFmtId="10" fontId="0" fillId="4" borderId="11" xfId="0" applyNumberFormat="1" applyFill="1" applyBorder="1"/>
    <xf numFmtId="44" fontId="0" fillId="0" borderId="12" xfId="2" applyNumberFormat="1" applyFont="1" applyBorder="1"/>
    <xf numFmtId="44" fontId="0" fillId="0" borderId="13" xfId="2" applyNumberFormat="1" applyFont="1" applyBorder="1"/>
    <xf numFmtId="44" fontId="0" fillId="0" borderId="14" xfId="2" applyNumberFormat="1" applyFont="1" applyBorder="1"/>
    <xf numFmtId="44" fontId="0" fillId="0" borderId="15" xfId="2" applyNumberFormat="1" applyFont="1" applyBorder="1"/>
    <xf numFmtId="44" fontId="0" fillId="0" borderId="0" xfId="2" applyNumberFormat="1" applyFont="1" applyBorder="1"/>
    <xf numFmtId="44" fontId="0" fillId="0" borderId="16" xfId="2" applyNumberFormat="1" applyFont="1" applyBorder="1"/>
    <xf numFmtId="44" fontId="0" fillId="0" borderId="9" xfId="2" applyNumberFormat="1" applyFont="1" applyBorder="1"/>
    <xf numFmtId="44" fontId="0" fillId="0" borderId="10" xfId="2" applyNumberFormat="1" applyFont="1" applyBorder="1"/>
    <xf numFmtId="44" fontId="0" fillId="0" borderId="7" xfId="2" applyNumberFormat="1" applyFont="1" applyBorder="1"/>
    <xf numFmtId="44" fontId="0" fillId="0" borderId="11" xfId="2" applyNumberFormat="1" applyFont="1" applyBorder="1"/>
    <xf numFmtId="44" fontId="0" fillId="0" borderId="17" xfId="2" applyNumberFormat="1" applyFont="1" applyBorder="1"/>
    <xf numFmtId="44" fontId="0" fillId="0" borderId="18" xfId="2" applyNumberFormat="1" applyFont="1" applyBorder="1"/>
    <xf numFmtId="44" fontId="0" fillId="0" borderId="19" xfId="2" applyNumberFormat="1" applyFont="1" applyBorder="1"/>
    <xf numFmtId="44" fontId="0" fillId="0" borderId="20" xfId="2" applyNumberFormat="1" applyFont="1" applyBorder="1"/>
    <xf numFmtId="10" fontId="0" fillId="4" borderId="18" xfId="0" applyNumberFormat="1" applyFill="1" applyBorder="1"/>
    <xf numFmtId="44" fontId="0" fillId="0" borderId="21" xfId="2" applyNumberFormat="1" applyFont="1" applyBorder="1"/>
    <xf numFmtId="44" fontId="13" fillId="0" borderId="0" xfId="0" applyNumberFormat="1" applyFont="1"/>
    <xf numFmtId="44" fontId="27" fillId="0" borderId="0" xfId="0" applyNumberFormat="1" applyFont="1"/>
    <xf numFmtId="0" fontId="4" fillId="0" borderId="0" xfId="0" applyFont="1"/>
    <xf numFmtId="44" fontId="28" fillId="0" borderId="0" xfId="0" applyNumberFormat="1" applyFont="1"/>
    <xf numFmtId="10" fontId="0" fillId="0" borderId="0" xfId="3" applyNumberFormat="1" applyFont="1"/>
    <xf numFmtId="10" fontId="18" fillId="0" borderId="0" xfId="3" applyNumberFormat="1" applyFont="1"/>
    <xf numFmtId="169" fontId="19" fillId="0" borderId="0" xfId="0" applyNumberFormat="1" applyFont="1"/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8" borderId="0" xfId="0" applyFill="1" applyAlignment="1">
      <alignment horizontal="left"/>
    </xf>
    <xf numFmtId="0" fontId="0" fillId="0" borderId="7" xfId="0" applyBorder="1" applyAlignment="1">
      <alignment horizontal="right" textRotation="180"/>
    </xf>
    <xf numFmtId="0" fontId="11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</cellXfs>
  <cellStyles count="11">
    <cellStyle name="Dezimal" xfId="1" builtinId="3"/>
    <cellStyle name="Excel Built-in Currency" xfId="4"/>
    <cellStyle name="Excel Built-in Normal" xfId="5"/>
    <cellStyle name="Excel Built-in Percent" xfId="6"/>
    <cellStyle name="Heading" xfId="7"/>
    <cellStyle name="Heading1" xfId="8"/>
    <cellStyle name="Prozent" xfId="3" builtinId="5"/>
    <cellStyle name="Result" xfId="9"/>
    <cellStyle name="Result2" xfId="10"/>
    <cellStyle name="Standard" xfId="0" builtinId="0" customBuiltin="1"/>
    <cellStyle name="Währung" xfId="2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barChart>
        <c:barDir val="col"/>
        <c:grouping val="clustered"/>
        <c:ser>
          <c:idx val="0"/>
          <c:order val="0"/>
          <c:tx>
            <c:strRef>
              <c:f>KDG_Neu!$C$45</c:f>
              <c:strCache>
                <c:ptCount val="1"/>
                <c:pt idx="0">
                  <c:v>Gewinn je Aktie</c:v>
                </c:pt>
              </c:strCache>
            </c:strRef>
          </c:tx>
          <c:cat>
            <c:strRef>
              <c:f>KDG_Neu!$J$4:$R$4</c:f>
              <c:strCache>
                <c:ptCount val="9"/>
                <c:pt idx="0">
                  <c:v>2012E</c:v>
                </c:pt>
                <c:pt idx="1">
                  <c:v>2013E</c:v>
                </c:pt>
                <c:pt idx="2">
                  <c:v>2014E</c:v>
                </c:pt>
                <c:pt idx="3">
                  <c:v>2015E</c:v>
                </c:pt>
                <c:pt idx="4">
                  <c:v>2016E</c:v>
                </c:pt>
                <c:pt idx="5">
                  <c:v>2017E</c:v>
                </c:pt>
                <c:pt idx="6">
                  <c:v>2018E</c:v>
                </c:pt>
                <c:pt idx="7">
                  <c:v>2019E</c:v>
                </c:pt>
                <c:pt idx="8">
                  <c:v>2020E</c:v>
                </c:pt>
              </c:strCache>
            </c:strRef>
          </c:cat>
          <c:val>
            <c:numRef>
              <c:f>KDG_Neu!$J$45:$R$45</c:f>
              <c:numCache>
                <c:formatCode>_-* #,##0.00\ "€"_-;\-* #,##0.00\ "€"_-;_-* "-"??\ "€"_-;_-@_-</c:formatCode>
                <c:ptCount val="9"/>
                <c:pt idx="0">
                  <c:v>1.131410983333333</c:v>
                </c:pt>
                <c:pt idx="1">
                  <c:v>1.7934507501041663</c:v>
                </c:pt>
                <c:pt idx="2">
                  <c:v>2.9505322853488312</c:v>
                </c:pt>
                <c:pt idx="3">
                  <c:v>3.5968805159871908</c:v>
                </c:pt>
                <c:pt idx="4">
                  <c:v>3.7563939010798326</c:v>
                </c:pt>
                <c:pt idx="5">
                  <c:v>3.5650834162450895</c:v>
                </c:pt>
                <c:pt idx="6">
                  <c:v>3.999158439840413</c:v>
                </c:pt>
                <c:pt idx="7">
                  <c:v>4.2938408187752692</c:v>
                </c:pt>
                <c:pt idx="8">
                  <c:v>4.5211933355435967</c:v>
                </c:pt>
              </c:numCache>
            </c:numRef>
          </c:val>
        </c:ser>
        <c:ser>
          <c:idx val="1"/>
          <c:order val="1"/>
          <c:tx>
            <c:strRef>
              <c:f>KDG_Neu!$C$59</c:f>
              <c:strCache>
                <c:ptCount val="1"/>
                <c:pt idx="0">
                  <c:v>Free-Cashflow je Aktie</c:v>
                </c:pt>
              </c:strCache>
            </c:strRef>
          </c:tx>
          <c:cat>
            <c:strRef>
              <c:f>KDG_Neu!$J$4:$R$4</c:f>
              <c:strCache>
                <c:ptCount val="9"/>
                <c:pt idx="0">
                  <c:v>2012E</c:v>
                </c:pt>
                <c:pt idx="1">
                  <c:v>2013E</c:v>
                </c:pt>
                <c:pt idx="2">
                  <c:v>2014E</c:v>
                </c:pt>
                <c:pt idx="3">
                  <c:v>2015E</c:v>
                </c:pt>
                <c:pt idx="4">
                  <c:v>2016E</c:v>
                </c:pt>
                <c:pt idx="5">
                  <c:v>2017E</c:v>
                </c:pt>
                <c:pt idx="6">
                  <c:v>2018E</c:v>
                </c:pt>
                <c:pt idx="7">
                  <c:v>2019E</c:v>
                </c:pt>
                <c:pt idx="8">
                  <c:v>2020E</c:v>
                </c:pt>
              </c:strCache>
            </c:strRef>
          </c:cat>
          <c:val>
            <c:numRef>
              <c:f>KDG_Neu!$J$59:$R$59</c:f>
              <c:numCache>
                <c:formatCode>_-* #,##0.00\ "€"_-;\-* #,##0.00\ "€"_-;_-* "-"??\ "€"_-;_-@_-</c:formatCode>
                <c:ptCount val="9"/>
                <c:pt idx="0">
                  <c:v>2.1239054277777774</c:v>
                </c:pt>
                <c:pt idx="1">
                  <c:v>2.6343895209375003</c:v>
                </c:pt>
                <c:pt idx="2">
                  <c:v>3.33162877540786</c:v>
                </c:pt>
                <c:pt idx="3">
                  <c:v>4.1276021343196927</c:v>
                </c:pt>
                <c:pt idx="4">
                  <c:v>4.3926963636832905</c:v>
                </c:pt>
                <c:pt idx="5">
                  <c:v>4.1794525557729285</c:v>
                </c:pt>
                <c:pt idx="6">
                  <c:v>4.5539698009259686</c:v>
                </c:pt>
                <c:pt idx="7">
                  <c:v>4.8044769361712483</c:v>
                </c:pt>
                <c:pt idx="8">
                  <c:v>5.0038984698166669</c:v>
                </c:pt>
              </c:numCache>
            </c:numRef>
          </c:val>
        </c:ser>
        <c:axId val="113776896"/>
        <c:axId val="113778688"/>
      </c:barChart>
      <c:catAx>
        <c:axId val="113776896"/>
        <c:scaling>
          <c:orientation val="minMax"/>
        </c:scaling>
        <c:axPos val="b"/>
        <c:tickLblPos val="nextTo"/>
        <c:crossAx val="113778688"/>
        <c:crosses val="autoZero"/>
        <c:auto val="1"/>
        <c:lblAlgn val="ctr"/>
        <c:lblOffset val="100"/>
      </c:catAx>
      <c:valAx>
        <c:axId val="113778688"/>
        <c:scaling>
          <c:orientation val="minMax"/>
        </c:scaling>
        <c:axPos val="l"/>
        <c:majorGridlines/>
        <c:numFmt formatCode="_-* #,##0.00\ &quot;€&quot;_-;\-* #,##0.00\ &quot;€&quot;_-;_-* &quot;-&quot;??\ &quot;€&quot;_-;_-@_-" sourceLinked="1"/>
        <c:tickLblPos val="nextTo"/>
        <c:crossAx val="113776896"/>
        <c:crosses val="autoZero"/>
        <c:crossBetween val="between"/>
      </c:valAx>
    </c:plotArea>
    <c:legend>
      <c:legendPos val="b"/>
      <c:layout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lineChart>
        <c:grouping val="standard"/>
        <c:ser>
          <c:idx val="0"/>
          <c:order val="0"/>
          <c:tx>
            <c:strRef>
              <c:f>KDG_Neu!$T$22</c:f>
              <c:strCache>
                <c:ptCount val="1"/>
                <c:pt idx="0">
                  <c:v>EBITDA (%)</c:v>
                </c:pt>
              </c:strCache>
            </c:strRef>
          </c:tx>
          <c:marker>
            <c:symbol val="none"/>
          </c:marker>
          <c:cat>
            <c:strRef>
              <c:f>KDG_Neu!$U$21:$AC$21</c:f>
              <c:strCache>
                <c:ptCount val="9"/>
                <c:pt idx="0">
                  <c:v>2012E</c:v>
                </c:pt>
                <c:pt idx="1">
                  <c:v>2013E</c:v>
                </c:pt>
                <c:pt idx="2">
                  <c:v>2014E</c:v>
                </c:pt>
                <c:pt idx="3">
                  <c:v>2015E</c:v>
                </c:pt>
                <c:pt idx="4">
                  <c:v>2016E</c:v>
                </c:pt>
                <c:pt idx="5">
                  <c:v>2017E</c:v>
                </c:pt>
                <c:pt idx="6">
                  <c:v>2018E</c:v>
                </c:pt>
                <c:pt idx="7">
                  <c:v>2019E</c:v>
                </c:pt>
                <c:pt idx="8">
                  <c:v>2020E</c:v>
                </c:pt>
              </c:strCache>
            </c:strRef>
          </c:cat>
          <c:val>
            <c:numRef>
              <c:f>KDG_Neu!$U$22:$AC$22</c:f>
              <c:numCache>
                <c:formatCode>0.0%</c:formatCode>
                <c:ptCount val="9"/>
                <c:pt idx="0">
                  <c:v>0.44238587892436088</c:v>
                </c:pt>
                <c:pt idx="1">
                  <c:v>0.44752141867060663</c:v>
                </c:pt>
                <c:pt idx="2">
                  <c:v>0.45791862498604818</c:v>
                </c:pt>
                <c:pt idx="3">
                  <c:v>0.46427468160102964</c:v>
                </c:pt>
                <c:pt idx="4">
                  <c:v>0.45895596599335092</c:v>
                </c:pt>
                <c:pt idx="5">
                  <c:v>0.45566474825092329</c:v>
                </c:pt>
                <c:pt idx="6">
                  <c:v>0.45544629461851355</c:v>
                </c:pt>
                <c:pt idx="7">
                  <c:v>0.4549930374195878</c:v>
                </c:pt>
                <c:pt idx="8">
                  <c:v>0.45356982659073214</c:v>
                </c:pt>
              </c:numCache>
            </c:numRef>
          </c:val>
        </c:ser>
        <c:ser>
          <c:idx val="1"/>
          <c:order val="1"/>
          <c:tx>
            <c:strRef>
              <c:f>KDG_Neu!$T$23</c:f>
              <c:strCache>
                <c:ptCount val="1"/>
                <c:pt idx="0">
                  <c:v>EBIT (%)</c:v>
                </c:pt>
              </c:strCache>
            </c:strRef>
          </c:tx>
          <c:marker>
            <c:symbol val="none"/>
          </c:marker>
          <c:cat>
            <c:strRef>
              <c:f>KDG_Neu!$U$21:$AC$21</c:f>
              <c:strCache>
                <c:ptCount val="9"/>
                <c:pt idx="0">
                  <c:v>2012E</c:v>
                </c:pt>
                <c:pt idx="1">
                  <c:v>2013E</c:v>
                </c:pt>
                <c:pt idx="2">
                  <c:v>2014E</c:v>
                </c:pt>
                <c:pt idx="3">
                  <c:v>2015E</c:v>
                </c:pt>
                <c:pt idx="4">
                  <c:v>2016E</c:v>
                </c:pt>
                <c:pt idx="5">
                  <c:v>2017E</c:v>
                </c:pt>
                <c:pt idx="6">
                  <c:v>2018E</c:v>
                </c:pt>
                <c:pt idx="7">
                  <c:v>2019E</c:v>
                </c:pt>
                <c:pt idx="8">
                  <c:v>2020E</c:v>
                </c:pt>
              </c:strCache>
            </c:strRef>
          </c:cat>
          <c:val>
            <c:numRef>
              <c:f>KDG_Neu!$U$23:$AC$23</c:f>
              <c:numCache>
                <c:formatCode>0.0%</c:formatCode>
                <c:ptCount val="9"/>
                <c:pt idx="0">
                  <c:v>0.16979642631106401</c:v>
                </c:pt>
                <c:pt idx="1">
                  <c:v>0.19506060067721917</c:v>
                </c:pt>
                <c:pt idx="2">
                  <c:v>0.24462981083679311</c:v>
                </c:pt>
                <c:pt idx="3">
                  <c:v>0.26020736202448785</c:v>
                </c:pt>
                <c:pt idx="4">
                  <c:v>0.26135595750267443</c:v>
                </c:pt>
                <c:pt idx="5">
                  <c:v>0.26530136258759096</c:v>
                </c:pt>
                <c:pt idx="6">
                  <c:v>0.27356186219383155</c:v>
                </c:pt>
                <c:pt idx="7">
                  <c:v>0.28069073748660706</c:v>
                </c:pt>
                <c:pt idx="8">
                  <c:v>0.28579216165056948</c:v>
                </c:pt>
              </c:numCache>
            </c:numRef>
          </c:val>
        </c:ser>
        <c:ser>
          <c:idx val="2"/>
          <c:order val="2"/>
          <c:tx>
            <c:strRef>
              <c:f>KDG_Neu!$T$24</c:f>
              <c:strCache>
                <c:ptCount val="1"/>
                <c:pt idx="0">
                  <c:v>Umsatzrendite (%)</c:v>
                </c:pt>
              </c:strCache>
            </c:strRef>
          </c:tx>
          <c:marker>
            <c:symbol val="none"/>
          </c:marker>
          <c:cat>
            <c:strRef>
              <c:f>KDG_Neu!$U$21:$AC$21</c:f>
              <c:strCache>
                <c:ptCount val="9"/>
                <c:pt idx="0">
                  <c:v>2012E</c:v>
                </c:pt>
                <c:pt idx="1">
                  <c:v>2013E</c:v>
                </c:pt>
                <c:pt idx="2">
                  <c:v>2014E</c:v>
                </c:pt>
                <c:pt idx="3">
                  <c:v>2015E</c:v>
                </c:pt>
                <c:pt idx="4">
                  <c:v>2016E</c:v>
                </c:pt>
                <c:pt idx="5">
                  <c:v>2017E</c:v>
                </c:pt>
                <c:pt idx="6">
                  <c:v>2018E</c:v>
                </c:pt>
                <c:pt idx="7">
                  <c:v>2019E</c:v>
                </c:pt>
                <c:pt idx="8">
                  <c:v>2020E</c:v>
                </c:pt>
              </c:strCache>
            </c:strRef>
          </c:cat>
          <c:val>
            <c:numRef>
              <c:f>KDG_Neu!$U$24:$AC$24</c:f>
              <c:numCache>
                <c:formatCode>0.0%</c:formatCode>
                <c:ptCount val="9"/>
                <c:pt idx="0">
                  <c:v>5.9950244182452407E-2</c:v>
                </c:pt>
                <c:pt idx="1">
                  <c:v>9.0555208680430432E-2</c:v>
                </c:pt>
                <c:pt idx="2">
                  <c:v>0.14159599475650733</c:v>
                </c:pt>
                <c:pt idx="3">
                  <c:v>0.16311239238546543</c:v>
                </c:pt>
                <c:pt idx="4">
                  <c:v>0.16293588294461714</c:v>
                </c:pt>
                <c:pt idx="5">
                  <c:v>0.14717956972524163</c:v>
                </c:pt>
                <c:pt idx="6">
                  <c:v>0.15774607149543984</c:v>
                </c:pt>
                <c:pt idx="7">
                  <c:v>0.16230932463440439</c:v>
                </c:pt>
                <c:pt idx="8">
                  <c:v>0.16651213037133589</c:v>
                </c:pt>
              </c:numCache>
            </c:numRef>
          </c:val>
        </c:ser>
        <c:marker val="1"/>
        <c:axId val="113816320"/>
        <c:axId val="113817856"/>
      </c:lineChart>
      <c:catAx>
        <c:axId val="113816320"/>
        <c:scaling>
          <c:orientation val="minMax"/>
        </c:scaling>
        <c:axPos val="b"/>
        <c:tickLblPos val="nextTo"/>
        <c:crossAx val="113817856"/>
        <c:crosses val="autoZero"/>
        <c:auto val="1"/>
        <c:lblAlgn val="ctr"/>
        <c:lblOffset val="100"/>
      </c:catAx>
      <c:valAx>
        <c:axId val="113817856"/>
        <c:scaling>
          <c:orientation val="minMax"/>
        </c:scaling>
        <c:axPos val="l"/>
        <c:majorGridlines/>
        <c:numFmt formatCode="0.0%" sourceLinked="1"/>
        <c:tickLblPos val="nextTo"/>
        <c:crossAx val="11381632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8740157499999996" l="0.70000000000000007" r="0.70000000000000007" t="0.78740157499999996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180814</xdr:colOff>
      <xdr:row>49</xdr:row>
      <xdr:rowOff>168889</xdr:rowOff>
    </xdr:from>
    <xdr:to>
      <xdr:col>26</xdr:col>
      <xdr:colOff>210270</xdr:colOff>
      <xdr:row>70</xdr:row>
      <xdr:rowOff>101174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694766</xdr:colOff>
      <xdr:row>16</xdr:row>
      <xdr:rowOff>56030</xdr:rowOff>
    </xdr:from>
    <xdr:to>
      <xdr:col>27</xdr:col>
      <xdr:colOff>818030</xdr:colOff>
      <xdr:row>41</xdr:row>
      <xdr:rowOff>33618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46"/>
  <sheetViews>
    <sheetView tabSelected="1" zoomScaleNormal="100" workbookViewId="0">
      <selection activeCell="E23" sqref="E23"/>
    </sheetView>
  </sheetViews>
  <sheetFormatPr baseColWidth="10" defaultRowHeight="14.25"/>
  <cols>
    <col min="1" max="1" width="1.875" customWidth="1"/>
    <col min="2" max="2" width="16.75" customWidth="1"/>
  </cols>
  <sheetData>
    <row r="1" spans="1:20" ht="15" thickBot="1">
      <c r="C1" s="114" t="s">
        <v>95</v>
      </c>
      <c r="D1" s="115"/>
      <c r="E1" s="115"/>
      <c r="F1" s="115"/>
      <c r="G1" s="115"/>
      <c r="H1" s="115"/>
      <c r="I1" s="115"/>
      <c r="J1" s="115"/>
      <c r="K1" s="115"/>
      <c r="L1" s="116" t="s">
        <v>96</v>
      </c>
      <c r="M1" s="116"/>
      <c r="N1" s="116"/>
      <c r="O1" s="116"/>
      <c r="P1" s="116"/>
      <c r="Q1" s="65" t="s">
        <v>97</v>
      </c>
    </row>
    <row r="2" spans="1:20" ht="15">
      <c r="C2" s="66">
        <v>2012</v>
      </c>
      <c r="D2" s="66">
        <v>2013</v>
      </c>
      <c r="E2" s="66">
        <v>2014</v>
      </c>
      <c r="F2" s="66">
        <v>2015</v>
      </c>
      <c r="G2" s="66">
        <v>2016</v>
      </c>
      <c r="H2" s="66">
        <v>2017</v>
      </c>
      <c r="I2" s="66">
        <v>2018</v>
      </c>
      <c r="J2" s="66">
        <v>2019</v>
      </c>
      <c r="K2" s="66">
        <v>2020</v>
      </c>
      <c r="L2" s="66">
        <v>2021</v>
      </c>
      <c r="M2" s="66">
        <v>2022</v>
      </c>
      <c r="N2" s="66">
        <v>2023</v>
      </c>
      <c r="O2" s="66">
        <v>2024</v>
      </c>
      <c r="P2" s="66">
        <v>2025</v>
      </c>
      <c r="Q2" s="66">
        <v>2026</v>
      </c>
    </row>
    <row r="4" spans="1:20" ht="15" thickBot="1">
      <c r="B4" s="67" t="s">
        <v>0</v>
      </c>
      <c r="C4" s="68">
        <f>KDG_Neu!J5</f>
        <v>1698.5249999999999</v>
      </c>
      <c r="D4" s="69">
        <f>C4*(1+D5)</f>
        <v>1782.4548124999997</v>
      </c>
      <c r="E4" s="69">
        <f t="shared" ref="E4:Q4" si="0">D4*(1+E5)</f>
        <v>1875.3913635624995</v>
      </c>
      <c r="F4" s="69">
        <f t="shared" si="0"/>
        <v>1984.6391908337494</v>
      </c>
      <c r="G4" s="69">
        <f t="shared" si="0"/>
        <v>2074.8986962687572</v>
      </c>
      <c r="H4" s="69">
        <f t="shared" si="0"/>
        <v>2180.0410754090572</v>
      </c>
      <c r="I4" s="69">
        <f t="shared" si="0"/>
        <v>2281.668609389375</v>
      </c>
      <c r="J4" s="69">
        <f t="shared" si="0"/>
        <v>2380.9209640926574</v>
      </c>
      <c r="K4" s="69">
        <f t="shared" si="0"/>
        <v>2443.7102527694915</v>
      </c>
      <c r="L4" s="69">
        <f t="shared" si="0"/>
        <v>2492.5844578248812</v>
      </c>
      <c r="M4" s="69">
        <f t="shared" si="0"/>
        <v>2542.4361469813789</v>
      </c>
      <c r="N4" s="69">
        <f t="shared" si="0"/>
        <v>2593.2848699210067</v>
      </c>
      <c r="O4" s="69">
        <f t="shared" si="0"/>
        <v>2645.150567319427</v>
      </c>
      <c r="P4" s="69">
        <f t="shared" si="0"/>
        <v>2698.0535786658156</v>
      </c>
      <c r="Q4" s="69">
        <f t="shared" si="0"/>
        <v>2738.5243823458027</v>
      </c>
      <c r="S4" s="24" t="s">
        <v>1</v>
      </c>
      <c r="T4" s="34">
        <v>90</v>
      </c>
    </row>
    <row r="5" spans="1:20" ht="15" thickTop="1">
      <c r="A5" s="12"/>
      <c r="B5" s="12" t="s">
        <v>98</v>
      </c>
      <c r="C5" s="70" t="s">
        <v>2</v>
      </c>
      <c r="D5" s="71">
        <f>KDG_Neu!K10</f>
        <v>4.9413351290089835E-2</v>
      </c>
      <c r="E5" s="71">
        <f>KDG_Neu!L10</f>
        <v>5.2139639339384258E-2</v>
      </c>
      <c r="F5" s="71">
        <f>KDG_Neu!M10</f>
        <v>5.825334881766886E-2</v>
      </c>
      <c r="G5" s="71">
        <f>KDG_Neu!N10</f>
        <v>4.5479050223274919E-2</v>
      </c>
      <c r="H5" s="71">
        <f>KDG_Neu!O10</f>
        <v>5.0673500026471086E-2</v>
      </c>
      <c r="I5" s="71">
        <f>KDG_Neu!P10</f>
        <v>4.6617256494237758E-2</v>
      </c>
      <c r="J5" s="71">
        <f>KDG_Neu!Q10</f>
        <v>4.3499899281975285E-2</v>
      </c>
      <c r="K5" s="71">
        <f>KDG_Neu!R10</f>
        <v>2.6371849222959209E-2</v>
      </c>
      <c r="L5" s="71">
        <v>0.02</v>
      </c>
      <c r="M5" s="71">
        <v>0.02</v>
      </c>
      <c r="N5" s="71">
        <v>0.02</v>
      </c>
      <c r="O5" s="71">
        <v>0.02</v>
      </c>
      <c r="P5" s="71">
        <v>0.02</v>
      </c>
      <c r="Q5" s="72">
        <v>1.4999999999999999E-2</v>
      </c>
      <c r="R5" s="12"/>
      <c r="S5" s="24" t="s">
        <v>4</v>
      </c>
      <c r="T5" s="73">
        <v>9.5000000000000001E-2</v>
      </c>
    </row>
    <row r="6" spans="1:20" ht="15" thickBot="1">
      <c r="B6" s="74" t="s">
        <v>5</v>
      </c>
      <c r="C6" s="75">
        <f>C4*C7</f>
        <v>288.40347499999996</v>
      </c>
      <c r="D6" s="75">
        <f t="shared" ref="D6:Q6" si="1">D4*D7</f>
        <v>347.68670640624998</v>
      </c>
      <c r="E6" s="75">
        <f t="shared" si="1"/>
        <v>458.77663451324975</v>
      </c>
      <c r="F6" s="75">
        <f t="shared" si="1"/>
        <v>516.41772841726402</v>
      </c>
      <c r="G6" s="75">
        <f t="shared" si="1"/>
        <v>542.2871354843719</v>
      </c>
      <c r="H6" s="75">
        <f t="shared" si="1"/>
        <v>578.36786780294005</v>
      </c>
      <c r="I6" s="75">
        <f t="shared" si="1"/>
        <v>624.17751369376742</v>
      </c>
      <c r="J6" s="75">
        <f t="shared" si="1"/>
        <v>668.3024613084915</v>
      </c>
      <c r="K6" s="75">
        <f t="shared" si="1"/>
        <v>698.39323558665251</v>
      </c>
      <c r="L6" s="75">
        <f t="shared" si="1"/>
        <v>697.92364819096679</v>
      </c>
      <c r="M6" s="75">
        <f t="shared" si="1"/>
        <v>711.8821211547862</v>
      </c>
      <c r="N6" s="75">
        <f t="shared" si="1"/>
        <v>726.11976357788194</v>
      </c>
      <c r="O6" s="75">
        <f t="shared" si="1"/>
        <v>740.64215884943962</v>
      </c>
      <c r="P6" s="75">
        <f t="shared" si="1"/>
        <v>755.45500202642847</v>
      </c>
      <c r="Q6" s="75">
        <f t="shared" si="1"/>
        <v>753.09420514509577</v>
      </c>
      <c r="S6" s="76" t="s">
        <v>3</v>
      </c>
    </row>
    <row r="7" spans="1:20" ht="15" thickTop="1">
      <c r="A7" s="12"/>
      <c r="B7" s="12" t="s">
        <v>99</v>
      </c>
      <c r="C7" s="71">
        <f>KDG_Neu!J36</f>
        <v>0.16979642631106401</v>
      </c>
      <c r="D7" s="71">
        <f>KDG_Neu!K36</f>
        <v>0.19506060067721917</v>
      </c>
      <c r="E7" s="71">
        <f>KDG_Neu!L36</f>
        <v>0.24462981083679311</v>
      </c>
      <c r="F7" s="71">
        <f>KDG_Neu!M36</f>
        <v>0.26020736202448785</v>
      </c>
      <c r="G7" s="71">
        <f>KDG_Neu!N36</f>
        <v>0.26135595750267443</v>
      </c>
      <c r="H7" s="71">
        <f>KDG_Neu!O36</f>
        <v>0.26530136258759096</v>
      </c>
      <c r="I7" s="71">
        <f>KDG_Neu!P36</f>
        <v>0.27356186219383155</v>
      </c>
      <c r="J7" s="71">
        <f>KDG_Neu!Q36</f>
        <v>0.28069073748660706</v>
      </c>
      <c r="K7" s="71">
        <f>KDG_Neu!R36</f>
        <v>0.28579216165056948</v>
      </c>
      <c r="L7" s="71">
        <v>0.28000000000000003</v>
      </c>
      <c r="M7" s="71">
        <v>0.28000000000000003</v>
      </c>
      <c r="N7" s="71">
        <v>0.28000000000000003</v>
      </c>
      <c r="O7" s="71">
        <v>0.28000000000000003</v>
      </c>
      <c r="P7" s="71">
        <v>0.28000000000000003</v>
      </c>
      <c r="Q7" s="71">
        <v>0.27500000000000002</v>
      </c>
      <c r="R7" s="12"/>
      <c r="S7" s="12"/>
      <c r="T7" s="12"/>
    </row>
    <row r="8" spans="1:20">
      <c r="B8" t="s">
        <v>51</v>
      </c>
      <c r="C8" s="77">
        <f>KDG_Neu!J37</f>
        <v>170</v>
      </c>
      <c r="D8" s="77">
        <f>KDG_Neu!K37</f>
        <v>160</v>
      </c>
      <c r="E8" s="77">
        <f>KDG_Neu!L37</f>
        <v>150</v>
      </c>
      <c r="F8" s="77">
        <f>KDG_Neu!M37</f>
        <v>140</v>
      </c>
      <c r="G8" s="77">
        <f>KDG_Neu!N37</f>
        <v>130</v>
      </c>
      <c r="H8" s="77">
        <f>KDG_Neu!O37</f>
        <v>120</v>
      </c>
      <c r="I8" s="77">
        <f>KDG_Neu!P37</f>
        <v>110</v>
      </c>
      <c r="J8" s="77">
        <f>KDG_Neu!Q37</f>
        <v>100</v>
      </c>
      <c r="K8" s="77">
        <f>KDG_Neu!R37</f>
        <v>100</v>
      </c>
      <c r="L8" s="77">
        <v>100</v>
      </c>
      <c r="M8" s="77">
        <v>100</v>
      </c>
      <c r="N8" s="77">
        <v>100</v>
      </c>
      <c r="O8" s="77">
        <v>100</v>
      </c>
      <c r="P8" s="77">
        <v>100</v>
      </c>
      <c r="Q8" s="77">
        <v>100</v>
      </c>
    </row>
    <row r="9" spans="1:20">
      <c r="B9" t="s">
        <v>66</v>
      </c>
      <c r="C9" s="78">
        <f>C6-C8</f>
        <v>118.40347499999996</v>
      </c>
      <c r="D9" s="78">
        <f t="shared" ref="D9:Q9" si="2">D6-D8</f>
        <v>187.68670640624998</v>
      </c>
      <c r="E9" s="78">
        <f t="shared" si="2"/>
        <v>308.77663451324975</v>
      </c>
      <c r="F9" s="78">
        <f t="shared" si="2"/>
        <v>376.41772841726402</v>
      </c>
      <c r="G9" s="78">
        <f t="shared" si="2"/>
        <v>412.2871354843719</v>
      </c>
      <c r="H9" s="78">
        <f t="shared" si="2"/>
        <v>458.36786780294005</v>
      </c>
      <c r="I9" s="78">
        <f t="shared" si="2"/>
        <v>514.17751369376742</v>
      </c>
      <c r="J9" s="78">
        <f t="shared" si="2"/>
        <v>568.3024613084915</v>
      </c>
      <c r="K9" s="78">
        <f t="shared" si="2"/>
        <v>598.39323558665251</v>
      </c>
      <c r="L9" s="78">
        <f t="shared" si="2"/>
        <v>597.92364819096679</v>
      </c>
      <c r="M9" s="78">
        <f t="shared" si="2"/>
        <v>611.8821211547862</v>
      </c>
      <c r="N9" s="78">
        <f t="shared" si="2"/>
        <v>626.11976357788194</v>
      </c>
      <c r="O9" s="78">
        <f t="shared" si="2"/>
        <v>640.64215884943962</v>
      </c>
      <c r="P9" s="78">
        <f t="shared" si="2"/>
        <v>655.45500202642847</v>
      </c>
      <c r="Q9" s="78">
        <f t="shared" si="2"/>
        <v>653.09420514509577</v>
      </c>
    </row>
    <row r="10" spans="1:20">
      <c r="B10" t="s">
        <v>53</v>
      </c>
      <c r="C10" s="78">
        <f>C9*C11</f>
        <v>16.576486499999994</v>
      </c>
      <c r="D10" s="78">
        <f t="shared" ref="D10:Q10" si="3">D9*D11</f>
        <v>26.276138896875</v>
      </c>
      <c r="E10" s="78">
        <f t="shared" si="3"/>
        <v>43.228728831854966</v>
      </c>
      <c r="F10" s="78">
        <f t="shared" si="3"/>
        <v>52.698481978416964</v>
      </c>
      <c r="G10" s="78">
        <f t="shared" si="3"/>
        <v>74.211684387186935</v>
      </c>
      <c r="H10" s="78">
        <f t="shared" si="3"/>
        <v>137.51036034088202</v>
      </c>
      <c r="I10" s="78">
        <f t="shared" si="3"/>
        <v>154.25325410813022</v>
      </c>
      <c r="J10" s="78">
        <f t="shared" si="3"/>
        <v>181.85678761871728</v>
      </c>
      <c r="K10" s="78">
        <f t="shared" si="3"/>
        <v>191.4858353877288</v>
      </c>
      <c r="L10" s="78">
        <f t="shared" si="3"/>
        <v>191.33556742110937</v>
      </c>
      <c r="M10" s="78">
        <f t="shared" si="3"/>
        <v>195.8022787695316</v>
      </c>
      <c r="N10" s="78">
        <f t="shared" si="3"/>
        <v>200.35832434492224</v>
      </c>
      <c r="O10" s="78">
        <f t="shared" si="3"/>
        <v>205.00549083182068</v>
      </c>
      <c r="P10" s="78">
        <f t="shared" si="3"/>
        <v>209.74560064845713</v>
      </c>
      <c r="Q10" s="78">
        <f t="shared" si="3"/>
        <v>208.99014564643065</v>
      </c>
    </row>
    <row r="11" spans="1:20">
      <c r="A11" s="12"/>
      <c r="B11" s="12" t="s">
        <v>100</v>
      </c>
      <c r="C11" s="71">
        <f>KDG_Neu!J40</f>
        <v>0.14000000000000001</v>
      </c>
      <c r="D11" s="71">
        <f>KDG_Neu!K40</f>
        <v>0.14000000000000001</v>
      </c>
      <c r="E11" s="71">
        <f>KDG_Neu!L40</f>
        <v>0.14000000000000001</v>
      </c>
      <c r="F11" s="71">
        <f>KDG_Neu!M40</f>
        <v>0.14000000000000001</v>
      </c>
      <c r="G11" s="71">
        <f>KDG_Neu!N40</f>
        <v>0.18</v>
      </c>
      <c r="H11" s="71">
        <f>KDG_Neu!O40</f>
        <v>0.3</v>
      </c>
      <c r="I11" s="71">
        <f>KDG_Neu!P40</f>
        <v>0.3</v>
      </c>
      <c r="J11" s="71">
        <f>KDG_Neu!Q40</f>
        <v>0.32</v>
      </c>
      <c r="K11" s="71">
        <f>KDG_Neu!R40</f>
        <v>0.32</v>
      </c>
      <c r="L11" s="71">
        <v>0.32</v>
      </c>
      <c r="M11" s="71">
        <v>0.32</v>
      </c>
      <c r="N11" s="71">
        <v>0.32</v>
      </c>
      <c r="O11" s="71">
        <v>0.32</v>
      </c>
      <c r="P11" s="71">
        <v>0.32</v>
      </c>
      <c r="Q11" s="71">
        <v>0.32</v>
      </c>
      <c r="R11" s="12"/>
      <c r="S11" s="12"/>
      <c r="T11" s="12"/>
    </row>
    <row r="12" spans="1:20" ht="15" thickBot="1">
      <c r="B12" s="74" t="s">
        <v>7</v>
      </c>
      <c r="C12" s="75">
        <f>C9-C10</f>
        <v>101.82698849999997</v>
      </c>
      <c r="D12" s="75">
        <f t="shared" ref="D12:Q12" si="4">D9-D10</f>
        <v>161.41056750937497</v>
      </c>
      <c r="E12" s="75">
        <f t="shared" si="4"/>
        <v>265.54790568139481</v>
      </c>
      <c r="F12" s="75">
        <f t="shared" si="4"/>
        <v>323.71924643884705</v>
      </c>
      <c r="G12" s="75">
        <f t="shared" si="4"/>
        <v>338.07545109718495</v>
      </c>
      <c r="H12" s="75">
        <f t="shared" si="4"/>
        <v>320.85750746205804</v>
      </c>
      <c r="I12" s="75">
        <f t="shared" si="4"/>
        <v>359.92425958563717</v>
      </c>
      <c r="J12" s="75">
        <f t="shared" si="4"/>
        <v>386.44567368977425</v>
      </c>
      <c r="K12" s="75">
        <f t="shared" si="4"/>
        <v>406.90740019892371</v>
      </c>
      <c r="L12" s="75">
        <f t="shared" si="4"/>
        <v>406.58808076985741</v>
      </c>
      <c r="M12" s="75">
        <f t="shared" si="4"/>
        <v>416.07984238525461</v>
      </c>
      <c r="N12" s="75">
        <f t="shared" si="4"/>
        <v>425.76143923295967</v>
      </c>
      <c r="O12" s="75">
        <f t="shared" si="4"/>
        <v>435.63666801761894</v>
      </c>
      <c r="P12" s="75">
        <f t="shared" si="4"/>
        <v>445.70940137797135</v>
      </c>
      <c r="Q12" s="75">
        <f t="shared" si="4"/>
        <v>444.10405949866515</v>
      </c>
    </row>
    <row r="13" spans="1:20" ht="15" thickTop="1">
      <c r="A13" s="79"/>
      <c r="B13" s="80" t="s">
        <v>101</v>
      </c>
      <c r="C13" s="81">
        <f>C12/$T$4</f>
        <v>1.131410983333333</v>
      </c>
      <c r="D13" s="81">
        <f t="shared" ref="D13:Q13" si="5">D12/$T$4</f>
        <v>1.7934507501041663</v>
      </c>
      <c r="E13" s="81">
        <f t="shared" si="5"/>
        <v>2.9505322853488312</v>
      </c>
      <c r="F13" s="81">
        <f t="shared" si="5"/>
        <v>3.5968805159871895</v>
      </c>
      <c r="G13" s="81">
        <f t="shared" si="5"/>
        <v>3.7563939010798326</v>
      </c>
      <c r="H13" s="81">
        <f t="shared" si="5"/>
        <v>3.5650834162450895</v>
      </c>
      <c r="I13" s="81">
        <f t="shared" si="5"/>
        <v>3.999158439840413</v>
      </c>
      <c r="J13" s="81">
        <f t="shared" si="5"/>
        <v>4.2938408187752692</v>
      </c>
      <c r="K13" s="81">
        <f t="shared" si="5"/>
        <v>4.5211933355435967</v>
      </c>
      <c r="L13" s="81">
        <f t="shared" si="5"/>
        <v>4.5176453418873042</v>
      </c>
      <c r="M13" s="81">
        <f t="shared" si="5"/>
        <v>4.6231093598361621</v>
      </c>
      <c r="N13" s="81">
        <f t="shared" si="5"/>
        <v>4.730682658143996</v>
      </c>
      <c r="O13" s="81">
        <f t="shared" si="5"/>
        <v>4.8404074224179885</v>
      </c>
      <c r="P13" s="81">
        <f t="shared" si="5"/>
        <v>4.9523266819774596</v>
      </c>
      <c r="Q13" s="81">
        <f t="shared" si="5"/>
        <v>4.9344895499851686</v>
      </c>
      <c r="R13" s="79"/>
      <c r="S13" s="79"/>
      <c r="T13" s="79"/>
    </row>
    <row r="14" spans="1:20">
      <c r="B14" t="s">
        <v>8</v>
      </c>
      <c r="C14" s="78">
        <f>KDG_Neu!J31</f>
        <v>463</v>
      </c>
      <c r="D14" s="78">
        <f>KDG_Neu!K31</f>
        <v>450</v>
      </c>
      <c r="E14" s="78">
        <f>KDG_Neu!L31</f>
        <v>400</v>
      </c>
      <c r="F14" s="78">
        <f>KDG_Neu!M31</f>
        <v>405</v>
      </c>
      <c r="G14" s="78">
        <f>KDG_Neu!N31</f>
        <v>410</v>
      </c>
      <c r="H14" s="78">
        <f>KDG_Neu!O31</f>
        <v>415</v>
      </c>
      <c r="I14" s="78">
        <f>KDG_Neu!P31</f>
        <v>415</v>
      </c>
      <c r="J14" s="78">
        <f>KDG_Neu!Q31</f>
        <v>415</v>
      </c>
      <c r="K14" s="78">
        <f>KDG_Neu!R31</f>
        <v>410</v>
      </c>
      <c r="L14" s="78">
        <v>410</v>
      </c>
      <c r="M14" s="78">
        <v>410</v>
      </c>
      <c r="N14" s="78">
        <v>410</v>
      </c>
      <c r="O14" s="78">
        <v>410</v>
      </c>
      <c r="P14" s="78">
        <v>410</v>
      </c>
      <c r="Q14" s="78">
        <v>410</v>
      </c>
    </row>
    <row r="15" spans="1:20">
      <c r="A15" s="12"/>
      <c r="B15" s="12" t="s">
        <v>102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12"/>
      <c r="S15" s="12"/>
      <c r="T15" s="12"/>
    </row>
    <row r="16" spans="1:20">
      <c r="B16" t="s">
        <v>9</v>
      </c>
      <c r="C16" s="78">
        <f>KDG_Neu!J54</f>
        <v>373.6755</v>
      </c>
      <c r="D16" s="78">
        <f>KDG_Neu!K54</f>
        <v>374.31551062499989</v>
      </c>
      <c r="E16" s="78">
        <f>KDG_Neu!L54</f>
        <v>365.70131589468741</v>
      </c>
      <c r="F16" s="78">
        <f>KDG_Neu!M54</f>
        <v>357.2350543500749</v>
      </c>
      <c r="G16" s="78">
        <f>KDG_Neu!N54</f>
        <v>352.73277836568877</v>
      </c>
      <c r="H16" s="78">
        <f>KDG_Neu!O54</f>
        <v>359.70677744249446</v>
      </c>
      <c r="I16" s="78">
        <f>KDG_Neu!P54</f>
        <v>365.06697750230001</v>
      </c>
      <c r="J16" s="78">
        <f>KDG_Neu!Q54</f>
        <v>369.04274943436189</v>
      </c>
      <c r="K16" s="78">
        <f>KDG_Neu!R54</f>
        <v>366.55653791542369</v>
      </c>
      <c r="L16" s="78">
        <v>410</v>
      </c>
      <c r="M16" s="78">
        <v>410</v>
      </c>
      <c r="N16" s="78">
        <v>410</v>
      </c>
      <c r="O16" s="78">
        <v>410</v>
      </c>
      <c r="P16" s="78">
        <v>410</v>
      </c>
      <c r="Q16" s="78">
        <v>410</v>
      </c>
    </row>
    <row r="17" spans="1:20">
      <c r="A17" s="12"/>
      <c r="B17" s="12" t="s">
        <v>103</v>
      </c>
      <c r="C17" s="71"/>
      <c r="D17" s="71"/>
      <c r="E17" s="71"/>
      <c r="F17" s="71"/>
      <c r="G17" s="71"/>
      <c r="H17" s="71"/>
      <c r="I17" s="71"/>
      <c r="J17" s="71"/>
      <c r="K17" s="71"/>
      <c r="L17" s="71">
        <v>0.02</v>
      </c>
      <c r="M17" s="71">
        <v>0.02</v>
      </c>
      <c r="N17" s="71">
        <v>0.02</v>
      </c>
      <c r="O17" s="71">
        <v>0.02</v>
      </c>
      <c r="P17" s="71">
        <v>0.02</v>
      </c>
      <c r="Q17" s="71">
        <v>0.02</v>
      </c>
      <c r="R17" s="12"/>
      <c r="S17" s="12"/>
      <c r="T17" s="12"/>
    </row>
    <row r="18" spans="1:20">
      <c r="B18" t="s">
        <v>104</v>
      </c>
      <c r="C18" s="78">
        <v>0</v>
      </c>
      <c r="D18" s="78">
        <v>0</v>
      </c>
      <c r="E18" s="78">
        <v>0</v>
      </c>
      <c r="F18" s="78">
        <v>0</v>
      </c>
      <c r="G18" s="78">
        <v>0</v>
      </c>
      <c r="H18" s="78">
        <v>0</v>
      </c>
      <c r="I18" s="78">
        <v>0</v>
      </c>
      <c r="J18" s="78">
        <v>0</v>
      </c>
      <c r="K18" s="78">
        <v>0</v>
      </c>
      <c r="L18" s="78">
        <v>0</v>
      </c>
      <c r="M18" s="78">
        <v>0</v>
      </c>
      <c r="N18" s="78">
        <v>0</v>
      </c>
      <c r="O18" s="78">
        <v>0</v>
      </c>
      <c r="P18" s="78">
        <v>0</v>
      </c>
      <c r="Q18" s="78">
        <v>0</v>
      </c>
    </row>
    <row r="19" spans="1:20">
      <c r="A19" s="12"/>
      <c r="B19" s="12" t="s">
        <v>105</v>
      </c>
      <c r="C19" s="71">
        <v>0</v>
      </c>
      <c r="D19" s="71">
        <v>0</v>
      </c>
      <c r="E19" s="71">
        <v>0</v>
      </c>
      <c r="F19" s="71">
        <v>0</v>
      </c>
      <c r="G19" s="71">
        <v>0</v>
      </c>
      <c r="H19" s="71">
        <v>0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0</v>
      </c>
      <c r="P19" s="71">
        <v>0</v>
      </c>
      <c r="Q19" s="71">
        <v>0</v>
      </c>
      <c r="R19" s="12"/>
      <c r="S19" s="12"/>
      <c r="T19" s="12"/>
    </row>
    <row r="20" spans="1:20" ht="15">
      <c r="B20" s="82" t="s">
        <v>106</v>
      </c>
      <c r="C20" s="83">
        <v>0</v>
      </c>
      <c r="D20" s="78">
        <f>D18-C18</f>
        <v>0</v>
      </c>
      <c r="E20" s="78">
        <f t="shared" ref="E20:Q20" si="6">E18-D18</f>
        <v>0</v>
      </c>
      <c r="F20" s="78">
        <f t="shared" si="6"/>
        <v>0</v>
      </c>
      <c r="G20" s="78">
        <f t="shared" si="6"/>
        <v>0</v>
      </c>
      <c r="H20" s="78">
        <f t="shared" si="6"/>
        <v>0</v>
      </c>
      <c r="I20" s="78">
        <f t="shared" si="6"/>
        <v>0</v>
      </c>
      <c r="J20" s="78">
        <f t="shared" si="6"/>
        <v>0</v>
      </c>
      <c r="K20" s="78">
        <f t="shared" si="6"/>
        <v>0</v>
      </c>
      <c r="L20" s="78">
        <f t="shared" si="6"/>
        <v>0</v>
      </c>
      <c r="M20" s="78">
        <f t="shared" si="6"/>
        <v>0</v>
      </c>
      <c r="N20" s="78">
        <f t="shared" si="6"/>
        <v>0</v>
      </c>
      <c r="O20" s="78">
        <f t="shared" si="6"/>
        <v>0</v>
      </c>
      <c r="P20" s="78">
        <f t="shared" si="6"/>
        <v>0</v>
      </c>
      <c r="Q20" s="78">
        <f t="shared" si="6"/>
        <v>0</v>
      </c>
    </row>
    <row r="22" spans="1:20" ht="15" thickBot="1">
      <c r="B22" s="67" t="s">
        <v>10</v>
      </c>
      <c r="C22" s="84">
        <f>C12+C14-C16-C20</f>
        <v>191.15148849999997</v>
      </c>
      <c r="D22" s="84">
        <f t="shared" ref="D22:Q22" si="7">D12+D14-D16-D20</f>
        <v>237.09505688437503</v>
      </c>
      <c r="E22" s="84">
        <f t="shared" si="7"/>
        <v>299.8465897867074</v>
      </c>
      <c r="F22" s="84">
        <f t="shared" si="7"/>
        <v>371.48419208877209</v>
      </c>
      <c r="G22" s="84">
        <f t="shared" si="7"/>
        <v>395.34267273149612</v>
      </c>
      <c r="H22" s="84">
        <f t="shared" si="7"/>
        <v>376.15073001956358</v>
      </c>
      <c r="I22" s="84">
        <f t="shared" si="7"/>
        <v>409.85728208333717</v>
      </c>
      <c r="J22" s="84">
        <f t="shared" si="7"/>
        <v>432.40292425541236</v>
      </c>
      <c r="K22" s="84">
        <f t="shared" si="7"/>
        <v>450.35086228350002</v>
      </c>
      <c r="L22" s="84">
        <f t="shared" si="7"/>
        <v>406.58808076985747</v>
      </c>
      <c r="M22" s="84">
        <f t="shared" si="7"/>
        <v>416.07984238525455</v>
      </c>
      <c r="N22" s="84">
        <f t="shared" si="7"/>
        <v>425.76143923295967</v>
      </c>
      <c r="O22" s="84">
        <f t="shared" si="7"/>
        <v>435.63666801761894</v>
      </c>
      <c r="P22" s="84">
        <f t="shared" si="7"/>
        <v>445.70940137797129</v>
      </c>
      <c r="Q22" s="84">
        <f t="shared" si="7"/>
        <v>444.10405949866515</v>
      </c>
    </row>
    <row r="23" spans="1:20" ht="15" thickTop="1">
      <c r="P23" s="3" t="s">
        <v>107</v>
      </c>
      <c r="Q23">
        <f>Q22/(T5-Q5)</f>
        <v>5551.3007437333144</v>
      </c>
    </row>
    <row r="24" spans="1:20">
      <c r="B24" t="s">
        <v>108</v>
      </c>
      <c r="C24" s="85">
        <f>NPV(T5,C22:P22,+Q22+Q23)</f>
        <v>4210.1808619808553</v>
      </c>
    </row>
    <row r="25" spans="1:20">
      <c r="B25" t="s">
        <v>109</v>
      </c>
      <c r="C25" s="86">
        <f>C24/T4</f>
        <v>46.779787355342833</v>
      </c>
      <c r="F25" s="117" t="s">
        <v>110</v>
      </c>
      <c r="G25" s="117"/>
      <c r="H25" s="117"/>
    </row>
    <row r="26" spans="1:20" ht="15" thickBot="1">
      <c r="F26" t="s">
        <v>4</v>
      </c>
    </row>
    <row r="27" spans="1:20" ht="15">
      <c r="C27" s="86"/>
      <c r="D27" s="86"/>
      <c r="E27" s="118" t="s">
        <v>3</v>
      </c>
      <c r="F27" s="87">
        <f>C25</f>
        <v>46.779787355342833</v>
      </c>
      <c r="G27" s="88">
        <v>8.5000000000000006E-2</v>
      </c>
      <c r="H27" s="88">
        <v>0.09</v>
      </c>
      <c r="I27" s="88">
        <v>9.2499999999999999E-2</v>
      </c>
      <c r="J27" s="88">
        <v>9.5000000000000001E-2</v>
      </c>
      <c r="K27" s="88">
        <v>9.7500000000000003E-2</v>
      </c>
      <c r="L27" s="88">
        <v>0.1</v>
      </c>
      <c r="M27" s="89">
        <v>0.105</v>
      </c>
    </row>
    <row r="28" spans="1:20" ht="15" thickBot="1">
      <c r="C28" s="86"/>
      <c r="E28" s="118"/>
      <c r="F28" s="90">
        <v>0.01</v>
      </c>
      <c r="G28" s="91">
        <f t="dataTable" ref="G28:M32" dt2D="1" dtr="1" r1="T5" r2="Q5"/>
        <v>52.342829381093694</v>
      </c>
      <c r="H28" s="92">
        <v>48.843182422113337</v>
      </c>
      <c r="I28" s="92">
        <v>47.253515441676065</v>
      </c>
      <c r="J28" s="92">
        <v>45.758058539720373</v>
      </c>
      <c r="K28" s="92">
        <v>44.348736459099044</v>
      </c>
      <c r="L28" s="92">
        <v>43.018370917898203</v>
      </c>
      <c r="M28" s="93">
        <v>40.569573150662265</v>
      </c>
    </row>
    <row r="29" spans="1:20" ht="15" thickBot="1">
      <c r="C29" s="86"/>
      <c r="E29" s="118"/>
      <c r="F29" s="90">
        <v>1.2500000000000001E-2</v>
      </c>
      <c r="G29" s="94">
        <v>53.067345137072124</v>
      </c>
      <c r="H29" s="95">
        <v>49.439825891062384</v>
      </c>
      <c r="I29" s="96">
        <v>47.796698789682004</v>
      </c>
      <c r="J29" s="97">
        <v>46.253551066802586</v>
      </c>
      <c r="K29" s="98">
        <v>44.801569616514563</v>
      </c>
      <c r="L29" s="95">
        <v>43.432947993659056</v>
      </c>
      <c r="M29" s="99">
        <v>40.918775684178044</v>
      </c>
    </row>
    <row r="30" spans="1:20" ht="15" thickBot="1">
      <c r="C30" s="86"/>
      <c r="E30" s="118"/>
      <c r="F30" s="90">
        <v>1.4999999999999999E-2</v>
      </c>
      <c r="G30" s="94">
        <v>53.843317565759897</v>
      </c>
      <c r="H30" s="95">
        <v>50.075989083255294</v>
      </c>
      <c r="I30" s="100">
        <v>48.3746863765504</v>
      </c>
      <c r="J30" s="101">
        <v>46.779787355342833</v>
      </c>
      <c r="K30" s="99">
        <v>45.281636811558428</v>
      </c>
      <c r="L30" s="95">
        <v>43.871714600164623</v>
      </c>
      <c r="M30" s="99">
        <v>41.287204224675683</v>
      </c>
    </row>
    <row r="31" spans="1:20" ht="15" thickBot="1">
      <c r="F31" s="90">
        <v>1.7500000000000002E-2</v>
      </c>
      <c r="G31" s="94">
        <v>54.676464075235792</v>
      </c>
      <c r="H31" s="95">
        <v>50.755760245924172</v>
      </c>
      <c r="I31" s="102">
        <v>48.990958626167512</v>
      </c>
      <c r="J31" s="103">
        <v>47.339742608062878</v>
      </c>
      <c r="K31" s="104">
        <v>45.791491235258292</v>
      </c>
      <c r="L31" s="95">
        <v>44.336869785664433</v>
      </c>
      <c r="M31" s="99">
        <v>41.676506715610806</v>
      </c>
    </row>
    <row r="32" spans="1:20" ht="15" thickBot="1">
      <c r="F32" s="105">
        <v>0.02</v>
      </c>
      <c r="G32" s="106">
        <v>55.573381674821533</v>
      </c>
      <c r="H32" s="103">
        <v>51.483811661620038</v>
      </c>
      <c r="I32" s="103">
        <v>49.649476020886659</v>
      </c>
      <c r="J32" s="103">
        <v>47.936788721380701</v>
      </c>
      <c r="K32" s="103">
        <v>46.334015522645387</v>
      </c>
      <c r="L32" s="103">
        <v>44.830887479439191</v>
      </c>
      <c r="M32" s="104">
        <v>42.088524976139645</v>
      </c>
    </row>
    <row r="35" spans="2:6" ht="15">
      <c r="C35" s="119"/>
      <c r="D35" s="119"/>
      <c r="E35" s="119"/>
      <c r="F35" s="119"/>
    </row>
    <row r="37" spans="2:6">
      <c r="C37" s="107"/>
      <c r="D37" s="107"/>
      <c r="E37" s="107"/>
    </row>
    <row r="38" spans="2:6" ht="17.25">
      <c r="E38" s="108"/>
    </row>
    <row r="39" spans="2:6" ht="15">
      <c r="B39" s="109"/>
      <c r="C39" s="110"/>
      <c r="D39" s="110"/>
    </row>
    <row r="40" spans="2:6" ht="15">
      <c r="B40" s="109"/>
      <c r="C40" s="110"/>
      <c r="D40" s="110"/>
    </row>
    <row r="41" spans="2:6" ht="15">
      <c r="B41" s="109"/>
      <c r="C41" s="110"/>
      <c r="D41" s="110"/>
    </row>
    <row r="42" spans="2:6" ht="15">
      <c r="B42" s="109"/>
      <c r="C42" s="110"/>
      <c r="D42" s="110"/>
    </row>
    <row r="43" spans="2:6" ht="15">
      <c r="B43" s="109"/>
      <c r="C43" s="110"/>
      <c r="D43" s="110"/>
    </row>
    <row r="44" spans="2:6" ht="15">
      <c r="B44" s="109"/>
      <c r="C44" s="110"/>
      <c r="D44" s="110"/>
    </row>
    <row r="45" spans="2:6">
      <c r="D45" s="86"/>
    </row>
    <row r="46" spans="2:6">
      <c r="D46" s="86"/>
    </row>
  </sheetData>
  <mergeCells count="5">
    <mergeCell ref="C1:K1"/>
    <mergeCell ref="L1:P1"/>
    <mergeCell ref="F25:H25"/>
    <mergeCell ref="E27:E30"/>
    <mergeCell ref="C35:F35"/>
  </mergeCells>
  <conditionalFormatting sqref="G28:M32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C4:AC67"/>
  <sheetViews>
    <sheetView topLeftCell="B1" zoomScale="85" zoomScaleNormal="85" workbookViewId="0">
      <pane xSplit="8" ySplit="4" topLeftCell="J47" activePane="bottomRight" state="frozen"/>
      <selection activeCell="B1" sqref="B1"/>
      <selection pane="topRight" activeCell="J1" sqref="J1"/>
      <selection pane="bottomLeft" activeCell="B5" sqref="B5"/>
      <selection pane="bottomRight" activeCell="R43" sqref="R43"/>
    </sheetView>
  </sheetViews>
  <sheetFormatPr baseColWidth="10" defaultRowHeight="14.25"/>
  <cols>
    <col min="3" max="3" width="23.375" bestFit="1" customWidth="1"/>
    <col min="4" max="4" width="6.125" style="37" hidden="1" customWidth="1"/>
    <col min="5" max="5" width="7.5" style="37" hidden="1" customWidth="1"/>
    <col min="6" max="6" width="7.25" style="37" hidden="1" customWidth="1"/>
    <col min="7" max="7" width="6.5" style="37" hidden="1" customWidth="1"/>
    <col min="8" max="8" width="6.125" style="37" hidden="1" customWidth="1"/>
    <col min="9" max="9" width="6.625" style="37" hidden="1" customWidth="1"/>
    <col min="10" max="10" width="11.375" customWidth="1"/>
    <col min="20" max="20" width="16.25" bestFit="1" customWidth="1"/>
  </cols>
  <sheetData>
    <row r="4" spans="3:20" ht="15">
      <c r="D4" s="37" t="s">
        <v>12</v>
      </c>
      <c r="E4" s="37" t="s">
        <v>13</v>
      </c>
      <c r="F4" s="37" t="s">
        <v>14</v>
      </c>
      <c r="G4" s="37" t="s">
        <v>15</v>
      </c>
      <c r="H4" s="37" t="s">
        <v>16</v>
      </c>
      <c r="I4" s="37" t="s">
        <v>67</v>
      </c>
      <c r="J4" s="2" t="s">
        <v>18</v>
      </c>
      <c r="K4" s="2" t="s">
        <v>19</v>
      </c>
      <c r="L4" s="2" t="s">
        <v>20</v>
      </c>
      <c r="M4" s="2" t="s">
        <v>21</v>
      </c>
      <c r="N4" s="2" t="s">
        <v>22</v>
      </c>
      <c r="O4" s="2" t="s">
        <v>23</v>
      </c>
      <c r="P4" s="2" t="s">
        <v>24</v>
      </c>
      <c r="Q4" s="2" t="s">
        <v>68</v>
      </c>
      <c r="R4" s="2" t="s">
        <v>69</v>
      </c>
    </row>
    <row r="5" spans="3:20">
      <c r="C5" t="s">
        <v>0</v>
      </c>
      <c r="I5" s="38">
        <v>1598</v>
      </c>
      <c r="J5" s="34">
        <f>J6+J7</f>
        <v>1698.5249999999999</v>
      </c>
      <c r="K5" s="34">
        <f t="shared" ref="K5:Q5" si="0">K6+K7</f>
        <v>1782.4548124999997</v>
      </c>
      <c r="L5" s="34">
        <f t="shared" si="0"/>
        <v>1875.3913635624995</v>
      </c>
      <c r="M5" s="34">
        <f t="shared" si="0"/>
        <v>1984.6391908337496</v>
      </c>
      <c r="N5" s="34">
        <f>N6+N7</f>
        <v>2074.8986962687572</v>
      </c>
      <c r="O5" s="34">
        <f t="shared" si="0"/>
        <v>2180.0410754090572</v>
      </c>
      <c r="P5" s="34">
        <f>P6+P7</f>
        <v>2281.668609389375</v>
      </c>
      <c r="Q5" s="34">
        <f t="shared" si="0"/>
        <v>2380.9209640926574</v>
      </c>
      <c r="R5" s="34">
        <f>R6+R7</f>
        <v>2443.7102527694915</v>
      </c>
    </row>
    <row r="6" spans="3:20" s="4" customFormat="1" ht="11.25">
      <c r="C6" s="4" t="s">
        <v>70</v>
      </c>
      <c r="D6" s="39"/>
      <c r="E6" s="39"/>
      <c r="F6" s="39"/>
      <c r="G6" s="39"/>
      <c r="H6" s="39"/>
      <c r="I6" s="40">
        <v>1133</v>
      </c>
      <c r="J6" s="35">
        <f>I6*(1+J8)</f>
        <v>1161.3249999999998</v>
      </c>
      <c r="K6" s="35">
        <f t="shared" ref="K6:R6" si="1">J6*(1+K8)</f>
        <v>1187.4548124999997</v>
      </c>
      <c r="L6" s="35">
        <f t="shared" si="1"/>
        <v>1212.3913635624995</v>
      </c>
      <c r="M6" s="35">
        <f t="shared" si="1"/>
        <v>1236.6391908337496</v>
      </c>
      <c r="N6" s="35">
        <f t="shared" si="1"/>
        <v>1258.898696268757</v>
      </c>
      <c r="O6" s="35">
        <f t="shared" si="1"/>
        <v>1279.0410754090572</v>
      </c>
      <c r="P6" s="35">
        <f t="shared" si="1"/>
        <v>1295.6686093893748</v>
      </c>
      <c r="Q6" s="35">
        <f t="shared" si="1"/>
        <v>1309.9209640926576</v>
      </c>
      <c r="R6" s="35">
        <f t="shared" si="1"/>
        <v>1321.7102527694915</v>
      </c>
    </row>
    <row r="7" spans="3:20" s="4" customFormat="1" ht="11.25">
      <c r="C7" s="4" t="s">
        <v>71</v>
      </c>
      <c r="D7" s="39"/>
      <c r="E7" s="39"/>
      <c r="F7" s="39"/>
      <c r="G7" s="39"/>
      <c r="H7" s="39"/>
      <c r="I7" s="40">
        <v>466</v>
      </c>
      <c r="J7" s="35">
        <f>J16*0.34</f>
        <v>537.20000000000005</v>
      </c>
      <c r="K7" s="35">
        <f t="shared" ref="K7:R7" si="2">K16*0.34</f>
        <v>595</v>
      </c>
      <c r="L7" s="35">
        <f t="shared" si="2"/>
        <v>663</v>
      </c>
      <c r="M7" s="35">
        <f t="shared" si="2"/>
        <v>748</v>
      </c>
      <c r="N7" s="35">
        <f t="shared" si="2"/>
        <v>816.00000000000011</v>
      </c>
      <c r="O7" s="35">
        <f t="shared" si="2"/>
        <v>901.00000000000011</v>
      </c>
      <c r="P7" s="35">
        <f>P16*0.34</f>
        <v>986.00000000000011</v>
      </c>
      <c r="Q7" s="35">
        <f t="shared" si="2"/>
        <v>1071</v>
      </c>
      <c r="R7" s="35">
        <f t="shared" si="2"/>
        <v>1122</v>
      </c>
    </row>
    <row r="8" spans="3:20" s="27" customFormat="1" ht="9">
      <c r="C8" s="27" t="s">
        <v>72</v>
      </c>
      <c r="D8" s="41"/>
      <c r="E8" s="41"/>
      <c r="F8" s="41"/>
      <c r="G8" s="41"/>
      <c r="H8" s="41"/>
      <c r="I8" s="42">
        <v>8.0000000000000002E-3</v>
      </c>
      <c r="J8" s="28">
        <v>2.5000000000000001E-2</v>
      </c>
      <c r="K8" s="28">
        <v>2.2499999999999999E-2</v>
      </c>
      <c r="L8" s="28">
        <v>2.1000000000000001E-2</v>
      </c>
      <c r="M8" s="28">
        <v>0.02</v>
      </c>
      <c r="N8" s="28">
        <v>1.7999999999999999E-2</v>
      </c>
      <c r="O8" s="28">
        <v>1.6E-2</v>
      </c>
      <c r="P8" s="28">
        <v>1.2999999999999999E-2</v>
      </c>
      <c r="Q8" s="28">
        <v>1.0999999999999999E-2</v>
      </c>
      <c r="R8" s="28">
        <v>8.9999999999999993E-3</v>
      </c>
      <c r="S8" s="113"/>
      <c r="T8" s="113"/>
    </row>
    <row r="9" spans="3:20" s="27" customFormat="1" ht="9">
      <c r="C9" s="27" t="s">
        <v>73</v>
      </c>
      <c r="D9" s="41"/>
      <c r="E9" s="41"/>
      <c r="F9" s="41"/>
      <c r="G9" s="41"/>
      <c r="H9" s="41"/>
      <c r="I9" s="42">
        <v>0.23100000000000001</v>
      </c>
      <c r="J9" s="33">
        <f>J7/I7-1</f>
        <v>0.15278969957081556</v>
      </c>
      <c r="K9" s="33">
        <f t="shared" ref="K9:R9" si="3">K7/J7-1</f>
        <v>0.10759493670886067</v>
      </c>
      <c r="L9" s="33">
        <f t="shared" si="3"/>
        <v>0.11428571428571432</v>
      </c>
      <c r="M9" s="33">
        <f t="shared" si="3"/>
        <v>0.12820512820512819</v>
      </c>
      <c r="N9" s="33">
        <f t="shared" si="3"/>
        <v>9.090909090909105E-2</v>
      </c>
      <c r="O9" s="33">
        <f t="shared" si="3"/>
        <v>0.10416666666666674</v>
      </c>
      <c r="P9" s="33">
        <f t="shared" si="3"/>
        <v>9.4339622641509413E-2</v>
      </c>
      <c r="Q9" s="33">
        <f t="shared" si="3"/>
        <v>8.6206896551723977E-2</v>
      </c>
      <c r="R9" s="33">
        <f t="shared" si="3"/>
        <v>4.7619047619047672E-2</v>
      </c>
    </row>
    <row r="10" spans="3:20" s="26" customFormat="1" ht="12">
      <c r="C10" s="26" t="s">
        <v>74</v>
      </c>
      <c r="D10" s="45"/>
      <c r="E10" s="45"/>
      <c r="F10" s="45"/>
      <c r="G10" s="45"/>
      <c r="H10" s="45"/>
      <c r="I10" s="46"/>
      <c r="J10" s="47">
        <f>J5/I5-1</f>
        <v>6.2906758448060041E-2</v>
      </c>
      <c r="K10" s="47">
        <f t="shared" ref="K10:R10" si="4">K5/J5-1</f>
        <v>4.9413351290089835E-2</v>
      </c>
      <c r="L10" s="47">
        <f t="shared" si="4"/>
        <v>5.2139639339384258E-2</v>
      </c>
      <c r="M10" s="47">
        <f t="shared" si="4"/>
        <v>5.825334881766886E-2</v>
      </c>
      <c r="N10" s="47">
        <f t="shared" si="4"/>
        <v>4.5479050223274919E-2</v>
      </c>
      <c r="O10" s="47">
        <f t="shared" si="4"/>
        <v>5.0673500026471086E-2</v>
      </c>
      <c r="P10" s="47">
        <f t="shared" si="4"/>
        <v>4.6617256494237758E-2</v>
      </c>
      <c r="Q10" s="47">
        <f t="shared" si="4"/>
        <v>4.3499899281975285E-2</v>
      </c>
      <c r="R10" s="47">
        <f t="shared" si="4"/>
        <v>2.6371849222959209E-2</v>
      </c>
    </row>
    <row r="12" spans="3:20" s="4" customFormat="1" ht="11.25">
      <c r="C12" s="32" t="s">
        <v>38</v>
      </c>
      <c r="D12" s="52">
        <v>5786</v>
      </c>
      <c r="E12" s="52">
        <v>8634</v>
      </c>
      <c r="F12" s="52">
        <v>10901</v>
      </c>
      <c r="G12" s="52">
        <v>12008</v>
      </c>
      <c r="H12" s="52">
        <v>12116</v>
      </c>
      <c r="I12" s="52">
        <v>12608</v>
      </c>
      <c r="J12" s="53">
        <v>12700</v>
      </c>
      <c r="K12" s="53">
        <v>12800</v>
      </c>
      <c r="L12" s="53">
        <v>12900</v>
      </c>
      <c r="M12" s="53">
        <v>13000</v>
      </c>
      <c r="N12" s="53">
        <v>13050</v>
      </c>
      <c r="O12" s="53">
        <v>13100</v>
      </c>
      <c r="P12" s="53">
        <v>13150</v>
      </c>
      <c r="Q12" s="53">
        <v>13200</v>
      </c>
      <c r="R12" s="53">
        <v>13250</v>
      </c>
    </row>
    <row r="13" spans="3:20" s="4" customFormat="1" ht="11.25">
      <c r="C13" s="32" t="s">
        <v>39</v>
      </c>
      <c r="D13" s="52">
        <v>1379</v>
      </c>
      <c r="E13" s="52">
        <v>4025</v>
      </c>
      <c r="F13" s="52">
        <v>6685</v>
      </c>
      <c r="G13" s="52">
        <v>8580</v>
      </c>
      <c r="H13" s="52">
        <v>9520</v>
      </c>
      <c r="I13" s="52">
        <v>10496</v>
      </c>
      <c r="J13" s="53">
        <f>J12*J14</f>
        <v>10731.5</v>
      </c>
      <c r="K13" s="53">
        <f t="shared" ref="K13:R13" si="5">K12*K14</f>
        <v>10969.6</v>
      </c>
      <c r="L13" s="53">
        <f t="shared" si="5"/>
        <v>11184.3</v>
      </c>
      <c r="M13" s="53">
        <f t="shared" si="5"/>
        <v>11427</v>
      </c>
      <c r="N13" s="53">
        <f t="shared" si="5"/>
        <v>11601.45</v>
      </c>
      <c r="O13" s="53">
        <f t="shared" si="5"/>
        <v>11724.5</v>
      </c>
      <c r="P13" s="53">
        <f t="shared" si="5"/>
        <v>11835</v>
      </c>
      <c r="Q13" s="53">
        <f t="shared" si="5"/>
        <v>11880</v>
      </c>
      <c r="R13" s="53">
        <f t="shared" si="5"/>
        <v>11991.25</v>
      </c>
    </row>
    <row r="14" spans="3:20" ht="15">
      <c r="C14" s="32" t="s">
        <v>40</v>
      </c>
      <c r="D14" s="30">
        <f>D13/D12</f>
        <v>0.23833390943657104</v>
      </c>
      <c r="E14" s="30">
        <f t="shared" ref="E14:I14" si="6">E13/E12</f>
        <v>0.46618021774380358</v>
      </c>
      <c r="F14" s="30">
        <f t="shared" si="6"/>
        <v>0.6132464911476011</v>
      </c>
      <c r="G14" s="30">
        <f t="shared" si="6"/>
        <v>0.7145236508994004</v>
      </c>
      <c r="H14" s="30">
        <f t="shared" si="6"/>
        <v>0.78573786728293171</v>
      </c>
      <c r="I14" s="30">
        <f t="shared" si="6"/>
        <v>0.8324873096446701</v>
      </c>
      <c r="J14" s="55">
        <v>0.84499999999999997</v>
      </c>
      <c r="K14" s="55">
        <v>0.85699999999999998</v>
      </c>
      <c r="L14" s="55">
        <v>0.86699999999999999</v>
      </c>
      <c r="M14" s="55">
        <v>0.879</v>
      </c>
      <c r="N14" s="55">
        <v>0.88900000000000001</v>
      </c>
      <c r="O14" s="55">
        <v>0.89500000000000002</v>
      </c>
      <c r="P14" s="55">
        <v>0.9</v>
      </c>
      <c r="Q14" s="55">
        <v>0.9</v>
      </c>
      <c r="R14" s="55">
        <v>0.90500000000000003</v>
      </c>
    </row>
    <row r="15" spans="3:20" ht="5.25" customHeight="1">
      <c r="C15" s="31"/>
      <c r="D15" s="29"/>
      <c r="E15" s="29"/>
      <c r="F15" s="29"/>
      <c r="G15" s="29"/>
      <c r="H15" s="29"/>
      <c r="I15" s="29"/>
      <c r="J15" s="31"/>
      <c r="K15" s="31"/>
      <c r="L15" s="31"/>
      <c r="M15" s="31"/>
      <c r="N15" s="31"/>
      <c r="O15" s="31"/>
      <c r="P15" s="31"/>
      <c r="Q15" s="31"/>
      <c r="R15" s="31"/>
    </row>
    <row r="16" spans="3:20" s="4" customFormat="1" ht="11.25">
      <c r="C16" s="32" t="s">
        <v>41</v>
      </c>
      <c r="D16" s="52">
        <v>64.813000000000002</v>
      </c>
      <c r="E16" s="52">
        <v>189.17500000000001</v>
      </c>
      <c r="F16" s="52">
        <v>421.15499999999997</v>
      </c>
      <c r="G16" s="52">
        <v>806.52</v>
      </c>
      <c r="H16" s="52">
        <v>1094.8</v>
      </c>
      <c r="I16" s="52">
        <v>1382</v>
      </c>
      <c r="J16" s="53">
        <v>1580</v>
      </c>
      <c r="K16" s="53">
        <v>1750</v>
      </c>
      <c r="L16" s="53">
        <v>1950</v>
      </c>
      <c r="M16" s="53">
        <v>2200</v>
      </c>
      <c r="N16" s="53">
        <v>2400</v>
      </c>
      <c r="O16" s="53">
        <v>2650</v>
      </c>
      <c r="P16" s="53">
        <v>2900</v>
      </c>
      <c r="Q16" s="53">
        <v>3150</v>
      </c>
      <c r="R16" s="53">
        <v>3300</v>
      </c>
    </row>
    <row r="17" spans="3:29" s="4" customFormat="1" ht="11.25">
      <c r="C17" s="32" t="s">
        <v>42</v>
      </c>
      <c r="D17" s="54">
        <f>D16/D13</f>
        <v>4.7E-2</v>
      </c>
      <c r="E17" s="54">
        <f t="shared" ref="E17:R17" si="7">E16/E13</f>
        <v>4.7E-2</v>
      </c>
      <c r="F17" s="54">
        <f t="shared" si="7"/>
        <v>6.3E-2</v>
      </c>
      <c r="G17" s="54">
        <f t="shared" si="7"/>
        <v>9.4E-2</v>
      </c>
      <c r="H17" s="54">
        <f t="shared" si="7"/>
        <v>0.11499999999999999</v>
      </c>
      <c r="I17" s="54">
        <f t="shared" si="7"/>
        <v>0.13166920731707318</v>
      </c>
      <c r="J17" s="55">
        <f>J16/J13</f>
        <v>0.147230116945441</v>
      </c>
      <c r="K17" s="55">
        <f t="shared" si="7"/>
        <v>0.15953179696616102</v>
      </c>
      <c r="L17" s="55">
        <f t="shared" si="7"/>
        <v>0.17435154636409969</v>
      </c>
      <c r="M17" s="55">
        <f t="shared" si="7"/>
        <v>0.19252647238995363</v>
      </c>
      <c r="N17" s="55">
        <f t="shared" si="7"/>
        <v>0.20687069288752696</v>
      </c>
      <c r="O17" s="55">
        <f t="shared" si="7"/>
        <v>0.22602243166019872</v>
      </c>
      <c r="P17" s="55">
        <f t="shared" si="7"/>
        <v>0.24503591043514997</v>
      </c>
      <c r="Q17" s="55">
        <f t="shared" si="7"/>
        <v>0.26515151515151514</v>
      </c>
      <c r="R17" s="55">
        <f t="shared" si="7"/>
        <v>0.27520066715313252</v>
      </c>
    </row>
    <row r="18" spans="3:29" s="4" customFormat="1" ht="11.25">
      <c r="C18" s="32" t="s">
        <v>43</v>
      </c>
      <c r="D18" s="56" t="s">
        <v>28</v>
      </c>
      <c r="E18" s="54">
        <f>E16/D16-1</f>
        <v>1.9187817258883251</v>
      </c>
      <c r="F18" s="54">
        <f t="shared" ref="F18:P18" si="8">F16/E16-1</f>
        <v>1.2262719703977796</v>
      </c>
      <c r="G18" s="54">
        <f t="shared" si="8"/>
        <v>0.9150194109057237</v>
      </c>
      <c r="H18" s="54">
        <f t="shared" si="8"/>
        <v>0.35743688935178297</v>
      </c>
      <c r="I18" s="54">
        <f t="shared" si="8"/>
        <v>0.26233101936426739</v>
      </c>
      <c r="J18" s="55">
        <f t="shared" si="8"/>
        <v>0.14327062228654119</v>
      </c>
      <c r="K18" s="55">
        <f t="shared" si="8"/>
        <v>0.10759493670886067</v>
      </c>
      <c r="L18" s="55">
        <f t="shared" si="8"/>
        <v>0.11428571428571432</v>
      </c>
      <c r="M18" s="55">
        <f t="shared" si="8"/>
        <v>0.12820512820512819</v>
      </c>
      <c r="N18" s="55">
        <f t="shared" si="8"/>
        <v>9.0909090909090828E-2</v>
      </c>
      <c r="O18" s="55">
        <f t="shared" si="8"/>
        <v>0.10416666666666674</v>
      </c>
      <c r="P18" s="55">
        <f t="shared" si="8"/>
        <v>9.4339622641509413E-2</v>
      </c>
      <c r="Q18" s="55">
        <f>Q16/P16-1</f>
        <v>8.6206896551724199E-2</v>
      </c>
      <c r="R18" s="55">
        <f>R16/Q16-1</f>
        <v>4.7619047619047672E-2</v>
      </c>
    </row>
    <row r="19" spans="3:29">
      <c r="I19" s="43"/>
    </row>
    <row r="20" spans="3:29" ht="15">
      <c r="C20" t="s">
        <v>75</v>
      </c>
      <c r="D20" s="44"/>
      <c r="E20" s="44"/>
      <c r="F20" s="44"/>
      <c r="G20" s="29"/>
      <c r="H20" s="29"/>
      <c r="I20" s="44"/>
    </row>
    <row r="21" spans="3:29" s="26" customFormat="1" ht="12">
      <c r="C21" s="26" t="s">
        <v>76</v>
      </c>
      <c r="D21" s="45"/>
      <c r="E21" s="45"/>
      <c r="F21" s="45"/>
      <c r="G21" s="45"/>
      <c r="H21" s="45"/>
      <c r="I21" s="46"/>
      <c r="J21" s="48">
        <v>0.499</v>
      </c>
      <c r="K21" s="48">
        <v>0.5</v>
      </c>
      <c r="L21" s="48">
        <v>0.503</v>
      </c>
      <c r="M21" s="48">
        <v>0.501</v>
      </c>
      <c r="N21" s="48">
        <v>0.499</v>
      </c>
      <c r="O21" s="48">
        <v>0.5</v>
      </c>
      <c r="P21" s="48">
        <v>0.5</v>
      </c>
      <c r="Q21" s="48">
        <v>0.5</v>
      </c>
      <c r="R21" s="48">
        <v>0.5</v>
      </c>
      <c r="U21" s="26" t="str">
        <f t="shared" ref="U21:AC21" si="9">J4</f>
        <v>2012E</v>
      </c>
      <c r="V21" s="26" t="str">
        <f t="shared" si="9"/>
        <v>2013E</v>
      </c>
      <c r="W21" s="26" t="str">
        <f t="shared" si="9"/>
        <v>2014E</v>
      </c>
      <c r="X21" s="26" t="str">
        <f t="shared" si="9"/>
        <v>2015E</v>
      </c>
      <c r="Y21" s="26" t="str">
        <f t="shared" si="9"/>
        <v>2016E</v>
      </c>
      <c r="Z21" s="26" t="str">
        <f t="shared" si="9"/>
        <v>2017E</v>
      </c>
      <c r="AA21" s="26" t="str">
        <f t="shared" si="9"/>
        <v>2018E</v>
      </c>
      <c r="AB21" s="26" t="str">
        <f t="shared" si="9"/>
        <v>2019E</v>
      </c>
      <c r="AC21" s="26" t="str">
        <f t="shared" si="9"/>
        <v>2020E</v>
      </c>
    </row>
    <row r="22" spans="3:29" s="26" customFormat="1" ht="12">
      <c r="C22" s="26" t="s">
        <v>77</v>
      </c>
      <c r="D22" s="45"/>
      <c r="E22" s="45"/>
      <c r="F22" s="45"/>
      <c r="G22" s="45"/>
      <c r="H22" s="45"/>
      <c r="I22" s="46"/>
      <c r="J22" s="48">
        <v>0.53500000000000003</v>
      </c>
      <c r="K22" s="48">
        <v>0.54500000000000004</v>
      </c>
      <c r="L22" s="48">
        <v>0.56499999999999995</v>
      </c>
      <c r="M22" s="48">
        <v>0.57999999999999996</v>
      </c>
      <c r="N22" s="48">
        <v>0.56499999999999995</v>
      </c>
      <c r="O22" s="48">
        <v>0.55000000000000004</v>
      </c>
      <c r="P22" s="48">
        <v>0.54500000000000004</v>
      </c>
      <c r="Q22" s="48">
        <v>0.53999999999999992</v>
      </c>
      <c r="R22" s="48">
        <v>0.53500000000000003</v>
      </c>
      <c r="T22" s="26" t="s">
        <v>112</v>
      </c>
      <c r="U22" s="47">
        <f>J29/J5</f>
        <v>0.44238587892436088</v>
      </c>
      <c r="V22" s="47">
        <f t="shared" ref="V22:AC22" si="10">K29/K5</f>
        <v>0.44752141867060663</v>
      </c>
      <c r="W22" s="47">
        <f t="shared" si="10"/>
        <v>0.45791862498604818</v>
      </c>
      <c r="X22" s="47">
        <f t="shared" si="10"/>
        <v>0.46427468160102964</v>
      </c>
      <c r="Y22" s="47">
        <f t="shared" si="10"/>
        <v>0.45895596599335092</v>
      </c>
      <c r="Z22" s="47">
        <f t="shared" si="10"/>
        <v>0.45566474825092329</v>
      </c>
      <c r="AA22" s="47">
        <f t="shared" si="10"/>
        <v>0.45544629461851355</v>
      </c>
      <c r="AB22" s="47">
        <f t="shared" si="10"/>
        <v>0.4549930374195878</v>
      </c>
      <c r="AC22" s="47">
        <f t="shared" si="10"/>
        <v>0.45356982659073214</v>
      </c>
    </row>
    <row r="23" spans="3:29" s="26" customFormat="1" ht="12">
      <c r="C23" s="26" t="s">
        <v>78</v>
      </c>
      <c r="D23" s="45"/>
      <c r="E23" s="45"/>
      <c r="F23" s="45"/>
      <c r="G23" s="45"/>
      <c r="H23" s="45"/>
      <c r="I23" s="46"/>
      <c r="J23" s="48">
        <v>-6.8000000000000005E-2</v>
      </c>
      <c r="K23" s="48">
        <v>-6.7500000000000004E-2</v>
      </c>
      <c r="L23" s="48">
        <v>-6.7000000000000004E-2</v>
      </c>
      <c r="M23" s="48">
        <v>-6.6500000000000004E-2</v>
      </c>
      <c r="N23" s="48">
        <v>-6.6000000000000003E-2</v>
      </c>
      <c r="O23" s="48">
        <v>-6.5000000000000002E-2</v>
      </c>
      <c r="P23" s="48">
        <v>-6.4000000000000001E-2</v>
      </c>
      <c r="Q23" s="48">
        <v>-6.3E-2</v>
      </c>
      <c r="R23" s="48">
        <v>-6.25E-2</v>
      </c>
      <c r="T23" s="26" t="s">
        <v>113</v>
      </c>
      <c r="U23" s="47">
        <f>J35/J5</f>
        <v>0.16979642631106401</v>
      </c>
      <c r="V23" s="47">
        <f t="shared" ref="V23:AC23" si="11">K35/K5</f>
        <v>0.19506060067721917</v>
      </c>
      <c r="W23" s="47">
        <f t="shared" si="11"/>
        <v>0.24462981083679311</v>
      </c>
      <c r="X23" s="47">
        <f t="shared" si="11"/>
        <v>0.26020736202448785</v>
      </c>
      <c r="Y23" s="47">
        <f t="shared" si="11"/>
        <v>0.26135595750267443</v>
      </c>
      <c r="Z23" s="47">
        <f t="shared" si="11"/>
        <v>0.26530136258759096</v>
      </c>
      <c r="AA23" s="47">
        <f t="shared" si="11"/>
        <v>0.27356186219383155</v>
      </c>
      <c r="AB23" s="47">
        <f t="shared" si="11"/>
        <v>0.28069073748660706</v>
      </c>
      <c r="AC23" s="47">
        <f t="shared" si="11"/>
        <v>0.28579216165056948</v>
      </c>
    </row>
    <row r="24" spans="3:29">
      <c r="T24" s="26" t="s">
        <v>114</v>
      </c>
      <c r="U24" s="47">
        <f>J43/J5</f>
        <v>5.9950244182452407E-2</v>
      </c>
      <c r="V24" s="47">
        <f t="shared" ref="V24:AC24" si="12">K43/K5</f>
        <v>9.0555208680430432E-2</v>
      </c>
      <c r="W24" s="47">
        <f t="shared" si="12"/>
        <v>0.14159599475650733</v>
      </c>
      <c r="X24" s="47">
        <f t="shared" si="12"/>
        <v>0.16311239238546543</v>
      </c>
      <c r="Y24" s="47">
        <f t="shared" si="12"/>
        <v>0.16293588294461714</v>
      </c>
      <c r="Z24" s="47">
        <f t="shared" si="12"/>
        <v>0.14717956972524163</v>
      </c>
      <c r="AA24" s="47">
        <f t="shared" si="12"/>
        <v>0.15774607149543984</v>
      </c>
      <c r="AB24" s="47">
        <f t="shared" si="12"/>
        <v>0.16230932463440439</v>
      </c>
      <c r="AC24" s="47">
        <f t="shared" si="12"/>
        <v>0.16651213037133589</v>
      </c>
    </row>
    <row r="25" spans="3:29">
      <c r="C25" s="26" t="s">
        <v>79</v>
      </c>
      <c r="J25" s="50">
        <f t="shared" ref="J25:R25" si="13">J21*J6</f>
        <v>579.50117499999988</v>
      </c>
      <c r="K25" s="50">
        <f t="shared" si="13"/>
        <v>593.72740624999983</v>
      </c>
      <c r="L25" s="50">
        <f t="shared" si="13"/>
        <v>609.83285587193723</v>
      </c>
      <c r="M25" s="50">
        <f t="shared" si="13"/>
        <v>619.55623460770857</v>
      </c>
      <c r="N25" s="50">
        <f t="shared" si="13"/>
        <v>628.19044943810979</v>
      </c>
      <c r="O25" s="50">
        <f t="shared" si="13"/>
        <v>639.52053770452858</v>
      </c>
      <c r="P25" s="50">
        <f t="shared" si="13"/>
        <v>647.83430469468738</v>
      </c>
      <c r="Q25" s="50">
        <f t="shared" si="13"/>
        <v>654.96048204632882</v>
      </c>
      <c r="R25" s="50">
        <f t="shared" si="13"/>
        <v>660.85512638474574</v>
      </c>
      <c r="T25" s="50"/>
      <c r="U25" s="50"/>
      <c r="V25" s="50"/>
      <c r="W25" s="50"/>
      <c r="X25" s="50"/>
      <c r="Y25" s="50"/>
    </row>
    <row r="26" spans="3:29">
      <c r="C26" s="26" t="s">
        <v>80</v>
      </c>
      <c r="J26" s="50">
        <f>J22*J7</f>
        <v>287.40200000000004</v>
      </c>
      <c r="K26" s="50">
        <f t="shared" ref="K26:R26" si="14">K22*K7</f>
        <v>324.27500000000003</v>
      </c>
      <c r="L26" s="50">
        <f t="shared" si="14"/>
        <v>374.59499999999997</v>
      </c>
      <c r="M26" s="50">
        <f t="shared" si="14"/>
        <v>433.84</v>
      </c>
      <c r="N26" s="50">
        <f t="shared" si="14"/>
        <v>461.04</v>
      </c>
      <c r="O26" s="50">
        <f t="shared" si="14"/>
        <v>495.55000000000013</v>
      </c>
      <c r="P26" s="50">
        <f t="shared" si="14"/>
        <v>537.37000000000012</v>
      </c>
      <c r="Q26" s="50">
        <f t="shared" si="14"/>
        <v>578.33999999999992</v>
      </c>
      <c r="R26" s="50">
        <f t="shared" si="14"/>
        <v>600.27</v>
      </c>
    </row>
    <row r="27" spans="3:29">
      <c r="C27" s="26" t="s">
        <v>81</v>
      </c>
      <c r="J27" s="50">
        <f t="shared" ref="J27:R27" si="15">J23*J5</f>
        <v>-115.4997</v>
      </c>
      <c r="K27" s="50">
        <f t="shared" si="15"/>
        <v>-120.31569984374998</v>
      </c>
      <c r="L27" s="50">
        <f t="shared" si="15"/>
        <v>-125.65122135868747</v>
      </c>
      <c r="M27" s="50">
        <f t="shared" si="15"/>
        <v>-131.97850619044436</v>
      </c>
      <c r="N27" s="50">
        <f t="shared" si="15"/>
        <v>-136.943313953738</v>
      </c>
      <c r="O27" s="50">
        <f t="shared" si="15"/>
        <v>-141.70266990158871</v>
      </c>
      <c r="P27" s="50">
        <f t="shared" si="15"/>
        <v>-146.02679100092001</v>
      </c>
      <c r="Q27" s="50">
        <f t="shared" si="15"/>
        <v>-149.99802073783741</v>
      </c>
      <c r="R27" s="50">
        <f t="shared" si="15"/>
        <v>-152.73189079809322</v>
      </c>
    </row>
    <row r="28" spans="3:29">
      <c r="J28" s="26"/>
      <c r="K28" s="26"/>
      <c r="L28" s="26"/>
      <c r="M28" s="26"/>
      <c r="N28" s="26"/>
      <c r="O28" s="26"/>
      <c r="P28" s="26"/>
      <c r="Q28" s="26"/>
      <c r="R28" s="26"/>
    </row>
    <row r="29" spans="3:29">
      <c r="C29" s="26" t="s">
        <v>75</v>
      </c>
      <c r="J29" s="50">
        <f>SUM(J25:J27)</f>
        <v>751.40347499999996</v>
      </c>
      <c r="K29" s="50">
        <f t="shared" ref="K29:R29" si="16">SUM(K25:K27)</f>
        <v>797.68670640624998</v>
      </c>
      <c r="L29" s="50">
        <f t="shared" si="16"/>
        <v>858.77663451324975</v>
      </c>
      <c r="M29" s="50">
        <f t="shared" si="16"/>
        <v>921.41772841726413</v>
      </c>
      <c r="N29" s="50">
        <f t="shared" si="16"/>
        <v>952.2871354843719</v>
      </c>
      <c r="O29" s="50">
        <f t="shared" si="16"/>
        <v>993.36786780294005</v>
      </c>
      <c r="P29" s="50">
        <f t="shared" si="16"/>
        <v>1039.1775136937674</v>
      </c>
      <c r="Q29" s="50">
        <f t="shared" si="16"/>
        <v>1083.3024613084915</v>
      </c>
      <c r="R29" s="50">
        <f t="shared" si="16"/>
        <v>1108.3932355866525</v>
      </c>
    </row>
    <row r="30" spans="3:29">
      <c r="J30" s="47">
        <f>J29/J5</f>
        <v>0.44238587892436088</v>
      </c>
      <c r="K30" s="47">
        <f t="shared" ref="K30:R30" si="17">K29/K5</f>
        <v>0.44752141867060663</v>
      </c>
      <c r="L30" s="47">
        <f t="shared" si="17"/>
        <v>0.45791862498604818</v>
      </c>
      <c r="M30" s="47">
        <f t="shared" si="17"/>
        <v>0.46427468160102964</v>
      </c>
      <c r="N30" s="47">
        <f t="shared" si="17"/>
        <v>0.45895596599335092</v>
      </c>
      <c r="O30" s="47">
        <f t="shared" si="17"/>
        <v>0.45566474825092329</v>
      </c>
      <c r="P30" s="47">
        <f t="shared" si="17"/>
        <v>0.45544629461851355</v>
      </c>
      <c r="Q30" s="47">
        <f t="shared" si="17"/>
        <v>0.4549930374195878</v>
      </c>
      <c r="R30" s="47">
        <f t="shared" si="17"/>
        <v>0.45356982659073214</v>
      </c>
    </row>
    <row r="31" spans="3:29">
      <c r="C31" s="26" t="s">
        <v>8</v>
      </c>
      <c r="J31" s="50">
        <f>SUM(J32:J33)</f>
        <v>463</v>
      </c>
      <c r="K31" s="50">
        <f t="shared" ref="K31:O31" si="18">SUM(K32:K33)</f>
        <v>450</v>
      </c>
      <c r="L31" s="50">
        <f t="shared" si="18"/>
        <v>400</v>
      </c>
      <c r="M31" s="50">
        <f t="shared" si="18"/>
        <v>405</v>
      </c>
      <c r="N31" s="50">
        <f t="shared" si="18"/>
        <v>410</v>
      </c>
      <c r="O31" s="50">
        <f t="shared" si="18"/>
        <v>415</v>
      </c>
      <c r="P31" s="50">
        <v>415</v>
      </c>
      <c r="Q31" s="50">
        <v>415</v>
      </c>
      <c r="R31" s="50">
        <v>410</v>
      </c>
    </row>
    <row r="32" spans="3:29">
      <c r="C32" s="4" t="s">
        <v>83</v>
      </c>
      <c r="D32" s="39"/>
      <c r="E32" s="39"/>
      <c r="F32" s="39"/>
      <c r="G32" s="39"/>
      <c r="H32" s="39"/>
      <c r="I32" s="39"/>
      <c r="J32" s="36">
        <v>113</v>
      </c>
      <c r="K32" s="36">
        <v>95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</row>
    <row r="33" spans="3:18">
      <c r="C33" s="4" t="s">
        <v>84</v>
      </c>
      <c r="D33" s="39"/>
      <c r="E33" s="39"/>
      <c r="F33" s="39"/>
      <c r="G33" s="39"/>
      <c r="H33" s="39"/>
      <c r="I33" s="39"/>
      <c r="J33" s="36">
        <v>350</v>
      </c>
      <c r="K33" s="36">
        <v>355</v>
      </c>
      <c r="L33" s="36">
        <v>400</v>
      </c>
      <c r="M33" s="36">
        <v>405</v>
      </c>
      <c r="N33" s="36">
        <v>410</v>
      </c>
      <c r="O33" s="36">
        <v>415</v>
      </c>
      <c r="P33" s="36">
        <v>420</v>
      </c>
      <c r="Q33" s="36">
        <v>425</v>
      </c>
      <c r="R33" s="36">
        <v>430</v>
      </c>
    </row>
    <row r="34" spans="3:18">
      <c r="C34" s="26"/>
    </row>
    <row r="35" spans="3:18">
      <c r="C35" s="26" t="s">
        <v>5</v>
      </c>
      <c r="J35" s="50">
        <f>J29-J31</f>
        <v>288.40347499999996</v>
      </c>
      <c r="K35" s="50">
        <f t="shared" ref="K35:R35" si="19">K29-K31</f>
        <v>347.68670640624998</v>
      </c>
      <c r="L35" s="50">
        <f t="shared" si="19"/>
        <v>458.77663451324975</v>
      </c>
      <c r="M35" s="50">
        <f t="shared" si="19"/>
        <v>516.41772841726413</v>
      </c>
      <c r="N35" s="50">
        <f t="shared" si="19"/>
        <v>542.2871354843719</v>
      </c>
      <c r="O35" s="50">
        <f t="shared" si="19"/>
        <v>578.36786780294005</v>
      </c>
      <c r="P35" s="50">
        <f t="shared" si="19"/>
        <v>624.17751369376742</v>
      </c>
      <c r="Q35" s="50">
        <f t="shared" si="19"/>
        <v>668.3024613084915</v>
      </c>
      <c r="R35" s="50">
        <f t="shared" si="19"/>
        <v>698.39323558665251</v>
      </c>
    </row>
    <row r="36" spans="3:18">
      <c r="J36" s="112">
        <f>J35/J5</f>
        <v>0.16979642631106401</v>
      </c>
      <c r="K36" s="112">
        <f t="shared" ref="K36:R36" si="20">K35/K5</f>
        <v>0.19506060067721917</v>
      </c>
      <c r="L36" s="112">
        <f t="shared" si="20"/>
        <v>0.24462981083679311</v>
      </c>
      <c r="M36" s="112">
        <f t="shared" si="20"/>
        <v>0.26020736202448785</v>
      </c>
      <c r="N36" s="112">
        <f t="shared" si="20"/>
        <v>0.26135595750267443</v>
      </c>
      <c r="O36" s="112">
        <f t="shared" si="20"/>
        <v>0.26530136258759096</v>
      </c>
      <c r="P36" s="112">
        <f t="shared" si="20"/>
        <v>0.27356186219383155</v>
      </c>
      <c r="Q36" s="112">
        <f t="shared" si="20"/>
        <v>0.28069073748660706</v>
      </c>
      <c r="R36" s="112">
        <f t="shared" si="20"/>
        <v>0.28579216165056948</v>
      </c>
    </row>
    <row r="37" spans="3:18">
      <c r="C37" s="26" t="s">
        <v>82</v>
      </c>
      <c r="J37" s="50">
        <v>170</v>
      </c>
      <c r="K37" s="50">
        <v>160</v>
      </c>
      <c r="L37" s="50">
        <v>150</v>
      </c>
      <c r="M37" s="50">
        <v>140</v>
      </c>
      <c r="N37" s="50">
        <v>130</v>
      </c>
      <c r="O37" s="50">
        <v>120</v>
      </c>
      <c r="P37" s="50">
        <v>110</v>
      </c>
      <c r="Q37" s="50">
        <v>100</v>
      </c>
      <c r="R37" s="50">
        <v>100</v>
      </c>
    </row>
    <row r="39" spans="3:18">
      <c r="C39" s="26" t="s">
        <v>66</v>
      </c>
      <c r="J39" s="50">
        <f>J35-J37</f>
        <v>118.40347499999996</v>
      </c>
      <c r="K39" s="50">
        <f t="shared" ref="K39:R39" si="21">K35-K37</f>
        <v>187.68670640624998</v>
      </c>
      <c r="L39" s="50">
        <f t="shared" si="21"/>
        <v>308.77663451324975</v>
      </c>
      <c r="M39" s="50">
        <f t="shared" si="21"/>
        <v>376.41772841726413</v>
      </c>
      <c r="N39" s="50">
        <f t="shared" si="21"/>
        <v>412.2871354843719</v>
      </c>
      <c r="O39" s="50">
        <f t="shared" si="21"/>
        <v>458.36786780294005</v>
      </c>
      <c r="P39" s="50">
        <f t="shared" si="21"/>
        <v>514.17751369376742</v>
      </c>
      <c r="Q39" s="50">
        <f t="shared" si="21"/>
        <v>568.3024613084915</v>
      </c>
      <c r="R39" s="50">
        <f t="shared" si="21"/>
        <v>598.39323558665251</v>
      </c>
    </row>
    <row r="40" spans="3:18">
      <c r="C40" s="26" t="s">
        <v>6</v>
      </c>
      <c r="D40" s="45"/>
      <c r="E40" s="45"/>
      <c r="F40" s="45"/>
      <c r="G40" s="45"/>
      <c r="H40" s="45"/>
      <c r="I40" s="45"/>
      <c r="J40" s="49">
        <v>0.14000000000000001</v>
      </c>
      <c r="K40" s="49">
        <v>0.14000000000000001</v>
      </c>
      <c r="L40" s="49">
        <v>0.14000000000000001</v>
      </c>
      <c r="M40" s="49">
        <v>0.14000000000000001</v>
      </c>
      <c r="N40" s="49">
        <v>0.18</v>
      </c>
      <c r="O40" s="49">
        <v>0.3</v>
      </c>
      <c r="P40" s="49">
        <v>0.3</v>
      </c>
      <c r="Q40" s="49">
        <v>0.32</v>
      </c>
      <c r="R40" s="49">
        <v>0.32</v>
      </c>
    </row>
    <row r="41" spans="3:18">
      <c r="C41" s="26" t="s">
        <v>53</v>
      </c>
      <c r="J41" s="50">
        <f>J39*J40</f>
        <v>16.576486499999994</v>
      </c>
      <c r="K41" s="50">
        <f t="shared" ref="K41:R41" si="22">K39*K40</f>
        <v>26.276138896875</v>
      </c>
      <c r="L41" s="50">
        <f t="shared" si="22"/>
        <v>43.228728831854966</v>
      </c>
      <c r="M41" s="50">
        <f t="shared" si="22"/>
        <v>52.698481978416986</v>
      </c>
      <c r="N41" s="50">
        <f t="shared" si="22"/>
        <v>74.211684387186935</v>
      </c>
      <c r="O41" s="50">
        <f t="shared" si="22"/>
        <v>137.51036034088202</v>
      </c>
      <c r="P41" s="50">
        <f t="shared" si="22"/>
        <v>154.25325410813022</v>
      </c>
      <c r="Q41" s="50">
        <f t="shared" si="22"/>
        <v>181.85678761871728</v>
      </c>
      <c r="R41" s="50">
        <f t="shared" si="22"/>
        <v>191.4858353877288</v>
      </c>
    </row>
    <row r="42" spans="3:18">
      <c r="J42" s="6"/>
      <c r="K42" s="6"/>
      <c r="L42" s="6"/>
      <c r="M42" s="6"/>
      <c r="N42" s="6"/>
      <c r="O42" s="6"/>
      <c r="P42" s="6"/>
      <c r="Q42" s="6"/>
      <c r="R42" s="6"/>
    </row>
    <row r="43" spans="3:18">
      <c r="C43" s="26" t="s">
        <v>7</v>
      </c>
      <c r="J43" s="50">
        <f>J39-J41</f>
        <v>101.82698849999997</v>
      </c>
      <c r="K43" s="50">
        <f t="shared" ref="K43:R43" si="23">K39-K41</f>
        <v>161.41056750937497</v>
      </c>
      <c r="L43" s="50">
        <f t="shared" si="23"/>
        <v>265.54790568139481</v>
      </c>
      <c r="M43" s="50">
        <f t="shared" si="23"/>
        <v>323.71924643884716</v>
      </c>
      <c r="N43" s="50">
        <f t="shared" si="23"/>
        <v>338.07545109718495</v>
      </c>
      <c r="O43" s="50">
        <f t="shared" si="23"/>
        <v>320.85750746205804</v>
      </c>
      <c r="P43" s="50">
        <f t="shared" si="23"/>
        <v>359.92425958563717</v>
      </c>
      <c r="Q43" s="50">
        <f t="shared" si="23"/>
        <v>386.44567368977425</v>
      </c>
      <c r="R43" s="50">
        <f t="shared" si="23"/>
        <v>406.90740019892371</v>
      </c>
    </row>
    <row r="44" spans="3:18">
      <c r="P44" s="5"/>
      <c r="Q44" s="5"/>
    </row>
    <row r="45" spans="3:18">
      <c r="C45" s="26" t="s">
        <v>91</v>
      </c>
      <c r="J45" s="51">
        <f>J43/90</f>
        <v>1.131410983333333</v>
      </c>
      <c r="K45" s="51">
        <f t="shared" ref="K45:R45" si="24">K43/90</f>
        <v>1.7934507501041663</v>
      </c>
      <c r="L45" s="51">
        <f>L43/90</f>
        <v>2.9505322853488312</v>
      </c>
      <c r="M45" s="51">
        <f t="shared" si="24"/>
        <v>3.5968805159871908</v>
      </c>
      <c r="N45" s="51">
        <f t="shared" si="24"/>
        <v>3.7563939010798326</v>
      </c>
      <c r="O45" s="51">
        <f t="shared" si="24"/>
        <v>3.5650834162450895</v>
      </c>
      <c r="P45" s="51">
        <f t="shared" si="24"/>
        <v>3.999158439840413</v>
      </c>
      <c r="Q45" s="51">
        <f t="shared" si="24"/>
        <v>4.2938408187752692</v>
      </c>
      <c r="R45" s="51">
        <f t="shared" si="24"/>
        <v>4.5211933355435967</v>
      </c>
    </row>
    <row r="46" spans="3:18">
      <c r="P46" s="5"/>
      <c r="Q46" s="5"/>
    </row>
    <row r="47" spans="3:18">
      <c r="C47" s="26" t="s">
        <v>85</v>
      </c>
      <c r="D47" s="45"/>
      <c r="E47" s="45"/>
      <c r="F47" s="45"/>
      <c r="G47" s="45"/>
      <c r="H47" s="45"/>
      <c r="I47" s="45"/>
      <c r="J47" s="26"/>
      <c r="K47" s="26"/>
      <c r="L47" s="26"/>
      <c r="M47" s="26"/>
      <c r="N47" s="26"/>
      <c r="O47" s="26"/>
      <c r="P47" s="48"/>
      <c r="Q47" s="48"/>
      <c r="R47" s="26"/>
    </row>
    <row r="48" spans="3:18">
      <c r="C48" s="26"/>
      <c r="D48" s="45"/>
      <c r="E48" s="45"/>
      <c r="F48" s="45"/>
      <c r="G48" s="45"/>
      <c r="H48" s="45"/>
      <c r="I48" s="45"/>
      <c r="J48" s="26"/>
      <c r="K48" s="26"/>
      <c r="L48" s="26"/>
      <c r="M48" s="26"/>
      <c r="N48" s="26"/>
      <c r="O48" s="26"/>
      <c r="P48" s="48"/>
      <c r="Q48" s="48"/>
      <c r="R48" s="26"/>
    </row>
    <row r="49" spans="3:18">
      <c r="C49" s="26" t="s">
        <v>7</v>
      </c>
      <c r="D49" s="45"/>
      <c r="E49" s="45"/>
      <c r="F49" s="45"/>
      <c r="G49" s="45"/>
      <c r="H49" s="45"/>
      <c r="I49" s="45"/>
      <c r="J49" s="61">
        <f>J43</f>
        <v>101.82698849999997</v>
      </c>
      <c r="K49" s="61">
        <f t="shared" ref="K49:R49" si="25">K43</f>
        <v>161.41056750937497</v>
      </c>
      <c r="L49" s="61">
        <f t="shared" si="25"/>
        <v>265.54790568139481</v>
      </c>
      <c r="M49" s="61">
        <f t="shared" si="25"/>
        <v>323.71924643884716</v>
      </c>
      <c r="N49" s="61">
        <f t="shared" si="25"/>
        <v>338.07545109718495</v>
      </c>
      <c r="O49" s="61">
        <f t="shared" si="25"/>
        <v>320.85750746205804</v>
      </c>
      <c r="P49" s="61">
        <f t="shared" si="25"/>
        <v>359.92425958563717</v>
      </c>
      <c r="Q49" s="61">
        <f t="shared" si="25"/>
        <v>386.44567368977425</v>
      </c>
      <c r="R49" s="61">
        <f t="shared" si="25"/>
        <v>406.90740019892371</v>
      </c>
    </row>
    <row r="50" spans="3:18">
      <c r="C50" s="26" t="s">
        <v>8</v>
      </c>
      <c r="D50" s="45"/>
      <c r="E50" s="45"/>
      <c r="F50" s="45"/>
      <c r="G50" s="45"/>
      <c r="H50" s="45"/>
      <c r="I50" s="45"/>
      <c r="J50" s="61">
        <f>J31</f>
        <v>463</v>
      </c>
      <c r="K50" s="61">
        <f t="shared" ref="K50:R50" si="26">K31</f>
        <v>450</v>
      </c>
      <c r="L50" s="61">
        <f t="shared" si="26"/>
        <v>400</v>
      </c>
      <c r="M50" s="61">
        <f t="shared" si="26"/>
        <v>405</v>
      </c>
      <c r="N50" s="61">
        <f t="shared" si="26"/>
        <v>410</v>
      </c>
      <c r="O50" s="61">
        <f t="shared" si="26"/>
        <v>415</v>
      </c>
      <c r="P50" s="61">
        <f t="shared" si="26"/>
        <v>415</v>
      </c>
      <c r="Q50" s="61">
        <f t="shared" si="26"/>
        <v>415</v>
      </c>
      <c r="R50" s="61">
        <f t="shared" si="26"/>
        <v>410</v>
      </c>
    </row>
    <row r="51" spans="3:18">
      <c r="C51" s="26" t="s">
        <v>86</v>
      </c>
      <c r="D51" s="45"/>
      <c r="E51" s="45"/>
      <c r="F51" s="45"/>
      <c r="G51" s="45"/>
      <c r="H51" s="45"/>
      <c r="I51" s="45"/>
      <c r="J51" s="61">
        <v>0</v>
      </c>
      <c r="K51" s="61">
        <v>0</v>
      </c>
      <c r="L51" s="61">
        <v>0</v>
      </c>
      <c r="M51" s="61">
        <v>0</v>
      </c>
      <c r="N51" s="61">
        <v>0</v>
      </c>
      <c r="O51" s="61">
        <v>0</v>
      </c>
      <c r="P51" s="61">
        <v>0</v>
      </c>
      <c r="Q51" s="61">
        <v>0</v>
      </c>
      <c r="R51" s="61">
        <v>0</v>
      </c>
    </row>
    <row r="52" spans="3:18" s="2" customFormat="1" ht="15">
      <c r="C52" s="57" t="s">
        <v>87</v>
      </c>
      <c r="D52" s="58"/>
      <c r="E52" s="58"/>
      <c r="F52" s="58"/>
      <c r="G52" s="58"/>
      <c r="H52" s="58"/>
      <c r="I52" s="58"/>
      <c r="J52" s="62">
        <f>SUM(J49:J51)</f>
        <v>564.82698849999997</v>
      </c>
      <c r="K52" s="62">
        <f t="shared" ref="K52:R52" si="27">SUM(K49:K51)</f>
        <v>611.41056750937491</v>
      </c>
      <c r="L52" s="62">
        <f t="shared" si="27"/>
        <v>665.54790568139481</v>
      </c>
      <c r="M52" s="62">
        <f t="shared" si="27"/>
        <v>728.71924643884722</v>
      </c>
      <c r="N52" s="62">
        <f t="shared" si="27"/>
        <v>748.0754510971849</v>
      </c>
      <c r="O52" s="62">
        <f t="shared" si="27"/>
        <v>735.85750746205804</v>
      </c>
      <c r="P52" s="62">
        <f t="shared" si="27"/>
        <v>774.92425958563717</v>
      </c>
      <c r="Q52" s="62">
        <f t="shared" si="27"/>
        <v>801.44567368977425</v>
      </c>
      <c r="R52" s="62">
        <f t="shared" si="27"/>
        <v>816.90740019892371</v>
      </c>
    </row>
    <row r="53" spans="3:18">
      <c r="C53" s="26"/>
      <c r="D53" s="45"/>
      <c r="E53" s="45"/>
      <c r="F53" s="45"/>
      <c r="G53" s="45"/>
      <c r="H53" s="45"/>
      <c r="I53" s="45"/>
      <c r="J53" s="61"/>
      <c r="K53" s="61"/>
      <c r="L53" s="61"/>
      <c r="M53" s="61"/>
      <c r="N53" s="61"/>
      <c r="O53" s="61"/>
      <c r="P53" s="61"/>
      <c r="Q53" s="61"/>
      <c r="R53" s="61"/>
    </row>
    <row r="54" spans="3:18">
      <c r="C54" s="26" t="s">
        <v>60</v>
      </c>
      <c r="D54" s="45"/>
      <c r="E54" s="45"/>
      <c r="F54" s="45"/>
      <c r="G54" s="45"/>
      <c r="H54" s="45"/>
      <c r="I54" s="45"/>
      <c r="J54" s="61">
        <f>J5*0.22</f>
        <v>373.6755</v>
      </c>
      <c r="K54" s="61">
        <f>K5*0.21</f>
        <v>374.31551062499989</v>
      </c>
      <c r="L54" s="61">
        <f>L5*0.195</f>
        <v>365.70131589468741</v>
      </c>
      <c r="M54" s="61">
        <f>M5*0.18</f>
        <v>357.2350543500749</v>
      </c>
      <c r="N54" s="61">
        <f>N5*0.17</f>
        <v>352.73277836568877</v>
      </c>
      <c r="O54" s="61">
        <f>O5*0.165</f>
        <v>359.70677744249446</v>
      </c>
      <c r="P54" s="61">
        <f>P5*0.16</f>
        <v>365.06697750230001</v>
      </c>
      <c r="Q54" s="61">
        <f>Q5*0.155</f>
        <v>369.04274943436189</v>
      </c>
      <c r="R54" s="61">
        <f>R5*0.15</f>
        <v>366.55653791542369</v>
      </c>
    </row>
    <row r="55" spans="3:18" s="2" customFormat="1" ht="15">
      <c r="C55" s="57" t="s">
        <v>88</v>
      </c>
      <c r="D55" s="58"/>
      <c r="E55" s="58"/>
      <c r="F55" s="58"/>
      <c r="G55" s="58"/>
      <c r="H55" s="58"/>
      <c r="I55" s="58"/>
      <c r="J55" s="62">
        <f>-J54</f>
        <v>-373.6755</v>
      </c>
      <c r="K55" s="62">
        <f t="shared" ref="K55:R55" si="28">-K54</f>
        <v>-374.31551062499989</v>
      </c>
      <c r="L55" s="62">
        <f t="shared" si="28"/>
        <v>-365.70131589468741</v>
      </c>
      <c r="M55" s="62">
        <f t="shared" si="28"/>
        <v>-357.2350543500749</v>
      </c>
      <c r="N55" s="62">
        <f t="shared" si="28"/>
        <v>-352.73277836568877</v>
      </c>
      <c r="O55" s="62">
        <f t="shared" si="28"/>
        <v>-359.70677744249446</v>
      </c>
      <c r="P55" s="62">
        <f t="shared" si="28"/>
        <v>-365.06697750230001</v>
      </c>
      <c r="Q55" s="62">
        <f t="shared" si="28"/>
        <v>-369.04274943436189</v>
      </c>
      <c r="R55" s="62">
        <f t="shared" si="28"/>
        <v>-366.55653791542369</v>
      </c>
    </row>
    <row r="56" spans="3:18">
      <c r="C56" s="26"/>
      <c r="D56" s="45"/>
      <c r="E56" s="45"/>
      <c r="F56" s="45"/>
      <c r="G56" s="45"/>
      <c r="H56" s="45"/>
      <c r="I56" s="45"/>
      <c r="J56" s="61"/>
      <c r="K56" s="61"/>
      <c r="L56" s="61"/>
      <c r="M56" s="61"/>
      <c r="N56" s="61"/>
      <c r="O56" s="61"/>
      <c r="P56" s="61"/>
      <c r="Q56" s="61"/>
      <c r="R56" s="61"/>
    </row>
    <row r="57" spans="3:18" s="1" customFormat="1" ht="15">
      <c r="C57" s="59" t="s">
        <v>89</v>
      </c>
      <c r="D57" s="60"/>
      <c r="E57" s="60"/>
      <c r="F57" s="60"/>
      <c r="G57" s="60"/>
      <c r="H57" s="60"/>
      <c r="I57" s="60"/>
      <c r="J57" s="63">
        <f>SUM(J52,J55)</f>
        <v>191.15148849999997</v>
      </c>
      <c r="K57" s="63">
        <f t="shared" ref="K57:R57" si="29">SUM(K52,K55)</f>
        <v>237.09505688437503</v>
      </c>
      <c r="L57" s="63">
        <f t="shared" si="29"/>
        <v>299.8465897867074</v>
      </c>
      <c r="M57" s="63">
        <f t="shared" si="29"/>
        <v>371.48419208877232</v>
      </c>
      <c r="N57" s="63">
        <f t="shared" si="29"/>
        <v>395.34267273149612</v>
      </c>
      <c r="O57" s="63">
        <f t="shared" si="29"/>
        <v>376.15073001956358</v>
      </c>
      <c r="P57" s="63">
        <f t="shared" si="29"/>
        <v>409.85728208333717</v>
      </c>
      <c r="Q57" s="63">
        <f t="shared" si="29"/>
        <v>432.40292425541236</v>
      </c>
      <c r="R57" s="63">
        <f t="shared" si="29"/>
        <v>450.35086228350002</v>
      </c>
    </row>
    <row r="58" spans="3:18">
      <c r="C58" s="26"/>
      <c r="D58" s="45"/>
      <c r="E58" s="45"/>
      <c r="F58" s="45"/>
      <c r="G58" s="45"/>
      <c r="H58" s="45"/>
      <c r="I58" s="45"/>
      <c r="J58" s="26"/>
      <c r="K58" s="26"/>
      <c r="L58" s="26"/>
      <c r="M58" s="26"/>
      <c r="N58" s="26"/>
      <c r="O58" s="26"/>
      <c r="P58" s="26"/>
      <c r="Q58" s="26"/>
      <c r="R58" s="26"/>
    </row>
    <row r="59" spans="3:18">
      <c r="C59" s="26" t="s">
        <v>90</v>
      </c>
      <c r="D59" s="45"/>
      <c r="E59" s="45"/>
      <c r="F59" s="45"/>
      <c r="G59" s="45"/>
      <c r="H59" s="45"/>
      <c r="I59" s="45"/>
      <c r="J59" s="51">
        <f>J57/90</f>
        <v>2.1239054277777774</v>
      </c>
      <c r="K59" s="51">
        <f t="shared" ref="K59:R59" si="30">K57/90</f>
        <v>2.6343895209375003</v>
      </c>
      <c r="L59" s="51">
        <f t="shared" si="30"/>
        <v>3.33162877540786</v>
      </c>
      <c r="M59" s="51">
        <f t="shared" si="30"/>
        <v>4.1276021343196927</v>
      </c>
      <c r="N59" s="51">
        <f t="shared" si="30"/>
        <v>4.3926963636832905</v>
      </c>
      <c r="O59" s="51">
        <f t="shared" si="30"/>
        <v>4.1794525557729285</v>
      </c>
      <c r="P59" s="51">
        <f t="shared" si="30"/>
        <v>4.5539698009259686</v>
      </c>
      <c r="Q59" s="51">
        <f t="shared" si="30"/>
        <v>4.8044769361712483</v>
      </c>
      <c r="R59" s="51">
        <f t="shared" si="30"/>
        <v>5.0038984698166669</v>
      </c>
    </row>
    <row r="60" spans="3:18">
      <c r="C60" s="26"/>
      <c r="D60" s="45"/>
      <c r="E60" s="45"/>
      <c r="F60" s="45"/>
      <c r="G60" s="45"/>
      <c r="H60" s="45"/>
      <c r="I60" s="45"/>
      <c r="J60" s="26"/>
      <c r="K60" s="26"/>
      <c r="L60" s="26"/>
      <c r="M60" s="26"/>
      <c r="N60" s="26"/>
      <c r="O60" s="26"/>
      <c r="P60" s="26"/>
      <c r="Q60" s="26"/>
      <c r="R60" s="26"/>
    </row>
    <row r="61" spans="3:18">
      <c r="C61" s="26"/>
      <c r="D61" s="45"/>
      <c r="E61" s="45"/>
      <c r="F61" s="45"/>
      <c r="G61" s="45"/>
      <c r="H61" s="45"/>
      <c r="I61" s="45"/>
      <c r="J61" s="26"/>
      <c r="K61" s="26"/>
      <c r="L61" s="26"/>
      <c r="M61" s="26"/>
      <c r="N61" s="26"/>
      <c r="O61" s="26"/>
      <c r="P61" s="26"/>
      <c r="Q61" s="26"/>
      <c r="R61" s="26"/>
    </row>
    <row r="62" spans="3:18">
      <c r="C62" s="26" t="s">
        <v>92</v>
      </c>
      <c r="D62" s="45"/>
      <c r="E62" s="45"/>
      <c r="F62" s="45"/>
      <c r="G62" s="45"/>
      <c r="H62" s="45"/>
      <c r="I62" s="45"/>
      <c r="J62" s="64">
        <f>(3240+2814)/J29</f>
        <v>8.0569230798406952</v>
      </c>
      <c r="K62" s="64">
        <f>(3240+2814)/K29</f>
        <v>7.5894457703508325</v>
      </c>
      <c r="L62" s="64">
        <f t="shared" ref="L62:R62" si="31">(3240+2814)/L29</f>
        <v>7.0495630140558916</v>
      </c>
      <c r="M62" s="64">
        <f t="shared" si="31"/>
        <v>6.5703098749782738</v>
      </c>
      <c r="N62" s="64">
        <f t="shared" si="31"/>
        <v>6.3573262458498823</v>
      </c>
      <c r="O62" s="64">
        <f t="shared" si="31"/>
        <v>6.0944189924220158</v>
      </c>
      <c r="P62" s="64">
        <f t="shared" si="31"/>
        <v>5.8257611622878498</v>
      </c>
      <c r="Q62" s="64">
        <f t="shared" si="31"/>
        <v>5.5884669482681124</v>
      </c>
      <c r="R62" s="64">
        <f t="shared" si="31"/>
        <v>5.4619604357254374</v>
      </c>
    </row>
    <row r="63" spans="3:18">
      <c r="C63" s="26"/>
      <c r="D63" s="45"/>
      <c r="E63" s="45"/>
      <c r="F63" s="45"/>
      <c r="G63" s="45"/>
      <c r="H63" s="45"/>
      <c r="I63" s="45"/>
      <c r="J63" s="26"/>
      <c r="K63" s="26"/>
      <c r="L63" s="26"/>
      <c r="M63" s="26"/>
      <c r="N63" s="26"/>
      <c r="O63" s="26"/>
      <c r="P63" s="26"/>
      <c r="Q63" s="26"/>
      <c r="R63" s="26"/>
    </row>
    <row r="64" spans="3:18">
      <c r="C64" s="26" t="s">
        <v>94</v>
      </c>
      <c r="D64" s="45"/>
      <c r="E64" s="45"/>
      <c r="F64" s="45"/>
      <c r="G64" s="45"/>
      <c r="H64" s="45"/>
      <c r="I64" s="45"/>
      <c r="J64" s="26"/>
      <c r="K64" s="26"/>
      <c r="L64" s="26"/>
      <c r="M64" s="26"/>
      <c r="N64" s="26"/>
      <c r="O64" s="26"/>
      <c r="P64" s="26"/>
      <c r="Q64" s="26"/>
      <c r="R64" s="26"/>
    </row>
    <row r="65" spans="3:18">
      <c r="C65" s="26" t="s">
        <v>93</v>
      </c>
    </row>
    <row r="67" spans="3:18">
      <c r="C67" s="26" t="s">
        <v>111</v>
      </c>
      <c r="J67" s="111">
        <f>J59/36</f>
        <v>5.8997372993827152E-2</v>
      </c>
      <c r="K67" s="111">
        <f t="shared" ref="K67:R67" si="32">K59/36</f>
        <v>7.3177486692708349E-2</v>
      </c>
      <c r="L67" s="111">
        <f t="shared" si="32"/>
        <v>9.2545243761329443E-2</v>
      </c>
      <c r="M67" s="111">
        <f t="shared" si="32"/>
        <v>0.11465561484221369</v>
      </c>
      <c r="N67" s="111">
        <f t="shared" si="32"/>
        <v>0.12201934343564697</v>
      </c>
      <c r="O67" s="111">
        <f t="shared" si="32"/>
        <v>0.1160959043270258</v>
      </c>
      <c r="P67" s="111">
        <f t="shared" si="32"/>
        <v>0.12649916113683246</v>
      </c>
      <c r="Q67" s="111">
        <f t="shared" si="32"/>
        <v>0.13345769267142357</v>
      </c>
      <c r="R67" s="111">
        <f t="shared" si="32"/>
        <v>0.13899717971712963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B1:P102"/>
  <sheetViews>
    <sheetView zoomScale="90" zoomScaleNormal="9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E5" sqref="E5"/>
    </sheetView>
  </sheetViews>
  <sheetFormatPr baseColWidth="10" defaultRowHeight="15"/>
  <cols>
    <col min="1" max="1" width="3.25" style="8" customWidth="1"/>
    <col min="2" max="2" width="26.375" style="8" customWidth="1"/>
    <col min="3" max="16" width="10.75" style="8" customWidth="1"/>
    <col min="17" max="16384" width="11" style="8"/>
  </cols>
  <sheetData>
    <row r="1" spans="2:16">
      <c r="B1" s="120" t="s">
        <v>115</v>
      </c>
      <c r="C1" s="120"/>
      <c r="D1" s="120"/>
      <c r="E1" s="120"/>
      <c r="F1" s="120"/>
    </row>
    <row r="2" spans="2:16">
      <c r="B2" s="120"/>
      <c r="C2" s="120"/>
      <c r="D2" s="120"/>
      <c r="E2" s="120"/>
      <c r="F2" s="120"/>
    </row>
    <row r="3" spans="2:16">
      <c r="H3" s="8">
        <f>H9+H11+H13</f>
        <v>1172.4434999999999</v>
      </c>
    </row>
    <row r="5" spans="2:16">
      <c r="B5" s="7" t="s">
        <v>11</v>
      </c>
    </row>
    <row r="7" spans="2:16">
      <c r="C7" s="9" t="s">
        <v>12</v>
      </c>
      <c r="D7" s="9" t="s">
        <v>13</v>
      </c>
      <c r="E7" s="9" t="s">
        <v>14</v>
      </c>
      <c r="F7" s="9" t="s">
        <v>15</v>
      </c>
      <c r="G7" s="9" t="s">
        <v>16</v>
      </c>
      <c r="H7" s="9" t="s">
        <v>17</v>
      </c>
      <c r="I7" s="9" t="s">
        <v>18</v>
      </c>
      <c r="J7" s="9" t="s">
        <v>19</v>
      </c>
      <c r="K7" s="9" t="s">
        <v>20</v>
      </c>
      <c r="L7" s="9" t="s">
        <v>21</v>
      </c>
      <c r="M7" s="9" t="s">
        <v>22</v>
      </c>
      <c r="N7" s="9" t="s">
        <v>23</v>
      </c>
      <c r="O7" s="9" t="s">
        <v>24</v>
      </c>
      <c r="P7" s="9" t="s">
        <v>25</v>
      </c>
    </row>
    <row r="9" spans="2:16">
      <c r="B9" s="10" t="s">
        <v>26</v>
      </c>
      <c r="C9" s="11" t="s">
        <v>2</v>
      </c>
      <c r="D9" s="11" t="s">
        <v>2</v>
      </c>
      <c r="E9" s="11" t="s">
        <v>2</v>
      </c>
      <c r="F9" s="8">
        <v>911.1</v>
      </c>
      <c r="G9" s="8">
        <v>904.7</v>
      </c>
      <c r="H9" s="8">
        <v>900.17650000000003</v>
      </c>
      <c r="I9" s="8">
        <v>900.17650000000003</v>
      </c>
      <c r="J9" s="8">
        <v>909.17826500000001</v>
      </c>
      <c r="K9" s="8">
        <v>918.27004765000004</v>
      </c>
      <c r="L9" s="8">
        <v>927.45274812649996</v>
      </c>
      <c r="M9" s="8">
        <v>936.72727560776502</v>
      </c>
      <c r="N9" s="8">
        <v>946.09454836384305</v>
      </c>
      <c r="O9" s="8">
        <v>955.55549384748099</v>
      </c>
      <c r="P9" s="8">
        <v>969.88882625519295</v>
      </c>
    </row>
    <row r="10" spans="2:16">
      <c r="B10" s="12" t="s">
        <v>27</v>
      </c>
      <c r="C10" s="13" t="s">
        <v>28</v>
      </c>
      <c r="D10" s="14" t="e">
        <v>#DIV/0!</v>
      </c>
      <c r="E10" s="14" t="e">
        <v>#DIV/0!</v>
      </c>
      <c r="F10" s="14" t="e">
        <v>#DIV/0!</v>
      </c>
      <c r="G10" s="14">
        <v>-7.0244759082427298E-3</v>
      </c>
      <c r="H10" s="15">
        <v>-5.0000000000000001E-3</v>
      </c>
      <c r="I10" s="15">
        <v>0</v>
      </c>
      <c r="J10" s="15">
        <v>0.01</v>
      </c>
      <c r="K10" s="15">
        <v>0.01</v>
      </c>
      <c r="L10" s="15">
        <v>0.01</v>
      </c>
      <c r="M10" s="15">
        <v>0.01</v>
      </c>
      <c r="N10" s="15">
        <v>0.01</v>
      </c>
      <c r="O10" s="15">
        <v>0.01</v>
      </c>
      <c r="P10" s="15">
        <v>1.4999999999999999E-2</v>
      </c>
    </row>
    <row r="11" spans="2:16">
      <c r="B11" s="10" t="s">
        <v>29</v>
      </c>
      <c r="C11" s="11" t="s">
        <v>2</v>
      </c>
      <c r="D11" s="11" t="s">
        <v>2</v>
      </c>
      <c r="E11" s="11" t="s">
        <v>2</v>
      </c>
      <c r="F11" s="8">
        <v>192.3</v>
      </c>
      <c r="G11" s="8">
        <v>213.5</v>
      </c>
      <c r="H11" s="8">
        <v>232.715</v>
      </c>
      <c r="I11" s="8">
        <v>252.49577500000001</v>
      </c>
      <c r="J11" s="8">
        <v>272.69543700000003</v>
      </c>
      <c r="K11" s="8">
        <v>293.14759477500002</v>
      </c>
      <c r="L11" s="8">
        <v>313.66792640925001</v>
      </c>
      <c r="M11" s="8">
        <v>334.05634162585102</v>
      </c>
      <c r="N11" s="8">
        <v>354.09972212340199</v>
      </c>
      <c r="O11" s="8">
        <v>364.722713787104</v>
      </c>
      <c r="P11" s="8">
        <v>368.36994092497503</v>
      </c>
    </row>
    <row r="12" spans="2:16">
      <c r="B12" s="12" t="s">
        <v>30</v>
      </c>
      <c r="C12" s="13" t="s">
        <v>28</v>
      </c>
      <c r="D12" s="14" t="e">
        <v>#DIV/0!</v>
      </c>
      <c r="E12" s="14" t="e">
        <v>#DIV/0!</v>
      </c>
      <c r="F12" s="14" t="e">
        <v>#DIV/0!</v>
      </c>
      <c r="G12" s="14">
        <v>0.11024440977639099</v>
      </c>
      <c r="H12" s="14">
        <v>0.09</v>
      </c>
      <c r="I12" s="14">
        <v>8.5000000000000006E-2</v>
      </c>
      <c r="J12" s="15">
        <v>0.08</v>
      </c>
      <c r="K12" s="15">
        <v>7.4999999999999997E-2</v>
      </c>
      <c r="L12" s="15">
        <v>7.0000000000000007E-2</v>
      </c>
      <c r="M12" s="15">
        <v>6.5000000000000002E-2</v>
      </c>
      <c r="N12" s="15">
        <v>0.06</v>
      </c>
      <c r="O12" s="15">
        <v>0.03</v>
      </c>
      <c r="P12" s="15">
        <v>0.01</v>
      </c>
    </row>
    <row r="13" spans="2:16">
      <c r="B13" s="10" t="s">
        <v>31</v>
      </c>
      <c r="C13" s="11" t="s">
        <v>2</v>
      </c>
      <c r="D13" s="11" t="s">
        <v>2</v>
      </c>
      <c r="E13" s="11" t="s">
        <v>2</v>
      </c>
      <c r="F13" s="8">
        <v>34.9</v>
      </c>
      <c r="G13" s="8">
        <v>41.2</v>
      </c>
      <c r="H13" s="8">
        <v>39.552</v>
      </c>
      <c r="I13" s="8">
        <v>39.947519999999997</v>
      </c>
      <c r="J13" s="8">
        <v>40.7464704</v>
      </c>
      <c r="K13" s="8">
        <v>41.561399807999997</v>
      </c>
      <c r="L13" s="8">
        <v>42.808241802239998</v>
      </c>
      <c r="M13" s="8">
        <v>44.092489056307201</v>
      </c>
      <c r="N13" s="8">
        <v>45.415263727996397</v>
      </c>
      <c r="O13" s="8">
        <v>46.777721639836301</v>
      </c>
      <c r="P13" s="8">
        <v>47.245498856234697</v>
      </c>
    </row>
    <row r="14" spans="2:16">
      <c r="B14" s="12" t="s">
        <v>32</v>
      </c>
      <c r="C14" s="13" t="s">
        <v>28</v>
      </c>
      <c r="D14" s="14" t="e">
        <v>#DIV/0!</v>
      </c>
      <c r="E14" s="14" t="e">
        <v>#DIV/0!</v>
      </c>
      <c r="F14" s="14" t="e">
        <v>#DIV/0!</v>
      </c>
      <c r="G14" s="14">
        <v>0.180515759312321</v>
      </c>
      <c r="H14" s="15">
        <v>-0.04</v>
      </c>
      <c r="I14" s="15">
        <v>0.01</v>
      </c>
      <c r="J14" s="15">
        <v>0.02</v>
      </c>
      <c r="K14" s="15">
        <v>0.02</v>
      </c>
      <c r="L14" s="15">
        <v>0.03</v>
      </c>
      <c r="M14" s="15">
        <v>0.03</v>
      </c>
      <c r="N14" s="15">
        <v>0.03</v>
      </c>
      <c r="O14" s="15">
        <v>0.03</v>
      </c>
      <c r="P14" s="15">
        <v>0.01</v>
      </c>
    </row>
    <row r="15" spans="2:16">
      <c r="B15" s="10" t="s">
        <v>33</v>
      </c>
      <c r="C15" s="11">
        <v>10</v>
      </c>
      <c r="D15" s="11">
        <v>57</v>
      </c>
      <c r="E15" s="11">
        <v>121</v>
      </c>
      <c r="F15" s="8">
        <v>231.9</v>
      </c>
      <c r="G15" s="8">
        <v>341.9</v>
      </c>
      <c r="H15" s="8">
        <v>393.72526945560799</v>
      </c>
      <c r="I15" s="8">
        <v>479.27209718670099</v>
      </c>
      <c r="J15" s="8">
        <v>539.39503105590097</v>
      </c>
      <c r="K15" s="8">
        <v>611.917305078553</v>
      </c>
      <c r="L15" s="8">
        <v>683.45179165144305</v>
      </c>
      <c r="M15" s="8">
        <v>747.37066496163698</v>
      </c>
      <c r="N15" s="8">
        <v>822.23608449031804</v>
      </c>
      <c r="O15" s="8">
        <v>895.19213554987198</v>
      </c>
      <c r="P15" s="8">
        <v>986.53827183047099</v>
      </c>
    </row>
    <row r="16" spans="2:16">
      <c r="B16" s="12" t="s">
        <v>34</v>
      </c>
      <c r="C16" s="13" t="s">
        <v>28</v>
      </c>
      <c r="D16" s="14">
        <v>4.7</v>
      </c>
      <c r="E16" s="14">
        <v>1.12280701754386</v>
      </c>
      <c r="F16" s="14">
        <v>0.91652892561983501</v>
      </c>
      <c r="G16" s="14">
        <v>0.47434238896075898</v>
      </c>
      <c r="H16" s="14">
        <v>0.15158019729631</v>
      </c>
      <c r="I16" s="14">
        <v>0.21727543129089799</v>
      </c>
      <c r="J16" s="14">
        <v>0.12544634712122399</v>
      </c>
      <c r="K16" s="14">
        <v>0.13445113478462201</v>
      </c>
      <c r="L16" s="14">
        <v>0.11690221207865201</v>
      </c>
      <c r="M16" s="14">
        <v>9.3523601943810403E-2</v>
      </c>
      <c r="N16" s="14">
        <v>0.100171739457454</v>
      </c>
      <c r="O16" s="14">
        <v>8.8728836444556897E-2</v>
      </c>
      <c r="P16" s="14">
        <v>0.102040816326531</v>
      </c>
    </row>
    <row r="17" spans="2:16">
      <c r="B17" s="16"/>
    </row>
    <row r="18" spans="2:16">
      <c r="B18" s="17" t="s">
        <v>35</v>
      </c>
      <c r="C18" s="11" t="s">
        <v>2</v>
      </c>
      <c r="D18" s="11" t="s">
        <v>2</v>
      </c>
      <c r="E18" s="11" t="s">
        <v>2</v>
      </c>
      <c r="F18" s="8">
        <v>1370.2</v>
      </c>
      <c r="G18" s="8">
        <v>1501.3</v>
      </c>
      <c r="H18" s="8">
        <v>1566.1687694556099</v>
      </c>
      <c r="I18" s="8">
        <v>1671.8918921867</v>
      </c>
      <c r="J18" s="8">
        <v>1762.0152034559001</v>
      </c>
      <c r="K18" s="8">
        <v>1864.89634731155</v>
      </c>
      <c r="L18" s="8">
        <v>1967.38070798943</v>
      </c>
      <c r="M18" s="8">
        <v>2062.2467712515599</v>
      </c>
      <c r="N18" s="8">
        <v>2167.8456187055599</v>
      </c>
      <c r="O18" s="8">
        <v>2262.2480648242899</v>
      </c>
      <c r="P18" s="8">
        <v>2372.0425378668701</v>
      </c>
    </row>
    <row r="19" spans="2:16">
      <c r="B19" s="16" t="s">
        <v>36</v>
      </c>
      <c r="C19" s="11" t="s">
        <v>2</v>
      </c>
      <c r="D19" s="18" t="e">
        <v>#DIV/0!</v>
      </c>
      <c r="E19" s="18" t="e">
        <v>#DIV/0!</v>
      </c>
      <c r="F19" s="18" t="e">
        <v>#DIV/0!</v>
      </c>
      <c r="G19" s="18">
        <v>9.5679462852138505E-2</v>
      </c>
      <c r="H19" s="18">
        <v>4.3208399024584197E-2</v>
      </c>
      <c r="I19" s="18">
        <v>6.75042976165596E-2</v>
      </c>
      <c r="J19" s="18">
        <v>5.3904987332240598E-2</v>
      </c>
      <c r="K19" s="18">
        <v>5.8388340607883803E-2</v>
      </c>
      <c r="L19" s="18">
        <v>5.4954454077633899E-2</v>
      </c>
      <c r="M19" s="18">
        <v>4.8219474185591298E-2</v>
      </c>
      <c r="N19" s="18">
        <v>5.1205728104940701E-2</v>
      </c>
      <c r="O19" s="18">
        <v>4.3546664626009202E-2</v>
      </c>
      <c r="P19" s="18">
        <v>4.8533348198977602E-2</v>
      </c>
    </row>
    <row r="20" spans="2:16">
      <c r="B20" s="16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6">
      <c r="B21" s="7" t="s">
        <v>37</v>
      </c>
    </row>
    <row r="23" spans="2:16">
      <c r="B23" s="10" t="s">
        <v>26</v>
      </c>
      <c r="C23" s="11" t="s">
        <v>2</v>
      </c>
      <c r="D23" s="11" t="s">
        <v>2</v>
      </c>
      <c r="E23" s="11" t="s">
        <v>2</v>
      </c>
      <c r="F23" s="18">
        <v>0.66493942490147395</v>
      </c>
      <c r="G23" s="18">
        <v>0.60261107040564799</v>
      </c>
      <c r="H23" s="18">
        <v>0.57476340836045203</v>
      </c>
      <c r="I23" s="18">
        <v>0.53841788706962501</v>
      </c>
      <c r="J23" s="18">
        <v>0.51598775266910202</v>
      </c>
      <c r="K23" s="18">
        <v>0.49239736512637</v>
      </c>
      <c r="L23" s="18">
        <v>0.47141498559997103</v>
      </c>
      <c r="M23" s="18">
        <v>0.45422656913133302</v>
      </c>
      <c r="N23" s="18">
        <v>0.43642155151655299</v>
      </c>
      <c r="O23" s="18">
        <v>0.422392004088949</v>
      </c>
      <c r="P23" s="18">
        <v>0.40888340355286901</v>
      </c>
    </row>
    <row r="24" spans="2:16">
      <c r="B24" s="10" t="s">
        <v>29</v>
      </c>
      <c r="C24" s="11" t="s">
        <v>2</v>
      </c>
      <c r="D24" s="11" t="s">
        <v>2</v>
      </c>
      <c r="E24" s="11" t="s">
        <v>2</v>
      </c>
      <c r="F24" s="18">
        <v>0.140344475259086</v>
      </c>
      <c r="G24" s="18">
        <v>0.14221008459335199</v>
      </c>
      <c r="H24" s="18">
        <v>0.14858871185440001</v>
      </c>
      <c r="I24" s="18">
        <v>0.15102398437362799</v>
      </c>
      <c r="J24" s="18">
        <v>0.15476338482503099</v>
      </c>
      <c r="K24" s="18">
        <v>0.157192433347625</v>
      </c>
      <c r="L24" s="18">
        <v>0.159434279870419</v>
      </c>
      <c r="M24" s="18">
        <v>0.16198659941318</v>
      </c>
      <c r="N24" s="18">
        <v>0.16334176154796401</v>
      </c>
      <c r="O24" s="18">
        <v>0.161221361820651</v>
      </c>
      <c r="P24" s="18">
        <v>0.155296515574397</v>
      </c>
    </row>
    <row r="25" spans="2:16">
      <c r="B25" s="10" t="s">
        <v>31</v>
      </c>
      <c r="C25" s="11" t="s">
        <v>2</v>
      </c>
      <c r="D25" s="11" t="s">
        <v>2</v>
      </c>
      <c r="E25" s="11" t="s">
        <v>2</v>
      </c>
      <c r="F25" s="18">
        <v>2.5470734199386901E-2</v>
      </c>
      <c r="G25" s="18">
        <v>2.7442882834876399E-2</v>
      </c>
      <c r="H25" s="18">
        <v>2.5253983332682601E-2</v>
      </c>
      <c r="I25" s="18">
        <v>2.3893602323623801E-2</v>
      </c>
      <c r="J25" s="18">
        <v>2.3124925551199899E-2</v>
      </c>
      <c r="K25" s="18">
        <v>2.2286171490396901E-2</v>
      </c>
      <c r="L25" s="18">
        <v>2.17590025298093E-2</v>
      </c>
      <c r="M25" s="18">
        <v>2.1380801595120399E-2</v>
      </c>
      <c r="N25" s="18">
        <v>2.0949491668652301E-2</v>
      </c>
      <c r="O25" s="18">
        <v>2.06775385808406E-2</v>
      </c>
      <c r="P25" s="18">
        <v>1.9917644014395101E-2</v>
      </c>
    </row>
    <row r="26" spans="2:16">
      <c r="B26" s="10" t="s">
        <v>33</v>
      </c>
      <c r="C26" s="11" t="s">
        <v>2</v>
      </c>
      <c r="D26" s="11" t="s">
        <v>2</v>
      </c>
      <c r="E26" s="11" t="s">
        <v>2</v>
      </c>
      <c r="F26" s="18">
        <v>0.16924536564005299</v>
      </c>
      <c r="G26" s="18">
        <v>0.22773596216612299</v>
      </c>
      <c r="H26" s="18">
        <v>0.25139389645246502</v>
      </c>
      <c r="I26" s="18">
        <v>0.286664526233123</v>
      </c>
      <c r="J26" s="18">
        <v>0.306123936954668</v>
      </c>
      <c r="K26" s="18">
        <v>0.32812403003560903</v>
      </c>
      <c r="L26" s="18">
        <v>0.347391731999801</v>
      </c>
      <c r="M26" s="18">
        <v>0.36240602986036602</v>
      </c>
      <c r="N26" s="18">
        <v>0.37928719526683002</v>
      </c>
      <c r="O26" s="18">
        <v>0.39570909550955902</v>
      </c>
      <c r="P26" s="18">
        <v>0.415902436858339</v>
      </c>
    </row>
    <row r="30" spans="2:16">
      <c r="B30" s="8" t="s">
        <v>38</v>
      </c>
      <c r="C30" s="19">
        <v>5786</v>
      </c>
      <c r="D30" s="19">
        <v>8634</v>
      </c>
      <c r="E30" s="19">
        <v>10901</v>
      </c>
      <c r="F30" s="19">
        <v>12008</v>
      </c>
      <c r="G30" s="19">
        <v>12116</v>
      </c>
      <c r="H30" s="19">
        <v>12500</v>
      </c>
      <c r="I30" s="19">
        <v>12600</v>
      </c>
      <c r="J30" s="19">
        <v>12700</v>
      </c>
      <c r="K30" s="19">
        <v>12800</v>
      </c>
      <c r="L30" s="19">
        <v>12900</v>
      </c>
      <c r="M30" s="19">
        <v>12950</v>
      </c>
      <c r="N30" s="19">
        <v>12975</v>
      </c>
      <c r="O30" s="19">
        <v>13000</v>
      </c>
      <c r="P30" s="19">
        <v>13000</v>
      </c>
    </row>
    <row r="31" spans="2:16">
      <c r="B31" s="8" t="s">
        <v>39</v>
      </c>
      <c r="C31" s="19">
        <v>1379</v>
      </c>
      <c r="D31" s="19">
        <v>4025</v>
      </c>
      <c r="E31" s="19">
        <v>6685</v>
      </c>
      <c r="F31" s="19">
        <v>8580</v>
      </c>
      <c r="G31" s="19">
        <v>9520</v>
      </c>
      <c r="H31" s="19">
        <v>10250</v>
      </c>
      <c r="I31" s="19">
        <v>10584</v>
      </c>
      <c r="J31" s="19">
        <v>10795</v>
      </c>
      <c r="K31" s="19">
        <v>11008</v>
      </c>
      <c r="L31" s="19">
        <v>11223</v>
      </c>
      <c r="M31" s="19">
        <v>11396</v>
      </c>
      <c r="N31" s="19">
        <v>11547.75</v>
      </c>
      <c r="O31" s="19">
        <v>11700</v>
      </c>
      <c r="P31" s="19">
        <v>11700</v>
      </c>
    </row>
    <row r="32" spans="2:16">
      <c r="B32" s="16" t="s">
        <v>40</v>
      </c>
      <c r="C32" s="18">
        <v>0.23833390943657101</v>
      </c>
      <c r="D32" s="18">
        <v>0.46618021774380403</v>
      </c>
      <c r="E32" s="18">
        <v>0.61324649114760099</v>
      </c>
      <c r="F32" s="18">
        <v>0.71452365089939995</v>
      </c>
      <c r="G32" s="18">
        <v>0.78573786728293205</v>
      </c>
      <c r="H32" s="18">
        <v>0.82</v>
      </c>
      <c r="I32" s="18">
        <v>0.84</v>
      </c>
      <c r="J32" s="18">
        <v>0.85</v>
      </c>
      <c r="K32" s="18">
        <v>0.86</v>
      </c>
      <c r="L32" s="18">
        <v>0.87</v>
      </c>
      <c r="M32" s="18">
        <v>0.88</v>
      </c>
      <c r="N32" s="18">
        <v>0.89</v>
      </c>
      <c r="O32" s="18">
        <v>0.9</v>
      </c>
      <c r="P32" s="18">
        <v>0.9</v>
      </c>
    </row>
    <row r="34" spans="2:16">
      <c r="B34" s="8" t="s">
        <v>41</v>
      </c>
      <c r="C34" s="19">
        <v>64.813000000000002</v>
      </c>
      <c r="D34" s="19">
        <v>189.17500000000001</v>
      </c>
      <c r="E34" s="19">
        <v>421.15499999999997</v>
      </c>
      <c r="F34" s="19">
        <v>806.52</v>
      </c>
      <c r="G34" s="19">
        <v>1094.8</v>
      </c>
      <c r="H34" s="19">
        <v>1260.75</v>
      </c>
      <c r="I34" s="19">
        <v>1534.68</v>
      </c>
      <c r="J34" s="19">
        <v>1727.2</v>
      </c>
      <c r="K34" s="19">
        <v>1959.424</v>
      </c>
      <c r="L34" s="19">
        <v>2188.4850000000001</v>
      </c>
      <c r="M34" s="19">
        <v>2393.16</v>
      </c>
      <c r="N34" s="19">
        <v>2632.8870000000002</v>
      </c>
      <c r="O34" s="19">
        <v>2866.5</v>
      </c>
      <c r="P34" s="19">
        <v>3159</v>
      </c>
    </row>
    <row r="35" spans="2:16">
      <c r="B35" s="16" t="s">
        <v>42</v>
      </c>
      <c r="C35" s="18">
        <v>4.7E-2</v>
      </c>
      <c r="D35" s="18">
        <v>4.7E-2</v>
      </c>
      <c r="E35" s="18">
        <v>6.3E-2</v>
      </c>
      <c r="F35" s="18">
        <v>9.4E-2</v>
      </c>
      <c r="G35" s="18">
        <v>0.115</v>
      </c>
      <c r="H35" s="18">
        <v>0.123</v>
      </c>
      <c r="I35" s="18">
        <v>0.14499999999999999</v>
      </c>
      <c r="J35" s="18">
        <v>0.16</v>
      </c>
      <c r="K35" s="18">
        <v>0.17799999999999999</v>
      </c>
      <c r="L35" s="18">
        <v>0.19500000000000001</v>
      </c>
      <c r="M35" s="18">
        <v>0.21</v>
      </c>
      <c r="N35" s="18">
        <v>0.22800000000000001</v>
      </c>
      <c r="O35" s="18">
        <v>0.245</v>
      </c>
      <c r="P35" s="18">
        <v>0.27</v>
      </c>
    </row>
    <row r="36" spans="2:16">
      <c r="B36" s="16" t="s">
        <v>43</v>
      </c>
      <c r="C36" s="20" t="s">
        <v>28</v>
      </c>
      <c r="D36" s="18">
        <v>1.91878172588833</v>
      </c>
      <c r="E36" s="18">
        <v>1.22627197039778</v>
      </c>
      <c r="F36" s="18">
        <v>0.91501941090572303</v>
      </c>
      <c r="G36" s="18">
        <v>0.35743688935178303</v>
      </c>
      <c r="H36" s="18">
        <v>0.15158019729631</v>
      </c>
      <c r="I36" s="18">
        <v>0.21727543129089799</v>
      </c>
      <c r="J36" s="18">
        <v>0.12544634712122399</v>
      </c>
      <c r="K36" s="18">
        <v>0.13445113478462201</v>
      </c>
      <c r="L36" s="18">
        <v>0.11690221207865201</v>
      </c>
      <c r="M36" s="18">
        <v>9.3523601943810403E-2</v>
      </c>
      <c r="N36" s="18">
        <v>0.100171739457454</v>
      </c>
      <c r="O36" s="18">
        <v>8.8728836444556897E-2</v>
      </c>
      <c r="P36" s="18">
        <v>0.102040816326531</v>
      </c>
    </row>
    <row r="38" spans="2:16">
      <c r="B38" s="8" t="s">
        <v>44</v>
      </c>
      <c r="C38" s="11">
        <v>10</v>
      </c>
      <c r="D38" s="11">
        <v>57</v>
      </c>
      <c r="E38" s="11">
        <v>121</v>
      </c>
      <c r="F38" s="8">
        <v>231.9</v>
      </c>
      <c r="G38" s="8">
        <v>341.9</v>
      </c>
      <c r="H38" s="8">
        <v>393.72526945560799</v>
      </c>
      <c r="I38" s="8">
        <v>479.27209718670099</v>
      </c>
      <c r="J38" s="8">
        <v>539.39503105590097</v>
      </c>
      <c r="K38" s="8">
        <v>611.917305078553</v>
      </c>
      <c r="L38" s="8">
        <v>683.45179165144305</v>
      </c>
      <c r="M38" s="8">
        <v>747.37066496163698</v>
      </c>
      <c r="N38" s="8">
        <v>822.23608449031804</v>
      </c>
      <c r="O38" s="8">
        <v>895.19213554987198</v>
      </c>
      <c r="P38" s="8">
        <v>986.53827183047099</v>
      </c>
    </row>
    <row r="39" spans="2:16">
      <c r="C39" s="11" t="s">
        <v>28</v>
      </c>
      <c r="D39" s="18">
        <v>4.7</v>
      </c>
      <c r="E39" s="18">
        <v>1.12280701754386</v>
      </c>
      <c r="F39" s="18">
        <v>0.91652892561983501</v>
      </c>
      <c r="G39" s="18">
        <v>0.47434238896075898</v>
      </c>
      <c r="H39" s="18">
        <v>0.15158019729631</v>
      </c>
      <c r="I39" s="18">
        <v>0.21727543129089799</v>
      </c>
      <c r="J39" s="18">
        <v>0.12544634712122399</v>
      </c>
      <c r="K39" s="18">
        <v>0.13445113478462201</v>
      </c>
      <c r="L39" s="18">
        <v>0.11690221207865201</v>
      </c>
      <c r="M39" s="18">
        <v>9.3523601943810403E-2</v>
      </c>
      <c r="N39" s="18">
        <v>0.100171739457454</v>
      </c>
      <c r="O39" s="18">
        <v>8.8728836444556897E-2</v>
      </c>
      <c r="P39" s="18">
        <v>0.102040816326531</v>
      </c>
    </row>
    <row r="41" spans="2:16">
      <c r="B41" s="7" t="s">
        <v>45</v>
      </c>
      <c r="H41" s="8">
        <f>H9/H3</f>
        <v>0.76777814879778872</v>
      </c>
      <c r="I41" s="8">
        <f>H41*H45</f>
        <v>0.42227798183878384</v>
      </c>
    </row>
    <row r="42" spans="2:16">
      <c r="H42" s="8">
        <f>H11/H3</f>
        <v>0.19848717656757023</v>
      </c>
      <c r="I42" s="8">
        <f>H42*H46</f>
        <v>6.9470511798649576E-2</v>
      </c>
    </row>
    <row r="43" spans="2:16">
      <c r="B43" s="21" t="s">
        <v>46</v>
      </c>
      <c r="H43" s="8">
        <f>H13/H3</f>
        <v>3.3734674634641248E-2</v>
      </c>
      <c r="I43" s="8">
        <f>H43*H47</f>
        <v>5.0602011951961868E-3</v>
      </c>
    </row>
    <row r="45" spans="2:16">
      <c r="B45" s="10" t="s">
        <v>26</v>
      </c>
      <c r="C45" s="11" t="s">
        <v>2</v>
      </c>
      <c r="D45" s="11" t="s">
        <v>2</v>
      </c>
      <c r="E45" s="11" t="s">
        <v>2</v>
      </c>
      <c r="F45" s="18">
        <v>0.55430000000000001</v>
      </c>
      <c r="G45" s="18">
        <v>0.55230000000000001</v>
      </c>
      <c r="H45" s="18">
        <v>0.55000000000000004</v>
      </c>
      <c r="I45" s="18">
        <v>0.55000000000000004</v>
      </c>
      <c r="J45" s="18">
        <v>0.56000000000000005</v>
      </c>
      <c r="K45" s="18">
        <v>0.56000000000000005</v>
      </c>
      <c r="L45" s="18">
        <v>0.56000000000000005</v>
      </c>
      <c r="M45" s="18">
        <v>0.55000000000000004</v>
      </c>
      <c r="N45" s="18">
        <v>0.55000000000000004</v>
      </c>
      <c r="O45" s="18">
        <v>0.55000000000000004</v>
      </c>
      <c r="P45" s="18">
        <v>0.55000000000000004</v>
      </c>
    </row>
    <row r="46" spans="2:16">
      <c r="B46" s="10" t="s">
        <v>29</v>
      </c>
      <c r="C46" s="11" t="s">
        <v>2</v>
      </c>
      <c r="D46" s="11" t="s">
        <v>2</v>
      </c>
      <c r="E46" s="11" t="s">
        <v>2</v>
      </c>
      <c r="F46" s="18">
        <v>0.28420000000000001</v>
      </c>
      <c r="G46" s="18">
        <v>0.36149999999999999</v>
      </c>
      <c r="H46" s="18">
        <v>0.35</v>
      </c>
      <c r="I46" s="18">
        <v>0.36</v>
      </c>
      <c r="J46" s="18">
        <v>0.37</v>
      </c>
      <c r="K46" s="18">
        <v>0.38</v>
      </c>
      <c r="L46" s="18">
        <v>0.37</v>
      </c>
      <c r="M46" s="18">
        <v>0.36</v>
      </c>
      <c r="N46" s="18">
        <v>0.36</v>
      </c>
      <c r="O46" s="18">
        <v>0.35</v>
      </c>
      <c r="P46" s="18">
        <v>0.35</v>
      </c>
    </row>
    <row r="47" spans="2:16">
      <c r="B47" s="10" t="s">
        <v>31</v>
      </c>
      <c r="C47" s="11" t="s">
        <v>2</v>
      </c>
      <c r="D47" s="11" t="s">
        <v>2</v>
      </c>
      <c r="E47" s="11" t="s">
        <v>2</v>
      </c>
      <c r="F47" s="18">
        <v>0.15210000000000001</v>
      </c>
      <c r="G47" s="18">
        <v>0.1638</v>
      </c>
      <c r="H47" s="18">
        <v>0.15</v>
      </c>
      <c r="I47" s="18">
        <v>0.15</v>
      </c>
      <c r="J47" s="18">
        <v>0.15</v>
      </c>
      <c r="K47" s="18">
        <v>0.15</v>
      </c>
      <c r="L47" s="18">
        <v>0.15</v>
      </c>
      <c r="M47" s="18">
        <v>0.15</v>
      </c>
      <c r="N47" s="18">
        <v>0.15</v>
      </c>
      <c r="O47" s="18">
        <v>0.15</v>
      </c>
      <c r="P47" s="18">
        <v>0.15</v>
      </c>
    </row>
    <row r="48" spans="2:16">
      <c r="B48" s="10" t="s">
        <v>33</v>
      </c>
      <c r="C48" s="11" t="s">
        <v>2</v>
      </c>
      <c r="D48" s="11" t="s">
        <v>2</v>
      </c>
      <c r="E48" s="11" t="s">
        <v>2</v>
      </c>
      <c r="F48" s="18">
        <v>0.31519999999999998</v>
      </c>
      <c r="G48" s="18">
        <v>0.4829</v>
      </c>
      <c r="H48" s="18">
        <v>0.56000000000000005</v>
      </c>
      <c r="I48" s="18">
        <v>0.56999999999999995</v>
      </c>
      <c r="J48" s="18">
        <v>0.57999999999999996</v>
      </c>
      <c r="K48" s="18">
        <v>0.61</v>
      </c>
      <c r="L48" s="18">
        <v>0.59</v>
      </c>
      <c r="M48" s="18">
        <v>0.57999999999999996</v>
      </c>
      <c r="N48" s="18">
        <v>0.56999999999999995</v>
      </c>
      <c r="O48" s="18">
        <v>0.56999999999999995</v>
      </c>
      <c r="P48" s="18">
        <v>0.56000000000000005</v>
      </c>
    </row>
    <row r="49" spans="2:16">
      <c r="B49" s="10" t="s">
        <v>47</v>
      </c>
      <c r="C49" s="11" t="s">
        <v>2</v>
      </c>
      <c r="D49" s="11" t="s">
        <v>2</v>
      </c>
      <c r="E49" s="11" t="s">
        <v>2</v>
      </c>
      <c r="F49" s="18">
        <v>-7.1999999999999995E-2</v>
      </c>
      <c r="G49" s="18">
        <v>-6.9000000000000006E-2</v>
      </c>
      <c r="H49" s="18">
        <v>-6.8000000000000005E-2</v>
      </c>
      <c r="I49" s="18">
        <v>-6.7000000000000004E-2</v>
      </c>
      <c r="J49" s="18">
        <v>-6.6000000000000003E-2</v>
      </c>
      <c r="K49" s="18">
        <v>-6.5000000000000002E-2</v>
      </c>
      <c r="L49" s="18">
        <v>-6.4000000000000001E-2</v>
      </c>
      <c r="M49" s="18">
        <v>-6.3E-2</v>
      </c>
      <c r="N49" s="18">
        <v>-6.2E-2</v>
      </c>
      <c r="O49" s="18">
        <v>-0.06</v>
      </c>
      <c r="P49" s="18">
        <v>-6.0999999999999999E-2</v>
      </c>
    </row>
    <row r="51" spans="2:16">
      <c r="B51" s="7" t="s">
        <v>48</v>
      </c>
      <c r="H51" s="18">
        <f>H48-3%</f>
        <v>0.53</v>
      </c>
      <c r="I51" s="18">
        <f t="shared" ref="I51:P51" si="0">I48-3%</f>
        <v>0.53999999999999992</v>
      </c>
      <c r="J51" s="18">
        <f t="shared" si="0"/>
        <v>0.54999999999999993</v>
      </c>
      <c r="K51" s="18">
        <f t="shared" si="0"/>
        <v>0.57999999999999996</v>
      </c>
      <c r="L51" s="18">
        <f t="shared" si="0"/>
        <v>0.55999999999999994</v>
      </c>
      <c r="M51" s="18">
        <f t="shared" si="0"/>
        <v>0.54999999999999993</v>
      </c>
      <c r="N51" s="18">
        <f t="shared" si="0"/>
        <v>0.53999999999999992</v>
      </c>
      <c r="O51" s="18">
        <f t="shared" si="0"/>
        <v>0.53999999999999992</v>
      </c>
      <c r="P51" s="18">
        <f t="shared" si="0"/>
        <v>0.53</v>
      </c>
    </row>
    <row r="53" spans="2:16">
      <c r="B53" s="10" t="s">
        <v>26</v>
      </c>
      <c r="C53" s="11" t="s">
        <v>2</v>
      </c>
      <c r="D53" s="11" t="s">
        <v>2</v>
      </c>
      <c r="E53" s="11" t="s">
        <v>2</v>
      </c>
      <c r="F53" s="8">
        <v>505.02273000000002</v>
      </c>
      <c r="G53" s="8">
        <v>499.66581000000002</v>
      </c>
      <c r="H53" s="8">
        <v>495.09707500000002</v>
      </c>
      <c r="I53" s="8">
        <v>495.09707500000002</v>
      </c>
      <c r="J53" s="8">
        <v>509.1398284</v>
      </c>
      <c r="K53" s="8">
        <v>514.23122668400003</v>
      </c>
      <c r="L53" s="8">
        <v>519.37353895084004</v>
      </c>
      <c r="M53" s="8">
        <v>515.20000158427104</v>
      </c>
      <c r="N53" s="8">
        <v>520.35200160011402</v>
      </c>
      <c r="O53" s="8">
        <v>525.55552161611502</v>
      </c>
      <c r="P53" s="8">
        <v>533.43885444035595</v>
      </c>
    </row>
    <row r="54" spans="2:16">
      <c r="B54" s="10" t="s">
        <v>29</v>
      </c>
      <c r="C54" s="11" t="s">
        <v>2</v>
      </c>
      <c r="D54" s="11" t="s">
        <v>2</v>
      </c>
      <c r="E54" s="11" t="s">
        <v>2</v>
      </c>
      <c r="F54" s="8">
        <v>54.65166</v>
      </c>
      <c r="G54" s="8">
        <v>77.180250000000001</v>
      </c>
      <c r="H54" s="8">
        <v>81.450249999999997</v>
      </c>
      <c r="I54" s="8">
        <v>90.898478999999995</v>
      </c>
      <c r="J54" s="8">
        <v>100.89731169</v>
      </c>
      <c r="K54" s="8">
        <v>111.3960860145</v>
      </c>
      <c r="L54" s="8">
        <v>116.057132771423</v>
      </c>
      <c r="M54" s="8">
        <v>120.26028298530601</v>
      </c>
      <c r="N54" s="8">
        <v>127.475899964425</v>
      </c>
      <c r="O54" s="8">
        <v>127.652949825487</v>
      </c>
      <c r="P54" s="8">
        <v>128.92947932374099</v>
      </c>
    </row>
    <row r="55" spans="2:16">
      <c r="B55" s="10" t="s">
        <v>31</v>
      </c>
      <c r="C55" s="11" t="s">
        <v>2</v>
      </c>
      <c r="D55" s="11" t="s">
        <v>2</v>
      </c>
      <c r="E55" s="11" t="s">
        <v>2</v>
      </c>
      <c r="F55" s="8">
        <v>5.3082900000000004</v>
      </c>
      <c r="G55" s="8">
        <v>6.7485600000000003</v>
      </c>
      <c r="H55" s="8">
        <v>5.9328000000000003</v>
      </c>
      <c r="I55" s="8">
        <v>5.9921280000000001</v>
      </c>
      <c r="J55" s="8">
        <v>6.1119705599999996</v>
      </c>
      <c r="K55" s="8">
        <v>6.2342099712000003</v>
      </c>
      <c r="L55" s="8">
        <v>6.4212362703360002</v>
      </c>
      <c r="M55" s="8">
        <v>6.6138733584460798</v>
      </c>
      <c r="N55" s="8">
        <v>6.8122895591994599</v>
      </c>
      <c r="O55" s="8">
        <v>7.0166582459754503</v>
      </c>
      <c r="P55" s="8">
        <v>7.0868248284351996</v>
      </c>
    </row>
    <row r="56" spans="2:16">
      <c r="B56" s="10" t="s">
        <v>33</v>
      </c>
      <c r="C56" s="11" t="s">
        <v>2</v>
      </c>
      <c r="D56" s="11" t="s">
        <v>2</v>
      </c>
      <c r="E56" s="11" t="s">
        <v>2</v>
      </c>
      <c r="F56" s="8">
        <v>73.094880000000003</v>
      </c>
      <c r="G56" s="8">
        <v>165.10351</v>
      </c>
      <c r="H56" s="8">
        <v>220.48615089514101</v>
      </c>
      <c r="I56" s="8">
        <v>273.185095396419</v>
      </c>
      <c r="J56" s="8">
        <v>312.84911801242203</v>
      </c>
      <c r="K56" s="8">
        <v>373.26955609791702</v>
      </c>
      <c r="L56" s="8">
        <v>403.23655707435103</v>
      </c>
      <c r="M56" s="8">
        <v>433.47498567774898</v>
      </c>
      <c r="N56" s="8">
        <v>468.674568159481</v>
      </c>
      <c r="O56" s="8">
        <v>510.25951726342703</v>
      </c>
      <c r="P56" s="8">
        <v>552.46143222506396</v>
      </c>
    </row>
    <row r="57" spans="2:16">
      <c r="B57" s="10" t="s">
        <v>47</v>
      </c>
      <c r="C57" s="11" t="s">
        <v>2</v>
      </c>
      <c r="D57" s="11" t="s">
        <v>2</v>
      </c>
      <c r="E57" s="11" t="s">
        <v>2</v>
      </c>
      <c r="F57" s="8">
        <v>-98.654399999999995</v>
      </c>
      <c r="G57" s="8">
        <v>-103.58969999999999</v>
      </c>
      <c r="H57" s="8">
        <v>-106.499476322981</v>
      </c>
      <c r="I57" s="8">
        <v>-112.016756776509</v>
      </c>
      <c r="J57" s="8">
        <v>-116.29300342808899</v>
      </c>
      <c r="K57" s="8">
        <v>-121.218262575251</v>
      </c>
      <c r="L57" s="8">
        <v>-125.912365311324</v>
      </c>
      <c r="M57" s="8">
        <v>-129.921546588848</v>
      </c>
      <c r="N57" s="8">
        <v>-134.40642835974501</v>
      </c>
      <c r="O57" s="8">
        <v>-135.73488388945799</v>
      </c>
      <c r="P57" s="8">
        <v>-144.69459480987899</v>
      </c>
    </row>
    <row r="59" spans="2:16">
      <c r="B59" s="10" t="s">
        <v>49</v>
      </c>
      <c r="C59" s="11" t="s">
        <v>2</v>
      </c>
      <c r="D59" s="11" t="s">
        <v>2</v>
      </c>
      <c r="E59" s="11" t="s">
        <v>2</v>
      </c>
      <c r="F59" s="8">
        <v>539.42316000000005</v>
      </c>
      <c r="G59" s="8">
        <v>645.10843</v>
      </c>
      <c r="H59" s="8">
        <v>696.46679957215895</v>
      </c>
      <c r="I59" s="8">
        <v>753.15602061991103</v>
      </c>
      <c r="J59" s="8">
        <v>812.70522523433306</v>
      </c>
      <c r="K59" s="8">
        <v>883.91281619236702</v>
      </c>
      <c r="L59" s="8">
        <v>919.17609975562596</v>
      </c>
      <c r="M59" s="8">
        <v>945.62759701692403</v>
      </c>
      <c r="N59" s="8">
        <v>988.90833092347395</v>
      </c>
      <c r="O59" s="8">
        <v>1034.7497630615501</v>
      </c>
      <c r="P59" s="8">
        <v>1077.22199600772</v>
      </c>
    </row>
    <row r="61" spans="2:16">
      <c r="B61" s="10" t="s">
        <v>50</v>
      </c>
      <c r="C61" s="11" t="s">
        <v>2</v>
      </c>
      <c r="D61" s="11" t="s">
        <v>2</v>
      </c>
      <c r="E61" s="11" t="s">
        <v>2</v>
      </c>
      <c r="F61" s="18">
        <v>0.39368206101299102</v>
      </c>
      <c r="G61" s="18">
        <v>0.42969988010391003</v>
      </c>
      <c r="H61" s="18">
        <v>0.44469460326057197</v>
      </c>
      <c r="I61" s="18">
        <v>0.45048129256422398</v>
      </c>
      <c r="J61" s="18">
        <v>0.46123621614634602</v>
      </c>
      <c r="K61" s="18">
        <v>0.47397423318814502</v>
      </c>
      <c r="L61" s="18">
        <v>0.467208047747393</v>
      </c>
      <c r="M61" s="18">
        <v>0.45854240636925903</v>
      </c>
      <c r="N61" s="18">
        <v>0.45617101254376302</v>
      </c>
      <c r="O61" s="18">
        <v>0.45739889411372497</v>
      </c>
      <c r="P61" s="18">
        <v>0.45413266364794602</v>
      </c>
    </row>
    <row r="62" spans="2:16">
      <c r="C62" s="11"/>
      <c r="D62" s="11"/>
      <c r="E62" s="11"/>
    </row>
    <row r="63" spans="2:16">
      <c r="B63" s="10" t="s">
        <v>8</v>
      </c>
      <c r="C63" s="11" t="s">
        <v>2</v>
      </c>
      <c r="D63" s="11" t="s">
        <v>2</v>
      </c>
      <c r="E63" s="11" t="s">
        <v>2</v>
      </c>
      <c r="F63" s="8">
        <v>402.6</v>
      </c>
      <c r="G63" s="8">
        <v>450.1</v>
      </c>
      <c r="H63" s="8">
        <v>480</v>
      </c>
      <c r="I63" s="8">
        <v>465</v>
      </c>
      <c r="J63" s="8">
        <v>430</v>
      </c>
      <c r="K63" s="8">
        <v>410</v>
      </c>
      <c r="L63" s="8">
        <v>420</v>
      </c>
      <c r="M63" s="8">
        <v>425</v>
      </c>
      <c r="N63" s="8">
        <v>430</v>
      </c>
      <c r="O63" s="8">
        <v>430</v>
      </c>
      <c r="P63" s="8">
        <v>450</v>
      </c>
    </row>
    <row r="64" spans="2:16">
      <c r="C64" s="11"/>
      <c r="D64" s="11"/>
      <c r="E64" s="11"/>
    </row>
    <row r="65" spans="2:16">
      <c r="B65" s="10" t="s">
        <v>5</v>
      </c>
      <c r="C65" s="11" t="s">
        <v>2</v>
      </c>
      <c r="D65" s="11" t="s">
        <v>2</v>
      </c>
      <c r="E65" s="11" t="s">
        <v>2</v>
      </c>
      <c r="F65" s="8">
        <v>136.82316</v>
      </c>
      <c r="G65" s="8">
        <v>195.00843</v>
      </c>
      <c r="H65" s="8">
        <v>216.466799572159</v>
      </c>
      <c r="I65" s="8">
        <v>288.15602061991098</v>
      </c>
      <c r="J65" s="8">
        <v>382.705225234333</v>
      </c>
      <c r="K65" s="8">
        <v>473.91281619236702</v>
      </c>
      <c r="L65" s="8">
        <v>499.17609975562601</v>
      </c>
      <c r="M65" s="8">
        <v>520.62759701692403</v>
      </c>
      <c r="N65" s="8">
        <v>558.90833092347395</v>
      </c>
      <c r="O65" s="8">
        <v>604.74976306154599</v>
      </c>
      <c r="P65" s="8">
        <v>627.22199600771796</v>
      </c>
    </row>
    <row r="66" spans="2:16">
      <c r="C66" s="11"/>
      <c r="D66" s="11"/>
      <c r="E66" s="11"/>
    </row>
    <row r="67" spans="2:16">
      <c r="B67" s="10" t="s">
        <v>51</v>
      </c>
      <c r="C67" s="11" t="s">
        <v>2</v>
      </c>
      <c r="D67" s="11" t="s">
        <v>2</v>
      </c>
      <c r="E67" s="11" t="s">
        <v>2</v>
      </c>
      <c r="F67" s="8">
        <v>287.3</v>
      </c>
      <c r="G67" s="8">
        <v>214.2</v>
      </c>
      <c r="H67" s="8">
        <v>229</v>
      </c>
      <c r="I67" s="8">
        <v>195</v>
      </c>
      <c r="J67" s="8">
        <v>142</v>
      </c>
      <c r="K67" s="8">
        <v>139</v>
      </c>
      <c r="L67" s="8">
        <v>133</v>
      </c>
      <c r="M67" s="8">
        <v>130</v>
      </c>
      <c r="N67" s="8">
        <v>128</v>
      </c>
      <c r="O67" s="8">
        <v>125</v>
      </c>
      <c r="P67" s="8">
        <v>120</v>
      </c>
    </row>
    <row r="68" spans="2:16">
      <c r="C68" s="11"/>
      <c r="D68" s="11"/>
      <c r="E68" s="11"/>
    </row>
    <row r="69" spans="2:16">
      <c r="B69" s="10" t="s">
        <v>52</v>
      </c>
      <c r="C69" s="11" t="s">
        <v>2</v>
      </c>
      <c r="D69" s="11" t="s">
        <v>2</v>
      </c>
      <c r="E69" s="11" t="s">
        <v>2</v>
      </c>
      <c r="F69" s="8">
        <v>-150.47684000000001</v>
      </c>
      <c r="G69" s="8">
        <v>-19.191569999999999</v>
      </c>
      <c r="H69" s="8">
        <v>-12.533200427840701</v>
      </c>
      <c r="I69" s="8">
        <v>93.156020619910606</v>
      </c>
      <c r="J69" s="8">
        <v>240.705225234333</v>
      </c>
      <c r="K69" s="8">
        <v>334.91281619236702</v>
      </c>
      <c r="L69" s="8">
        <v>366.17609975562601</v>
      </c>
      <c r="M69" s="8">
        <v>390.62759701692403</v>
      </c>
      <c r="N69" s="8">
        <v>430.90833092347401</v>
      </c>
      <c r="O69" s="8">
        <v>479.74976306154599</v>
      </c>
      <c r="P69" s="8">
        <v>507.22199600771802</v>
      </c>
    </row>
    <row r="70" spans="2:16">
      <c r="C70" s="11"/>
      <c r="D70" s="11"/>
      <c r="E70" s="11"/>
    </row>
    <row r="71" spans="2:16">
      <c r="B71" s="10" t="s">
        <v>6</v>
      </c>
      <c r="C71" s="11" t="s">
        <v>2</v>
      </c>
      <c r="D71" s="11" t="s">
        <v>2</v>
      </c>
      <c r="E71" s="11" t="s">
        <v>2</v>
      </c>
      <c r="F71" s="18">
        <v>-0.04</v>
      </c>
      <c r="G71" s="18">
        <v>1.32</v>
      </c>
      <c r="H71" s="18">
        <v>0.14000000000000001</v>
      </c>
      <c r="I71" s="18">
        <v>0.14000000000000001</v>
      </c>
      <c r="J71" s="18">
        <v>0.14000000000000001</v>
      </c>
      <c r="K71" s="18">
        <v>0.14000000000000001</v>
      </c>
      <c r="L71" s="18">
        <v>0.14000000000000001</v>
      </c>
      <c r="M71" s="18">
        <v>0.18</v>
      </c>
      <c r="N71" s="18">
        <v>0.3</v>
      </c>
      <c r="O71" s="18">
        <v>0.3</v>
      </c>
      <c r="P71" s="18">
        <v>0.32</v>
      </c>
    </row>
    <row r="72" spans="2:16">
      <c r="B72" s="10" t="s">
        <v>53</v>
      </c>
      <c r="C72" s="11" t="s">
        <v>2</v>
      </c>
      <c r="D72" s="11" t="s">
        <v>2</v>
      </c>
      <c r="E72" s="11" t="s">
        <v>2</v>
      </c>
      <c r="F72" s="8">
        <v>-6</v>
      </c>
      <c r="G72" s="8">
        <v>26</v>
      </c>
      <c r="H72" s="8">
        <v>22</v>
      </c>
      <c r="I72" s="8">
        <v>13.041842886787499</v>
      </c>
      <c r="J72" s="8">
        <v>33.698731532806597</v>
      </c>
      <c r="K72" s="8">
        <v>46.887794266931301</v>
      </c>
      <c r="L72" s="8">
        <v>51.264653965787701</v>
      </c>
      <c r="M72" s="8">
        <v>70.312967463046405</v>
      </c>
      <c r="N72" s="8">
        <v>129.27249927704199</v>
      </c>
      <c r="O72" s="8">
        <v>143.92492891846399</v>
      </c>
      <c r="P72" s="8">
        <v>162.31103872246999</v>
      </c>
    </row>
    <row r="73" spans="2:16">
      <c r="C73" s="11"/>
      <c r="D73" s="11"/>
      <c r="E73" s="11"/>
    </row>
    <row r="74" spans="2:16">
      <c r="B74" s="10" t="s">
        <v>7</v>
      </c>
      <c r="C74" s="11" t="s">
        <v>2</v>
      </c>
      <c r="D74" s="11" t="s">
        <v>2</v>
      </c>
      <c r="E74" s="11" t="s">
        <v>2</v>
      </c>
      <c r="F74" s="8">
        <v>-144.47684000000001</v>
      </c>
      <c r="G74" s="8">
        <v>-45.191569999999999</v>
      </c>
      <c r="H74" s="8">
        <v>-34.533200427840697</v>
      </c>
      <c r="I74" s="8">
        <v>80.1141777331231</v>
      </c>
      <c r="J74" s="8">
        <v>207.00649370152601</v>
      </c>
      <c r="K74" s="8">
        <v>288.025021925435</v>
      </c>
      <c r="L74" s="8">
        <v>314.91144578983898</v>
      </c>
      <c r="M74" s="8">
        <v>320.31462955387798</v>
      </c>
      <c r="N74" s="8">
        <v>301.635831646432</v>
      </c>
      <c r="O74" s="8">
        <v>335.824834143082</v>
      </c>
      <c r="P74" s="8">
        <v>344.910957285248</v>
      </c>
    </row>
    <row r="76" spans="2:16">
      <c r="B76" s="8" t="s">
        <v>54</v>
      </c>
      <c r="C76" s="8">
        <v>90</v>
      </c>
      <c r="D76" s="8">
        <v>90</v>
      </c>
      <c r="E76" s="8">
        <v>90</v>
      </c>
      <c r="F76" s="8">
        <v>90</v>
      </c>
      <c r="G76" s="8">
        <v>90</v>
      </c>
      <c r="H76" s="8">
        <v>90</v>
      </c>
      <c r="I76" s="8">
        <v>90</v>
      </c>
      <c r="J76" s="8">
        <v>90</v>
      </c>
      <c r="K76" s="8">
        <v>90</v>
      </c>
      <c r="L76" s="8">
        <v>90</v>
      </c>
      <c r="M76" s="8">
        <v>90</v>
      </c>
      <c r="N76" s="8">
        <v>90</v>
      </c>
      <c r="O76" s="8">
        <v>90</v>
      </c>
      <c r="P76" s="8">
        <v>90</v>
      </c>
    </row>
    <row r="78" spans="2:16">
      <c r="B78" s="8" t="s">
        <v>55</v>
      </c>
      <c r="C78" s="8">
        <v>0</v>
      </c>
      <c r="D78" s="8">
        <v>0</v>
      </c>
      <c r="E78" s="8">
        <v>0</v>
      </c>
      <c r="F78" s="8">
        <v>-1.6052982222222201</v>
      </c>
      <c r="G78" s="8">
        <v>-0.50212855555555602</v>
      </c>
      <c r="H78" s="8">
        <v>-0.38370222697600798</v>
      </c>
      <c r="I78" s="8">
        <v>0.89015753036803402</v>
      </c>
      <c r="J78" s="8">
        <v>2.30007215223918</v>
      </c>
      <c r="K78" s="8">
        <v>3.2002780213937201</v>
      </c>
      <c r="L78" s="8">
        <v>3.4990160643315402</v>
      </c>
      <c r="M78" s="8">
        <v>3.5590514394875301</v>
      </c>
      <c r="N78" s="8">
        <v>3.3515092405159099</v>
      </c>
      <c r="O78" s="8">
        <v>3.73138704603425</v>
      </c>
      <c r="P78" s="8">
        <v>3.8323439698360899</v>
      </c>
    </row>
    <row r="80" spans="2:16">
      <c r="B80" s="10" t="s">
        <v>56</v>
      </c>
      <c r="C80" s="22" t="s">
        <v>57</v>
      </c>
      <c r="D80" s="22" t="s">
        <v>57</v>
      </c>
      <c r="E80" s="22" t="s">
        <v>57</v>
      </c>
      <c r="F80" s="22" t="s">
        <v>57</v>
      </c>
      <c r="G80" s="22" t="s">
        <v>57</v>
      </c>
      <c r="H80" s="22" t="s">
        <v>57</v>
      </c>
      <c r="I80" s="10">
        <v>39.318883238036904</v>
      </c>
      <c r="J80" s="10">
        <v>15.216913941559</v>
      </c>
      <c r="K80" s="10">
        <v>10.9365498141182</v>
      </c>
      <c r="L80" s="10">
        <v>10.002812035299</v>
      </c>
      <c r="M80" s="10">
        <v>9.8340809609202093</v>
      </c>
      <c r="N80" s="10">
        <v>10.443056392890099</v>
      </c>
      <c r="O80" s="10">
        <v>9.3798899894875092</v>
      </c>
      <c r="P80" s="10">
        <v>9.1327919089415595</v>
      </c>
    </row>
    <row r="83" spans="2:16">
      <c r="L83" s="18"/>
    </row>
    <row r="86" spans="2:16">
      <c r="B86" s="23" t="s">
        <v>58</v>
      </c>
    </row>
    <row r="88" spans="2:16">
      <c r="B88" s="10" t="s">
        <v>7</v>
      </c>
      <c r="C88" s="8" t="s">
        <v>28</v>
      </c>
      <c r="D88" s="8" t="s">
        <v>28</v>
      </c>
      <c r="E88" s="8" t="s">
        <v>28</v>
      </c>
      <c r="F88" s="8" t="s">
        <v>28</v>
      </c>
      <c r="G88" s="8" t="s">
        <v>28</v>
      </c>
      <c r="H88" s="8">
        <v>-34.533200427840697</v>
      </c>
      <c r="I88" s="8">
        <v>80.1141777331231</v>
      </c>
      <c r="J88" s="8">
        <v>207.00649370152601</v>
      </c>
      <c r="K88" s="8">
        <v>288.025021925435</v>
      </c>
      <c r="L88" s="8">
        <v>314.91144578983898</v>
      </c>
      <c r="M88" s="8">
        <v>320.31462955387798</v>
      </c>
      <c r="N88" s="8">
        <v>301.635831646432</v>
      </c>
      <c r="O88" s="8">
        <v>335.824834143082</v>
      </c>
      <c r="P88" s="8">
        <v>344.910957285248</v>
      </c>
    </row>
    <row r="89" spans="2:16">
      <c r="B89" s="10" t="s">
        <v>8</v>
      </c>
      <c r="C89" s="8" t="s">
        <v>28</v>
      </c>
      <c r="D89" s="8" t="s">
        <v>28</v>
      </c>
      <c r="E89" s="8" t="s">
        <v>28</v>
      </c>
      <c r="F89" s="8" t="s">
        <v>28</v>
      </c>
      <c r="G89" s="8" t="s">
        <v>28</v>
      </c>
      <c r="H89" s="8">
        <v>480</v>
      </c>
      <c r="I89" s="8">
        <v>465</v>
      </c>
      <c r="J89" s="8">
        <v>430</v>
      </c>
      <c r="K89" s="8">
        <v>410</v>
      </c>
      <c r="L89" s="8">
        <v>420</v>
      </c>
      <c r="M89" s="8">
        <v>425</v>
      </c>
      <c r="N89" s="8">
        <v>430</v>
      </c>
      <c r="O89" s="8">
        <v>430</v>
      </c>
      <c r="P89" s="8">
        <v>450</v>
      </c>
    </row>
    <row r="90" spans="2:16">
      <c r="B90" s="10" t="s">
        <v>59</v>
      </c>
      <c r="C90" s="8" t="s">
        <v>28</v>
      </c>
      <c r="D90" s="8" t="s">
        <v>28</v>
      </c>
      <c r="E90" s="8" t="s">
        <v>28</v>
      </c>
      <c r="F90" s="8" t="s">
        <v>28</v>
      </c>
      <c r="G90" s="8" t="s">
        <v>28</v>
      </c>
      <c r="H90" s="8">
        <v>50</v>
      </c>
      <c r="I90" s="8">
        <v>25</v>
      </c>
      <c r="J90" s="8">
        <v>0</v>
      </c>
      <c r="K90" s="8">
        <v>0</v>
      </c>
      <c r="L90" s="8">
        <v>0</v>
      </c>
      <c r="M90" s="8">
        <v>0</v>
      </c>
      <c r="N90" s="8">
        <v>0</v>
      </c>
      <c r="O90" s="8">
        <v>0</v>
      </c>
      <c r="P90" s="8">
        <v>0</v>
      </c>
    </row>
    <row r="91" spans="2:16">
      <c r="B91" s="10" t="s">
        <v>60</v>
      </c>
      <c r="C91" s="8" t="s">
        <v>28</v>
      </c>
      <c r="D91" s="8" t="s">
        <v>28</v>
      </c>
      <c r="E91" s="8" t="s">
        <v>28</v>
      </c>
      <c r="F91" s="8" t="s">
        <v>28</v>
      </c>
      <c r="G91" s="8" t="s">
        <v>28</v>
      </c>
      <c r="H91" s="8">
        <v>-353</v>
      </c>
      <c r="I91" s="8">
        <v>-376</v>
      </c>
      <c r="J91" s="8">
        <v>-389</v>
      </c>
      <c r="K91" s="8">
        <v>-398</v>
      </c>
      <c r="L91" s="8">
        <v>-416</v>
      </c>
      <c r="M91" s="8">
        <v>-432</v>
      </c>
      <c r="N91" s="8">
        <v>-450</v>
      </c>
      <c r="O91" s="8">
        <v>-467</v>
      </c>
      <c r="P91" s="8">
        <v>-450</v>
      </c>
    </row>
    <row r="92" spans="2:16">
      <c r="B92" s="10" t="s">
        <v>61</v>
      </c>
      <c r="C92" s="8" t="s">
        <v>28</v>
      </c>
      <c r="D92" s="8" t="s">
        <v>28</v>
      </c>
      <c r="E92" s="8" t="s">
        <v>28</v>
      </c>
      <c r="F92" s="8" t="s">
        <v>28</v>
      </c>
      <c r="G92" s="8" t="s">
        <v>28</v>
      </c>
      <c r="H92" s="8">
        <v>-4</v>
      </c>
      <c r="I92" s="8">
        <v>-4</v>
      </c>
      <c r="J92" s="8">
        <v>0</v>
      </c>
      <c r="K92" s="8">
        <v>1</v>
      </c>
      <c r="L92" s="8">
        <v>2</v>
      </c>
      <c r="M92" s="8">
        <v>3</v>
      </c>
      <c r="N92" s="8">
        <v>3</v>
      </c>
      <c r="O92" s="8">
        <v>3</v>
      </c>
      <c r="P92" s="8">
        <v>1</v>
      </c>
    </row>
    <row r="93" spans="2:16">
      <c r="C93" s="8" t="s">
        <v>28</v>
      </c>
      <c r="D93" s="8" t="s">
        <v>28</v>
      </c>
      <c r="E93" s="8" t="s">
        <v>28</v>
      </c>
      <c r="F93" s="8" t="s">
        <v>28</v>
      </c>
      <c r="G93" s="8" t="s">
        <v>28</v>
      </c>
    </row>
    <row r="94" spans="2:16">
      <c r="B94" s="10" t="s">
        <v>62</v>
      </c>
      <c r="C94" s="8" t="s">
        <v>28</v>
      </c>
      <c r="D94" s="8" t="s">
        <v>28</v>
      </c>
      <c r="E94" s="8" t="s">
        <v>28</v>
      </c>
      <c r="F94" s="8" t="s">
        <v>28</v>
      </c>
      <c r="G94" s="8" t="s">
        <v>28</v>
      </c>
      <c r="H94" s="8">
        <v>138.466799572159</v>
      </c>
      <c r="I94" s="8">
        <v>190.114177733123</v>
      </c>
      <c r="J94" s="8">
        <v>248.00649370152601</v>
      </c>
      <c r="K94" s="8">
        <v>301.025021925435</v>
      </c>
      <c r="L94" s="8">
        <v>320.91144578983898</v>
      </c>
      <c r="M94" s="8">
        <v>316.31462955387798</v>
      </c>
      <c r="N94" s="8">
        <v>284.635831646432</v>
      </c>
      <c r="O94" s="8">
        <v>301.824834143082</v>
      </c>
      <c r="P94" s="8">
        <v>345.910957285248</v>
      </c>
    </row>
    <row r="95" spans="2:16">
      <c r="C95" s="8" t="s">
        <v>28</v>
      </c>
      <c r="D95" s="8" t="s">
        <v>28</v>
      </c>
      <c r="E95" s="8" t="s">
        <v>28</v>
      </c>
      <c r="F95" s="8" t="s">
        <v>28</v>
      </c>
      <c r="G95" s="8" t="s">
        <v>28</v>
      </c>
    </row>
    <row r="96" spans="2:16">
      <c r="B96" s="10" t="s">
        <v>63</v>
      </c>
      <c r="C96" s="8" t="s">
        <v>28</v>
      </c>
      <c r="D96" s="8" t="s">
        <v>28</v>
      </c>
      <c r="E96" s="8" t="s">
        <v>28</v>
      </c>
      <c r="F96" s="8" t="s">
        <v>28</v>
      </c>
      <c r="G96" s="8" t="s">
        <v>28</v>
      </c>
      <c r="H96" s="8">
        <v>127.619170112589</v>
      </c>
      <c r="I96" s="8">
        <v>161.49349337053101</v>
      </c>
      <c r="J96" s="8">
        <v>194.166292382335</v>
      </c>
      <c r="K96" s="8">
        <v>217.21191474259101</v>
      </c>
      <c r="L96" s="8">
        <v>213.42068830340699</v>
      </c>
      <c r="M96" s="8">
        <v>193.88349926634399</v>
      </c>
      <c r="N96" s="8">
        <v>160.798281671182</v>
      </c>
      <c r="O96" s="8">
        <v>157.15096970049601</v>
      </c>
      <c r="P96" s="8">
        <v>2118.8776851218499</v>
      </c>
    </row>
    <row r="97" spans="3:9">
      <c r="C97" s="8" t="s">
        <v>28</v>
      </c>
      <c r="D97" s="8" t="s">
        <v>28</v>
      </c>
      <c r="E97" s="8" t="s">
        <v>28</v>
      </c>
      <c r="F97" s="8" t="s">
        <v>28</v>
      </c>
      <c r="G97" s="8" t="s">
        <v>28</v>
      </c>
    </row>
    <row r="98" spans="3:9">
      <c r="C98" s="8" t="s">
        <v>28</v>
      </c>
      <c r="D98" s="8" t="s">
        <v>28</v>
      </c>
      <c r="E98" s="8" t="s">
        <v>28</v>
      </c>
      <c r="F98" s="8" t="s">
        <v>28</v>
      </c>
      <c r="G98" s="8" t="s">
        <v>28</v>
      </c>
    </row>
    <row r="99" spans="3:9">
      <c r="C99" s="8" t="s">
        <v>28</v>
      </c>
      <c r="D99" s="8" t="s">
        <v>28</v>
      </c>
      <c r="E99" s="8" t="s">
        <v>28</v>
      </c>
      <c r="F99" s="8" t="s">
        <v>28</v>
      </c>
      <c r="G99" s="8" t="s">
        <v>28</v>
      </c>
    </row>
    <row r="101" spans="3:9">
      <c r="H101" s="24" t="s">
        <v>64</v>
      </c>
      <c r="I101" s="25">
        <v>3544.62199467132</v>
      </c>
    </row>
    <row r="102" spans="3:9">
      <c r="H102" s="24" t="s">
        <v>65</v>
      </c>
      <c r="I102" s="25">
        <v>39.384688829681302</v>
      </c>
    </row>
  </sheetData>
  <mergeCells count="1">
    <mergeCell ref="B1:F2"/>
  </mergeCells>
  <pageMargins left="0" right="0" top="0.39409448818897641" bottom="0.39409448818897641" header="0" footer="0"/>
  <pageSetup paperSize="9" fitToWidth="0" fitToHeight="0" pageOrder="overThenDown" orientation="portrait" r:id="rId1"/>
  <headerFooter>
    <oddHeader>&amp;Z&amp;B</oddHeader>
    <oddFooter>&amp;ZSeite &amp;S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DCF</vt:lpstr>
      <vt:lpstr>KDG_Neu</vt:lpstr>
      <vt:lpstr>KDG Additional Information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</dc:creator>
  <cp:lastModifiedBy>Nicolas</cp:lastModifiedBy>
  <cp:revision>66</cp:revision>
  <dcterms:created xsi:type="dcterms:W3CDTF">2011-08-11T17:36:54Z</dcterms:created>
  <dcterms:modified xsi:type="dcterms:W3CDTF">2011-12-18T21:01:54Z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