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codeName="DieseArbeitsmappe" defaultThemeVersion="124226"/>
  <bookViews>
    <workbookView xWindow="240" yWindow="225" windowWidth="14805" windowHeight="7890"/>
  </bookViews>
  <sheets>
    <sheet name="monatliche Ausgaben" sheetId="11" r:id="rId1"/>
    <sheet name="Tagesgeld" sheetId="7" r:id="rId2"/>
    <sheet name="Vermögen-Umschichtung" sheetId="19" r:id="rId3"/>
    <sheet name="Portfolio" sheetId="6" r:id="rId4"/>
    <sheet name="Festzinsanlagen" sheetId="18" r:id="rId5"/>
    <sheet name="Dropdownlisten" sheetId="12" state="hidden" r:id="rId6"/>
    <sheet name="Fondsgebundene LV" sheetId="20" r:id="rId7"/>
    <sheet name="Erbschaft" sheetId="3" state="hidden" r:id="rId8"/>
  </sheets>
  <definedNames>
    <definedName name="_xlnm._FilterDatabase" localSheetId="4" hidden="1">Festzinsanlagen!$B$65:$B$71</definedName>
  </definedNames>
  <calcPr calcId="145621"/>
</workbook>
</file>

<file path=xl/calcChain.xml><?xml version="1.0" encoding="utf-8"?>
<calcChain xmlns="http://schemas.openxmlformats.org/spreadsheetml/2006/main">
  <c r="D54" i="6" l="1"/>
  <c r="D51" i="6"/>
  <c r="D49" i="6"/>
  <c r="D48" i="6"/>
  <c r="E30" i="19" l="1"/>
  <c r="J28" i="19"/>
  <c r="C15" i="7"/>
  <c r="C16" i="7"/>
  <c r="C17" i="7"/>
  <c r="E17" i="7" s="1"/>
  <c r="C18" i="7"/>
  <c r="C19" i="7"/>
  <c r="E19" i="7" s="1"/>
  <c r="C20" i="7"/>
  <c r="E20" i="7" s="1"/>
  <c r="C21" i="7"/>
  <c r="E21" i="7" s="1"/>
  <c r="C22" i="7"/>
  <c r="C23" i="7"/>
  <c r="E23" i="7" s="1"/>
  <c r="C24" i="7"/>
  <c r="E24" i="7" s="1"/>
  <c r="C25" i="7"/>
  <c r="E25" i="7" s="1"/>
  <c r="C14" i="7"/>
  <c r="E14" i="7" s="1"/>
  <c r="E15" i="7"/>
  <c r="E16" i="7"/>
  <c r="E18" i="7"/>
  <c r="E22" i="7"/>
  <c r="C5" i="7"/>
  <c r="C3" i="7"/>
  <c r="I26" i="11"/>
  <c r="C73" i="18"/>
  <c r="H74" i="19"/>
  <c r="G5" i="6"/>
  <c r="H5" i="6"/>
  <c r="G6" i="6"/>
  <c r="H6" i="6"/>
  <c r="G7" i="6"/>
  <c r="H7" i="6"/>
  <c r="G8" i="6"/>
  <c r="H8" i="6"/>
  <c r="G9" i="6"/>
  <c r="H9" i="6"/>
  <c r="G10" i="6"/>
  <c r="H10" i="6"/>
  <c r="G11" i="6"/>
  <c r="H11" i="6"/>
  <c r="G12" i="6"/>
  <c r="H12" i="6"/>
  <c r="G13" i="6"/>
  <c r="H13" i="6"/>
  <c r="C45" i="6"/>
  <c r="C46" i="6"/>
  <c r="C47" i="6"/>
  <c r="E80" i="19" l="1"/>
  <c r="G45" i="6"/>
  <c r="G46" i="6"/>
  <c r="G47" i="6"/>
  <c r="G26" i="6"/>
  <c r="G36" i="6"/>
  <c r="G21" i="6"/>
  <c r="G22" i="6"/>
  <c r="G23" i="6"/>
  <c r="G24" i="6"/>
  <c r="G25" i="6"/>
  <c r="G27" i="6"/>
  <c r="G28" i="6"/>
  <c r="G29" i="6"/>
  <c r="G30" i="6"/>
  <c r="G31" i="6"/>
  <c r="G32" i="6"/>
  <c r="G33" i="6"/>
  <c r="G34" i="6"/>
  <c r="G35" i="6"/>
  <c r="G37" i="6"/>
  <c r="G38" i="6"/>
  <c r="G39" i="6"/>
  <c r="H45" i="6"/>
  <c r="H46" i="6"/>
  <c r="H47" i="6"/>
  <c r="H21" i="6"/>
  <c r="H22" i="6"/>
  <c r="H23" i="6"/>
  <c r="H24" i="6"/>
  <c r="H25" i="6"/>
  <c r="H26" i="6"/>
  <c r="H27" i="6"/>
  <c r="H28" i="6"/>
  <c r="H29" i="6"/>
  <c r="H30" i="6"/>
  <c r="H31" i="6"/>
  <c r="H32" i="6"/>
  <c r="H33" i="6"/>
  <c r="H34" i="6"/>
  <c r="H35" i="6"/>
  <c r="H36" i="6"/>
  <c r="H37" i="6"/>
  <c r="H38" i="6"/>
  <c r="H39" i="6"/>
  <c r="I17" i="19" l="1"/>
  <c r="J17" i="19" s="1"/>
  <c r="I18" i="19"/>
  <c r="J18" i="19" s="1"/>
  <c r="I19" i="19"/>
  <c r="J19" i="19" s="1"/>
  <c r="J7" i="19"/>
  <c r="E74" i="19"/>
  <c r="H72" i="19"/>
  <c r="H55" i="19"/>
  <c r="E35" i="19"/>
  <c r="I35" i="19" s="1"/>
  <c r="J35" i="19" s="1"/>
  <c r="C44" i="3"/>
  <c r="E57" i="19" l="1"/>
  <c r="C55" i="3"/>
  <c r="E8" i="19"/>
  <c r="F63" i="19" l="1"/>
  <c r="C15" i="18"/>
  <c r="F57" i="19" l="1"/>
  <c r="F77" i="19" s="1"/>
  <c r="F28" i="19"/>
  <c r="F65" i="19"/>
  <c r="D7" i="6" s="1"/>
  <c r="F30" i="19"/>
  <c r="F76" i="19" s="1"/>
  <c r="F74" i="19"/>
  <c r="F78" i="19" s="1"/>
  <c r="F18" i="19"/>
  <c r="F64" i="19"/>
  <c r="D6" i="6" s="1"/>
  <c r="D5" i="6"/>
  <c r="F54" i="19"/>
  <c r="D39" i="6" s="1"/>
  <c r="F37" i="19"/>
  <c r="D22" i="6" s="1"/>
  <c r="F43" i="19"/>
  <c r="D28" i="6" s="1"/>
  <c r="F48" i="19"/>
  <c r="D33" i="6" s="1"/>
  <c r="F51" i="19"/>
  <c r="D36" i="6" s="1"/>
  <c r="F19" i="19"/>
  <c r="F8" i="19"/>
  <c r="F52" i="19"/>
  <c r="D37" i="6" s="1"/>
  <c r="F26" i="19"/>
  <c r="D47" i="6" s="1"/>
  <c r="F70" i="19"/>
  <c r="D12" i="6" s="1"/>
  <c r="F46" i="19"/>
  <c r="D31" i="6" s="1"/>
  <c r="F16" i="19"/>
  <c r="F71" i="19"/>
  <c r="D13" i="6" s="1"/>
  <c r="F17" i="19"/>
  <c r="F42" i="19"/>
  <c r="D27" i="6" s="1"/>
  <c r="F69" i="19"/>
  <c r="D11" i="6" s="1"/>
  <c r="F35" i="19"/>
  <c r="D20" i="6" s="1"/>
  <c r="F15" i="19"/>
  <c r="F7" i="19"/>
  <c r="F41" i="19"/>
  <c r="D26" i="6" s="1"/>
  <c r="F39" i="19"/>
  <c r="D24" i="6" s="1"/>
  <c r="F68" i="19"/>
  <c r="D10" i="6" s="1"/>
  <c r="F44" i="19"/>
  <c r="D29" i="6" s="1"/>
  <c r="F40" i="19"/>
  <c r="D25" i="6" s="1"/>
  <c r="F67" i="19"/>
  <c r="D9" i="6" s="1"/>
  <c r="F49" i="19"/>
  <c r="D34" i="6" s="1"/>
  <c r="F38" i="19"/>
  <c r="D23" i="6" s="1"/>
  <c r="F50" i="19"/>
  <c r="D35" i="6" s="1"/>
  <c r="F14" i="19"/>
  <c r="F53" i="19"/>
  <c r="D38" i="6" s="1"/>
  <c r="F66" i="19"/>
  <c r="D8" i="6" s="1"/>
  <c r="F24" i="19"/>
  <c r="D45" i="6" s="1"/>
  <c r="F47" i="19"/>
  <c r="D32" i="6" s="1"/>
  <c r="F36" i="19"/>
  <c r="D21" i="6" s="1"/>
  <c r="F25" i="19"/>
  <c r="D46" i="6" s="1"/>
  <c r="F45" i="19"/>
  <c r="D30" i="6" s="1"/>
  <c r="C16" i="18"/>
  <c r="C14" i="18"/>
  <c r="L8" i="11"/>
  <c r="G9" i="19"/>
  <c r="Q22" i="11"/>
  <c r="K22" i="11"/>
  <c r="E22" i="11"/>
  <c r="D16" i="6" l="1"/>
  <c r="C12" i="18"/>
  <c r="C13" i="18"/>
  <c r="I16" i="19" s="1"/>
  <c r="J16" i="19" s="1"/>
  <c r="C11" i="18"/>
  <c r="D50" i="6"/>
  <c r="F81" i="19"/>
  <c r="D41" i="6"/>
  <c r="C7" i="18"/>
  <c r="C10" i="7"/>
  <c r="B67" i="18"/>
  <c r="B66" i="18"/>
  <c r="B68" i="18"/>
  <c r="B71" i="18"/>
  <c r="B70" i="18"/>
  <c r="B69" i="18"/>
  <c r="E12" i="18" l="1"/>
  <c r="I15" i="19" s="1"/>
  <c r="J15" i="19" s="1"/>
  <c r="C17" i="18"/>
  <c r="J8" i="19"/>
  <c r="I48" i="19"/>
  <c r="I26" i="19"/>
  <c r="I44" i="19"/>
  <c r="I67" i="19"/>
  <c r="I24" i="19"/>
  <c r="I70" i="19"/>
  <c r="I49" i="19"/>
  <c r="H61" i="19"/>
  <c r="I46" i="19"/>
  <c r="I63" i="19"/>
  <c r="I40" i="19"/>
  <c r="I37" i="19"/>
  <c r="I54" i="19"/>
  <c r="I51" i="19"/>
  <c r="I50" i="19"/>
  <c r="I47" i="19"/>
  <c r="I25" i="19"/>
  <c r="I52" i="19"/>
  <c r="H23" i="19"/>
  <c r="I66" i="19"/>
  <c r="I42" i="19"/>
  <c r="I71" i="19"/>
  <c r="I39" i="19"/>
  <c r="I69" i="19"/>
  <c r="I53" i="19"/>
  <c r="I65" i="19"/>
  <c r="I43" i="19"/>
  <c r="I36" i="19"/>
  <c r="I45" i="19"/>
  <c r="H13" i="19"/>
  <c r="C2" i="18" s="1"/>
  <c r="D9" i="18" s="1"/>
  <c r="I41" i="19"/>
  <c r="I68" i="19"/>
  <c r="I38" i="19"/>
  <c r="I64" i="19"/>
  <c r="H34" i="19"/>
  <c r="I14" i="19"/>
  <c r="D47" i="18"/>
  <c r="E48" i="18" s="1"/>
  <c r="E49" i="18" s="1"/>
  <c r="E50" i="18" s="1"/>
  <c r="E51" i="18" s="1"/>
  <c r="E52" i="18" s="1"/>
  <c r="D40" i="18"/>
  <c r="E41" i="18" s="1"/>
  <c r="E42" i="18" s="1"/>
  <c r="E43" i="18" s="1"/>
  <c r="E44" i="18" s="1"/>
  <c r="D55" i="18"/>
  <c r="E17" i="18" l="1"/>
  <c r="J38" i="19"/>
  <c r="E23" i="6"/>
  <c r="J53" i="19"/>
  <c r="E38" i="6"/>
  <c r="J42" i="19"/>
  <c r="E27" i="6"/>
  <c r="J54" i="19"/>
  <c r="E39" i="6"/>
  <c r="J46" i="19"/>
  <c r="E31" i="6"/>
  <c r="J24" i="19"/>
  <c r="E45" i="6"/>
  <c r="J48" i="19"/>
  <c r="E33" i="6"/>
  <c r="J68" i="19"/>
  <c r="E10" i="6"/>
  <c r="J36" i="19"/>
  <c r="E21" i="6"/>
  <c r="J69" i="19"/>
  <c r="E11" i="6"/>
  <c r="J47" i="19"/>
  <c r="E32" i="6"/>
  <c r="J37" i="19"/>
  <c r="E22" i="6"/>
  <c r="J67" i="19"/>
  <c r="E9" i="6"/>
  <c r="J41" i="19"/>
  <c r="E26" i="6"/>
  <c r="J43" i="19"/>
  <c r="E28" i="6"/>
  <c r="J39" i="19"/>
  <c r="E24" i="6"/>
  <c r="J50" i="19"/>
  <c r="E35" i="6"/>
  <c r="J40" i="19"/>
  <c r="E25" i="6"/>
  <c r="J49" i="19"/>
  <c r="E34" i="6"/>
  <c r="J44" i="19"/>
  <c r="E29" i="6"/>
  <c r="J64" i="19"/>
  <c r="E6" i="6"/>
  <c r="J65" i="19"/>
  <c r="E7" i="6"/>
  <c r="J71" i="19"/>
  <c r="E13" i="6"/>
  <c r="J52" i="19"/>
  <c r="E37" i="6"/>
  <c r="J51" i="19"/>
  <c r="E36" i="6"/>
  <c r="J63" i="19"/>
  <c r="E5" i="6"/>
  <c r="J70" i="19"/>
  <c r="E12" i="6"/>
  <c r="J26" i="19"/>
  <c r="E47" i="6"/>
  <c r="J45" i="19"/>
  <c r="E30" i="6"/>
  <c r="J25" i="19"/>
  <c r="E46" i="6"/>
  <c r="J66" i="19"/>
  <c r="E8" i="6"/>
  <c r="J14" i="19"/>
  <c r="E56" i="18"/>
  <c r="E57" i="18" s="1"/>
  <c r="E58" i="18" s="1"/>
  <c r="E59" i="18" s="1"/>
  <c r="E60" i="18" s="1"/>
  <c r="E61" i="18" s="1"/>
  <c r="F61" i="18" s="1"/>
  <c r="D71" i="18" s="1"/>
  <c r="F44" i="18"/>
  <c r="D69" i="18" s="1"/>
  <c r="F52" i="18"/>
  <c r="D70" i="18" s="1"/>
  <c r="J74" i="19" l="1"/>
  <c r="J57" i="19"/>
  <c r="J30" i="19"/>
  <c r="B6" i="3"/>
  <c r="C43" i="3" s="1"/>
  <c r="N39" i="19" l="1"/>
  <c r="J80" i="19"/>
  <c r="L30" i="19" s="1"/>
  <c r="K24" i="19" l="1"/>
  <c r="F50" i="6"/>
  <c r="K76" i="19"/>
  <c r="K15" i="19"/>
  <c r="K47" i="19"/>
  <c r="F32" i="6" s="1"/>
  <c r="K54" i="19"/>
  <c r="F39" i="6" s="1"/>
  <c r="K68" i="19"/>
  <c r="F10" i="6" s="1"/>
  <c r="K36" i="19"/>
  <c r="F21" i="6" s="1"/>
  <c r="K7" i="19"/>
  <c r="K46" i="19"/>
  <c r="F31" i="6" s="1"/>
  <c r="K40" i="19"/>
  <c r="F25" i="6" s="1"/>
  <c r="K53" i="19"/>
  <c r="F38" i="6" s="1"/>
  <c r="K14" i="19"/>
  <c r="K39" i="19"/>
  <c r="F24" i="6" s="1"/>
  <c r="K45" i="19"/>
  <c r="F30" i="6" s="1"/>
  <c r="K8" i="19"/>
  <c r="K38" i="19"/>
  <c r="F23" i="6" s="1"/>
  <c r="K52" i="19"/>
  <c r="F37" i="6" s="1"/>
  <c r="K67" i="19"/>
  <c r="F9" i="6" s="1"/>
  <c r="K37" i="19"/>
  <c r="F22" i="6" s="1"/>
  <c r="K16" i="19"/>
  <c r="K66" i="19"/>
  <c r="F8" i="6" s="1"/>
  <c r="K44" i="19"/>
  <c r="F29" i="6" s="1"/>
  <c r="L57" i="19"/>
  <c r="K77" i="19" s="1"/>
  <c r="L74" i="19"/>
  <c r="K78" i="19" s="1"/>
  <c r="K25" i="19"/>
  <c r="K65" i="19"/>
  <c r="F7" i="6" s="1"/>
  <c r="K51" i="19"/>
  <c r="F36" i="6" s="1"/>
  <c r="K28" i="19"/>
  <c r="F48" i="6" s="1"/>
  <c r="K63" i="19"/>
  <c r="F5" i="6" s="1"/>
  <c r="K50" i="19"/>
  <c r="F35" i="6" s="1"/>
  <c r="K18" i="19"/>
  <c r="K26" i="19"/>
  <c r="K49" i="19"/>
  <c r="F34" i="6" s="1"/>
  <c r="K64" i="19"/>
  <c r="F6" i="6" s="1"/>
  <c r="K19" i="19"/>
  <c r="K42" i="19"/>
  <c r="F27" i="6" s="1"/>
  <c r="K35" i="19"/>
  <c r="F20" i="6" s="1"/>
  <c r="K71" i="19"/>
  <c r="F13" i="6" s="1"/>
  <c r="K41" i="19"/>
  <c r="F26" i="6" s="1"/>
  <c r="K17" i="19"/>
  <c r="K70" i="19"/>
  <c r="F12" i="6" s="1"/>
  <c r="K48" i="19"/>
  <c r="F33" i="6" s="1"/>
  <c r="K43" i="19"/>
  <c r="F28" i="6" s="1"/>
  <c r="K69" i="19"/>
  <c r="F11" i="6" s="1"/>
  <c r="B23" i="3"/>
  <c r="B21" i="3"/>
  <c r="E7" i="11"/>
  <c r="F49" i="6" l="1"/>
  <c r="F51" i="6" s="1"/>
  <c r="F41" i="6"/>
  <c r="F16" i="6"/>
  <c r="L81" i="19"/>
  <c r="B22" i="3"/>
  <c r="C50" i="3"/>
  <c r="F54" i="6" l="1"/>
  <c r="C41" i="3"/>
  <c r="B28" i="3"/>
  <c r="B29" i="3" s="1"/>
  <c r="B31" i="3" s="1"/>
  <c r="B32" i="3" s="1"/>
  <c r="B35" i="3" s="1"/>
  <c r="C40" i="3" l="1"/>
  <c r="C42" i="3" s="1"/>
  <c r="C51" i="3" l="1"/>
  <c r="C53" i="3" s="1"/>
  <c r="C59" i="3" s="1"/>
  <c r="C61" i="3" l="1"/>
  <c r="B9" i="7" l="1"/>
  <c r="B14" i="7" l="1"/>
  <c r="G14" i="7"/>
  <c r="B15" i="7" l="1"/>
  <c r="B16" i="7" s="1"/>
  <c r="B17" i="7" s="1"/>
  <c r="B18" i="7" s="1"/>
  <c r="B19" i="7" s="1"/>
  <c r="B20" i="7" s="1"/>
  <c r="B21" i="7" s="1"/>
  <c r="B22" i="7" s="1"/>
  <c r="B23" i="7" s="1"/>
  <c r="B24" i="7" s="1"/>
  <c r="B25" i="7" s="1"/>
  <c r="G15" i="7"/>
  <c r="G16" i="7" l="1"/>
  <c r="G17" i="7"/>
  <c r="G18" i="7" l="1"/>
  <c r="G19" i="7" l="1"/>
  <c r="G20" i="7" l="1"/>
  <c r="G21" i="7" l="1"/>
  <c r="G22" i="7" l="1"/>
  <c r="G23" i="7" l="1"/>
  <c r="G24" i="7" l="1"/>
  <c r="G25" i="7" l="1"/>
  <c r="G28" i="7" s="1"/>
  <c r="G31" i="7" s="1"/>
  <c r="B27" i="7"/>
  <c r="D21" i="18"/>
  <c r="E22" i="18" s="1"/>
  <c r="F22" i="18" s="1"/>
  <c r="D66" i="18" s="1"/>
  <c r="D26" i="18"/>
  <c r="E27" i="18" s="1"/>
  <c r="E28" i="18" s="1"/>
  <c r="F28" i="18" s="1"/>
  <c r="D67" i="18" s="1"/>
  <c r="D33" i="18"/>
  <c r="E34" i="18" s="1"/>
  <c r="E35" i="18" s="1"/>
  <c r="E36" i="18" s="1"/>
  <c r="F36" i="18" s="1"/>
  <c r="D68" i="18" s="1"/>
</calcChain>
</file>

<file path=xl/comments1.xml><?xml version="1.0" encoding="utf-8"?>
<comments xmlns="http://schemas.openxmlformats.org/spreadsheetml/2006/main">
  <authors>
    <author>Autor</author>
  </authors>
  <commentList>
    <comment ref="G6" authorId="0">
      <text>
        <r>
          <rPr>
            <b/>
            <sz val="9"/>
            <color indexed="81"/>
            <rFont val="Tahoma"/>
            <family val="2"/>
          </rPr>
          <t>Autor:</t>
        </r>
        <r>
          <rPr>
            <sz val="9"/>
            <color indexed="81"/>
            <rFont val="Tahoma"/>
            <family val="2"/>
          </rPr>
          <t xml:space="preserve">
TG minus Finanzbedarf p.a.</t>
        </r>
      </text>
    </comment>
    <comment ref="A8" authorId="0">
      <text>
        <r>
          <rPr>
            <b/>
            <sz val="9"/>
            <color indexed="81"/>
            <rFont val="Tahoma"/>
            <charset val="1"/>
          </rPr>
          <t>Autor:</t>
        </r>
        <r>
          <rPr>
            <sz val="9"/>
            <color indexed="81"/>
            <rFont val="Tahoma"/>
            <charset val="1"/>
          </rPr>
          <t xml:space="preserve">
zur TAGESGELDPLANUNG
klicken</t>
        </r>
      </text>
    </comment>
    <comment ref="H13" authorId="0">
      <text>
        <r>
          <rPr>
            <b/>
            <sz val="9"/>
            <color indexed="81"/>
            <rFont val="Tahoma"/>
            <family val="2"/>
          </rPr>
          <t>Autor:</t>
        </r>
        <r>
          <rPr>
            <sz val="9"/>
            <color indexed="81"/>
            <rFont val="Tahoma"/>
            <family val="2"/>
          </rPr>
          <t xml:space="preserve">
Klicken, kurzer manueller Teil</t>
        </r>
      </text>
    </comment>
  </commentList>
</comments>
</file>

<file path=xl/comments2.xml><?xml version="1.0" encoding="utf-8"?>
<comments xmlns="http://schemas.openxmlformats.org/spreadsheetml/2006/main">
  <authors>
    <author>Autor</author>
  </authors>
  <commentList>
    <comment ref="D9" authorId="0">
      <text>
        <r>
          <rPr>
            <b/>
            <sz val="9"/>
            <color indexed="81"/>
            <rFont val="Tahoma"/>
            <family val="2"/>
          </rPr>
          <t>Autor:</t>
        </r>
        <r>
          <rPr>
            <sz val="9"/>
            <color indexed="81"/>
            <rFont val="Tahoma"/>
            <family val="2"/>
          </rPr>
          <t xml:space="preserve">
Zuerst alle grünen Haken löschen und die Werte in der Spalte
"ANLAGEBETRAG MANUELL BERECHNEN" löschen
solange Haken hinzufügen ("a"), bis oben das Feld ROT wird und den letzten Haken wieder löschen.
Die SUMME (rot)+der GRÜNE "Restbetrag" werden addiert und in die rechte Spalte MANUELL eingetragen.
Wenn alles passt, dann wird die untere INVESTITIONSSUMME grün.</t>
        </r>
      </text>
    </comment>
    <comment ref="E17" authorId="0">
      <text>
        <r>
          <rPr>
            <b/>
            <sz val="9"/>
            <color indexed="81"/>
            <rFont val="Tahoma"/>
            <family val="2"/>
          </rPr>
          <t>Autor:</t>
        </r>
        <r>
          <rPr>
            <sz val="9"/>
            <color indexed="81"/>
            <rFont val="Tahoma"/>
            <family val="2"/>
          </rPr>
          <t xml:space="preserve">
wenn zellen grün werden, dann KLICKEN</t>
        </r>
      </text>
    </comment>
  </commentList>
</comments>
</file>

<file path=xl/sharedStrings.xml><?xml version="1.0" encoding="utf-8"?>
<sst xmlns="http://schemas.openxmlformats.org/spreadsheetml/2006/main" count="564" uniqueCount="312">
  <si>
    <t>Assetklasse</t>
  </si>
  <si>
    <t>ISIN</t>
  </si>
  <si>
    <t>ETF</t>
  </si>
  <si>
    <t>KAG</t>
  </si>
  <si>
    <t>Thes.</t>
  </si>
  <si>
    <t>TER</t>
  </si>
  <si>
    <t>SWAP</t>
  </si>
  <si>
    <t>RK 3</t>
  </si>
  <si>
    <t>DE0002635307</t>
  </si>
  <si>
    <t>LU0392495023</t>
  </si>
  <si>
    <t>LU0292107645</t>
  </si>
  <si>
    <t>ComStage ETF MSCI Pacific TRN I</t>
  </si>
  <si>
    <t>Link</t>
  </si>
  <si>
    <t>HSBC S&amp;P 500 ETF</t>
  </si>
  <si>
    <t>DE000A1C22M3</t>
  </si>
  <si>
    <t>Nein</t>
  </si>
  <si>
    <t>iShares STOXX Europe 600</t>
  </si>
  <si>
    <t>db x-trackers MSCI Emerging Markets TRN Index ETF</t>
  </si>
  <si>
    <t>ComStage ETF MSCI Emerging Markets TRN</t>
  </si>
  <si>
    <t>LU0635178014</t>
  </si>
  <si>
    <t>aus.</t>
  </si>
  <si>
    <t>thes.</t>
  </si>
  <si>
    <t>Ja</t>
  </si>
  <si>
    <t>Frankreich</t>
  </si>
  <si>
    <t>Bemerkungen</t>
  </si>
  <si>
    <t>rk1</t>
  </si>
  <si>
    <t>iShares eb.rexx (R) Government Germany 5.5-10.5 (DE)</t>
  </si>
  <si>
    <t>DE0006289499</t>
  </si>
  <si>
    <t>db x-trackers II Emerg. Markets Liquid Eurobond Index ETF 1C</t>
  </si>
  <si>
    <t>LU0321462953</t>
  </si>
  <si>
    <t>RK3</t>
  </si>
  <si>
    <t>RK2</t>
  </si>
  <si>
    <t>RK1</t>
  </si>
  <si>
    <t>ja</t>
  </si>
  <si>
    <t>iShares Barclays Capital Emerging Market Local Govt Bond</t>
  </si>
  <si>
    <t>DE000A1JB4Q0</t>
  </si>
  <si>
    <t>LU0690964092</t>
  </si>
  <si>
    <t>db x-trackers II GLOBAL SOVEREIGN INDEX ETF 1D</t>
  </si>
  <si>
    <t>LU0378818131</t>
  </si>
  <si>
    <t>DE000A0RFFT0</t>
  </si>
  <si>
    <t>iShares JPMorgan USD Emerging Markets Bond Fund (DE)</t>
  </si>
  <si>
    <t>Quelle</t>
  </si>
  <si>
    <t>DE000ETFL177</t>
  </si>
  <si>
    <t>ETFlab Deutsche Börse EUROGOV ® Germany</t>
  </si>
  <si>
    <t>Domizil</t>
  </si>
  <si>
    <t>Irland</t>
  </si>
  <si>
    <t>BRD</t>
  </si>
  <si>
    <t>LUX</t>
  </si>
  <si>
    <t>Fondsweb - Link</t>
  </si>
  <si>
    <t>db x-trackers II GLOBAL SOVEREIGN INDEX ETF 1C</t>
  </si>
  <si>
    <t>Intervall</t>
  </si>
  <si>
    <t>halbj.</t>
  </si>
  <si>
    <t>viertelj.</t>
  </si>
  <si>
    <t>jährl.</t>
  </si>
  <si>
    <t>monatl.</t>
  </si>
  <si>
    <t>Teilthesaurierung</t>
  </si>
  <si>
    <t>ausschüttungsgleiche Erträge</t>
  </si>
  <si>
    <t>FR0010820258</t>
  </si>
  <si>
    <t>LYXOR ETF EUROMTS AAA GOVERNMENT BOND</t>
  </si>
  <si>
    <t>FR0010930636</t>
  </si>
  <si>
    <t>AMUNDI ETF AAA GOVT BOND EUROMTS</t>
  </si>
  <si>
    <t>jähr.</t>
  </si>
  <si>
    <t>Noch auf der Suche nach einer Bank</t>
  </si>
  <si>
    <t>FR0010892224</t>
  </si>
  <si>
    <t>LU0488316133</t>
  </si>
  <si>
    <t>ComStage ETF S&amp;P 500 I</t>
  </si>
  <si>
    <t>AMUNDI ETF S&amp;P 500</t>
  </si>
  <si>
    <t>LU0328475792</t>
  </si>
  <si>
    <t>db x-trackers DJ STOXX ® 600 ETF 1C</t>
  </si>
  <si>
    <t>LU0378434582</t>
  </si>
  <si>
    <t>ComStage ETF Dow Jones STOXX ® 600 TR I</t>
  </si>
  <si>
    <t>Giro:</t>
  </si>
  <si>
    <t>Eingezahlte Nominalbeträge:</t>
  </si>
  <si>
    <t>Summe der eingezahlten Beträge:</t>
  </si>
  <si>
    <t>sonstiges Vermögen:</t>
  </si>
  <si>
    <t>Erbschaftssteuersatz nach FB ca.:</t>
  </si>
  <si>
    <t>Kouponsgewinne aus Differenz (vor Steuern):</t>
  </si>
  <si>
    <t>LV (steuerfrei):</t>
  </si>
  <si>
    <t>Freibetrag pro Kind</t>
  </si>
  <si>
    <t>Gesamtvermögen zu jew. 1/3:</t>
  </si>
  <si>
    <t>zu versteuernder Rest pro Kind</t>
  </si>
  <si>
    <t>Erbschaftssteuer pro Kind:</t>
  </si>
  <si>
    <t>Erbschaftssteuer GESAMT:</t>
  </si>
  <si>
    <t>Erbscheine ca.:</t>
  </si>
  <si>
    <t>Schätzwert vom Nachlassgericht</t>
  </si>
  <si>
    <t>soll vom Cash-Konto entnommen werden</t>
  </si>
  <si>
    <t>Immobilienverkauf</t>
  </si>
  <si>
    <t>Schiffsanteile</t>
  </si>
  <si>
    <t>noch nicht bekannt</t>
  </si>
  <si>
    <t>Steuervergünstigung (Günstigerprüfung, Nichanlagenversteuerung sowie Steuerrückzählungen nicht mit berücksichtigt)</t>
  </si>
  <si>
    <t>Giro</t>
  </si>
  <si>
    <t>ausgezahlte LV (steuerfrei)</t>
  </si>
  <si>
    <t>Cash-Konto nach Abzug der AUSGABEN</t>
  </si>
  <si>
    <t xml:space="preserve"> --&gt; im Laufe des Jahres 2012 zur Verfügung + Anteile der im Jahr 2012 fällig werdenden Depotwerte</t>
  </si>
  <si>
    <t>Zinssatz p.a.</t>
  </si>
  <si>
    <t>Übersicht Tagesgeldkonto</t>
  </si>
  <si>
    <t>laufende Monate</t>
  </si>
  <si>
    <t>Betrag</t>
  </si>
  <si>
    <t>Einmaleinzahlung auf TG-Konto</t>
  </si>
  <si>
    <t>angelegter Betrag</t>
  </si>
  <si>
    <t>Zinsatz p.a.</t>
  </si>
  <si>
    <t>Gewinn vor Steuern</t>
  </si>
  <si>
    <t>mehr Amerika</t>
  </si>
  <si>
    <t>haupts.Eruoland</t>
  </si>
  <si>
    <t>DE0002511243</t>
  </si>
  <si>
    <t>iShares Markit iBoxx Euro Corporate Bond</t>
  </si>
  <si>
    <t>DE000ETFL375</t>
  </si>
  <si>
    <t>ETFlab iBoxx EUR Liquid Corporates Diversified</t>
  </si>
  <si>
    <t>Spanien fehlt</t>
  </si>
  <si>
    <t>IE00B66F4759</t>
  </si>
  <si>
    <t>iShares Markit iBoxx Euro High Yield</t>
  </si>
  <si>
    <t>in euro</t>
  </si>
  <si>
    <t>DE000A0H0785</t>
  </si>
  <si>
    <t>iShares Markit iBoxx ® EUR Liquid Sovereigns Capped 1.5-10.5</t>
  </si>
  <si>
    <t>Monatliche Ausgaben</t>
  </si>
  <si>
    <t>Position</t>
  </si>
  <si>
    <t>1.</t>
  </si>
  <si>
    <t>2.</t>
  </si>
  <si>
    <t>ZURICH Fondsgebundene LV</t>
  </si>
  <si>
    <t>3.</t>
  </si>
  <si>
    <t>4.</t>
  </si>
  <si>
    <t>6.</t>
  </si>
  <si>
    <t>SUMME:</t>
  </si>
  <si>
    <t>DKV Krankenversicherung</t>
  </si>
  <si>
    <t>1a.</t>
  </si>
  <si>
    <t>Hundefutter</t>
  </si>
  <si>
    <t>TG Wahl</t>
  </si>
  <si>
    <t>quartalsweise</t>
  </si>
  <si>
    <t>monatlich</t>
  </si>
  <si>
    <t>mögliche Steuerrückzahlungen nicht berücksichtigt</t>
  </si>
  <si>
    <t xml:space="preserve"> --&gt; Tabelle (gilt bis 600.000€)</t>
  </si>
  <si>
    <t>Erbschaft</t>
  </si>
  <si>
    <t>Tagesgeld</t>
  </si>
  <si>
    <t>Erbschaftssteuern / Erbscheine</t>
  </si>
  <si>
    <t>Benzin</t>
  </si>
  <si>
    <t>DWS - ARERO -Der Weltfonds</t>
  </si>
  <si>
    <t>LU0360863863</t>
  </si>
  <si>
    <t>Developed Markets - Americas -1</t>
  </si>
  <si>
    <t>Developed Markets - Americas - 2</t>
  </si>
  <si>
    <t>Developed Markets - Americas - 3</t>
  </si>
  <si>
    <t>Developed Markets - Europe -1</t>
  </si>
  <si>
    <t>Developed Markets - Europe -2</t>
  </si>
  <si>
    <t>Developed Markets - Europe -3</t>
  </si>
  <si>
    <t>Developed Markets - Pacific -1</t>
  </si>
  <si>
    <t>Emerging Markets - 1</t>
  </si>
  <si>
    <t>Emerging Markets - 2</t>
  </si>
  <si>
    <t>UNTERNEHMENSANLEIHEN - 1</t>
  </si>
  <si>
    <t>UNTERNEHMENSANLEIHEN - 2</t>
  </si>
  <si>
    <t>UNTERNEHMENSANLEIHEN- - 3</t>
  </si>
  <si>
    <t>STATTSANLEIHEN -  Emerging Markets - 1</t>
  </si>
  <si>
    <t>STATTSANLEIHEN -  Emerging Markets - 2</t>
  </si>
  <si>
    <t>STATTSANLEIHEN -  Emerging Markets - 3</t>
  </si>
  <si>
    <t>STAATSANLEIHEN - EUROPA - 1</t>
  </si>
  <si>
    <t>STAATSANLEIHEN - EUROPA - 2</t>
  </si>
  <si>
    <t>STAATSANLEIHEN - EUROPA - 3</t>
  </si>
  <si>
    <t>STAATSANLEIHEN - BRD - 1</t>
  </si>
  <si>
    <t>STAATSANLEIHEN - BRD - 2</t>
  </si>
  <si>
    <t>STAATSANLEIHEN - Welt - 1</t>
  </si>
  <si>
    <t>STAATSANLEIHEN - Welt - 2</t>
  </si>
  <si>
    <t>Mischfonds / Rentenfonds - 1</t>
  </si>
  <si>
    <t>Mischfonds / Rentenfonds - 2</t>
  </si>
  <si>
    <t>Mischfonds / Rentenfonds - 3</t>
  </si>
  <si>
    <t>LU0397221945</t>
  </si>
  <si>
    <t>db x-trackers Portfolio Total Return Index ETF 1C</t>
  </si>
  <si>
    <t>RK 1</t>
  </si>
  <si>
    <t>AN</t>
  </si>
  <si>
    <t>AUS</t>
  </si>
  <si>
    <t>Erbanteil Gesamt</t>
  </si>
  <si>
    <t>Steuern, Nachlassgericht</t>
  </si>
  <si>
    <t>Gesamtvermögen (31.12.2011):</t>
  </si>
  <si>
    <t>Depotgesamtwert (Auszug: 31.12.2011):</t>
  </si>
  <si>
    <t>Nominalbeträge (werden nicht versteuert)???</t>
  </si>
  <si>
    <t>Mischfonds / Rentenfonds - 4</t>
  </si>
  <si>
    <t>LU0137341789</t>
  </si>
  <si>
    <t>StarCapital - Argos A-EUR</t>
  </si>
  <si>
    <t>Unternehmensanleihen,aktiv</t>
  </si>
  <si>
    <t>Depot</t>
  </si>
  <si>
    <t>Summe</t>
  </si>
  <si>
    <t>Mischfonds / Rentenfonds - 5</t>
  </si>
  <si>
    <t>Mischfonds / Rentenfonds - 6</t>
  </si>
  <si>
    <t>Ethna-GLOBAL Defensiv A</t>
  </si>
  <si>
    <t>Gebühren rel. Hoch, Perf.Fee, Risikokl. 2</t>
  </si>
  <si>
    <t>LU0279509904</t>
  </si>
  <si>
    <t>StarCap SICAV - Winbonds + A</t>
  </si>
  <si>
    <t>LU0256567925</t>
  </si>
  <si>
    <t>Risikokl. 2, Gebühren, Perf. Fee</t>
  </si>
  <si>
    <t>Sparbriefvergleich</t>
  </si>
  <si>
    <t>3 Jahre</t>
  </si>
  <si>
    <t>6 Jahre</t>
  </si>
  <si>
    <t>Steuersatz</t>
  </si>
  <si>
    <t>1 Jahr</t>
  </si>
  <si>
    <t>2 Jahre</t>
  </si>
  <si>
    <t>4 Jahre</t>
  </si>
  <si>
    <t>5 Jahre</t>
  </si>
  <si>
    <t>Santander</t>
  </si>
  <si>
    <t>Festzinsanlagen</t>
  </si>
  <si>
    <t>Tagesgeldkonto - Jahresbedarf PLUS Reserve</t>
  </si>
  <si>
    <t>Zinsen am Monatsende</t>
  </si>
  <si>
    <t>Eingerichteter Freibetrag</t>
  </si>
  <si>
    <t>Steuern</t>
  </si>
  <si>
    <t>Endbetrag</t>
  </si>
  <si>
    <t>Zur verfügender Freibetrag</t>
  </si>
  <si>
    <t>IKB</t>
  </si>
  <si>
    <t>Banken</t>
  </si>
  <si>
    <t>zu vergebener Freibetrag</t>
  </si>
  <si>
    <t>Stand:</t>
  </si>
  <si>
    <t>Girokonto</t>
  </si>
  <si>
    <t>durchschnittliche, jährliche Summe aus depot 2012-2019</t>
  </si>
  <si>
    <t>Liquides Vermögen:</t>
  </si>
  <si>
    <t>SUMME</t>
  </si>
  <si>
    <t>liquides Vermögen:</t>
  </si>
  <si>
    <t>Depotanteil (nach Abge. Steuer)):</t>
  </si>
  <si>
    <t>Kouponzahlungen nach Abg. Steuer</t>
  </si>
  <si>
    <t>Abgeltungssteuersatz  ca.</t>
  </si>
  <si>
    <t>Kouponzahlungen</t>
  </si>
  <si>
    <t>Vodafone ca.</t>
  </si>
  <si>
    <t>Mein Anteil:</t>
  </si>
  <si>
    <t>Jahresüberschuss:</t>
  </si>
  <si>
    <t>Gewinn vor
Steuern</t>
  </si>
  <si>
    <t>SKY</t>
  </si>
  <si>
    <t>Private Haftpflicht</t>
  </si>
  <si>
    <t>AXA - Auto Versicherung</t>
  </si>
  <si>
    <t>5.</t>
  </si>
  <si>
    <t>ADAC</t>
  </si>
  <si>
    <t>Hundehaftpflicht</t>
  </si>
  <si>
    <t>Hundesteuern</t>
  </si>
  <si>
    <t>Termingebundene jährliche Ausgaben</t>
  </si>
  <si>
    <t>5a.</t>
  </si>
  <si>
    <t>Krankheitsfall</t>
  </si>
  <si>
    <t>KFZ - Reperaturen</t>
  </si>
  <si>
    <t>Tierarzt</t>
  </si>
  <si>
    <t>monatliche Fixkosten:</t>
  </si>
  <si>
    <t>DKV Selbstbeteiligung (mon.)
330€ p.a.</t>
  </si>
  <si>
    <t>Jährliche Bedarfsrücklagen</t>
  </si>
  <si>
    <t>Durchschnittliche monatliche Gesamtbelastung:</t>
  </si>
  <si>
    <t>Monatliche Reserve für mich</t>
  </si>
  <si>
    <t>Januar</t>
  </si>
  <si>
    <t>Februar</t>
  </si>
  <si>
    <t>März</t>
  </si>
  <si>
    <t>April</t>
  </si>
  <si>
    <t>Mai</t>
  </si>
  <si>
    <t>Juni</t>
  </si>
  <si>
    <t>Juli</t>
  </si>
  <si>
    <t>August</t>
  </si>
  <si>
    <t>September</t>
  </si>
  <si>
    <t>Oktober</t>
  </si>
  <si>
    <t>November</t>
  </si>
  <si>
    <t>Dezember</t>
  </si>
  <si>
    <t>Gesamtbedarf für den Monat</t>
  </si>
  <si>
    <t>Zinsen p.a.Gesamt</t>
  </si>
  <si>
    <t>Die auslaufenden Sparbriefe sollen den Jahresbedarf am TG decken</t>
  </si>
  <si>
    <t>Anlagezeitraum (Jahre)</t>
  </si>
  <si>
    <t>übriger FB:</t>
  </si>
  <si>
    <t>Wählen "a"</t>
  </si>
  <si>
    <t>6Jahre</t>
  </si>
  <si>
    <t>Laufzeiten</t>
  </si>
  <si>
    <t>Anlagebatrag manuell berechnen:</t>
  </si>
  <si>
    <t>Weitere RK - 1 Anlagen</t>
  </si>
  <si>
    <t>noch keine geplant…</t>
  </si>
  <si>
    <t>a</t>
  </si>
  <si>
    <t>ERBDEPOT</t>
  </si>
  <si>
    <t>Liquidität</t>
  </si>
  <si>
    <t>zum VerteilenGESAMT RK1:</t>
  </si>
  <si>
    <t>Sonstige 1</t>
  </si>
  <si>
    <t>Sonstige 2</t>
  </si>
  <si>
    <t>Sonstige 3</t>
  </si>
  <si>
    <t>Nach Umschichtung</t>
  </si>
  <si>
    <t>Anteil am Gesamtvermögen</t>
  </si>
  <si>
    <t>Umschichtvolumen</t>
  </si>
  <si>
    <r>
      <t xml:space="preserve">Verteilung </t>
    </r>
    <r>
      <rPr>
        <b/>
        <i/>
        <sz val="10"/>
        <color theme="1"/>
        <rFont val="Calibri"/>
        <family val="2"/>
        <scheme val="minor"/>
      </rPr>
      <t>(Umschichtsumme =100%)</t>
    </r>
  </si>
  <si>
    <t>Gesamt RK1</t>
  </si>
  <si>
    <t>zur Kontrolle:</t>
  </si>
  <si>
    <t>NUR ÜBERTRAG
hier wird nichts eingezahlt</t>
  </si>
  <si>
    <t>Gesamt RK2</t>
  </si>
  <si>
    <t>Gesamt RK3</t>
  </si>
  <si>
    <t>Depotwert GESAMT</t>
  </si>
  <si>
    <t>Sonstige</t>
  </si>
  <si>
    <t>stand:</t>
  </si>
  <si>
    <t>Kontostand</t>
  </si>
  <si>
    <t>Fondsgebundene LV</t>
  </si>
  <si>
    <t>Umschichtsummen:</t>
  </si>
  <si>
    <t>Gesamt nach Umschichtung</t>
  </si>
  <si>
    <t>[%]</t>
  </si>
  <si>
    <t>[€]</t>
  </si>
  <si>
    <t xml:space="preserve"> </t>
  </si>
  <si>
    <t>IST [%]</t>
  </si>
  <si>
    <t>zu investierender Betrag [€]</t>
  </si>
  <si>
    <t>TG-Konto:</t>
  </si>
  <si>
    <t>Festgelder</t>
  </si>
  <si>
    <t>Summe RK1:</t>
  </si>
  <si>
    <t>Summe RK2:</t>
  </si>
  <si>
    <t>Summe RK3:</t>
  </si>
  <si>
    <t>SOLL [%]</t>
  </si>
  <si>
    <t>der Umschichtsumme verteilt</t>
  </si>
  <si>
    <t>NUR in diesen FELDERN kann auf folgenden Arbeitsblättern etwas eingetragen werden.</t>
  </si>
  <si>
    <t>z.b. :Santander 2% p.a., mon. Zinsintervall ???</t>
  </si>
  <si>
    <t>Annahme: Es ist so geplant, dass jedes Jahr ein Sparvetrag ausläuft, der Gewinn wird mit dem FB verglichen, der die jeweiligen Kreditinstitute verteilt ist.</t>
  </si>
  <si>
    <t>verbleibend:</t>
  </si>
  <si>
    <t>Monatliche FIXKOSTEN</t>
  </si>
  <si>
    <t>Finanzbedarf p.a.
INKL. Termingeb. Gelder und Rücklagen</t>
  </si>
  <si>
    <t>monatliche Fixkosten+mon. Reserve</t>
  </si>
  <si>
    <t>Bemerkung zum Betrag</t>
  </si>
  <si>
    <t>Auszahlung der nicht verw. Rücklagen</t>
  </si>
  <si>
    <t>EINGABE:
Terminzahlungen und Rücklagenbedarf</t>
  </si>
  <si>
    <t>Weiter</t>
  </si>
  <si>
    <t>RK 2</t>
  </si>
  <si>
    <t>Tagesgeldkonto + GIRO</t>
  </si>
  <si>
    <t>noch in Arbeit….</t>
  </si>
  <si>
    <t>Kurz geschätzt:</t>
  </si>
  <si>
    <t>Aktuell (vom Kontoauszug)</t>
  </si>
  <si>
    <r>
      <t xml:space="preserve">Umschichtsumme:
</t>
    </r>
    <r>
      <rPr>
        <i/>
        <sz val="18"/>
        <color theme="1"/>
        <rFont val="Calibri"/>
        <family val="2"/>
        <scheme val="minor"/>
      </rPr>
      <t>oder manuell überschreiben</t>
    </r>
  </si>
  <si>
    <t>ERBDEPOT 95% Unternehmensanleihen</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</si>
</sst>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6" formatCode="#,##0\ &quot;€&quot;;[Red]\-#,##0\ &quot;€&quot;"/>
    <numFmt numFmtId="8" formatCode="#,##0.00\ &quot;€&quot;;[Red]\-#,##0.00\ &quot;€&quot;"/>
    <numFmt numFmtId="44" formatCode="_-* #,##0.00\ &quot;€&quot;_-;\-* #,##0.00\ &quot;€&quot;_-;_-* &quot;-&quot;??\ &quot;€&quot;_-;_-@_-"/>
    <numFmt numFmtId="164" formatCode="0.0%"/>
    <numFmt numFmtId="165" formatCode="#,##0.00\ &quot;€&quot;"/>
    <numFmt numFmtId="166" formatCode="0.00000"/>
    <numFmt numFmtId="167" formatCode="0.000%"/>
    <numFmt numFmtId="168" formatCode="_-* #,##0\ &quot;€&quot;_-;\-* #,##0\ &quot;€&quot;_-;_-* &quot;-&quot;??\ &quot;€&quot;_-;_-@_-"/>
  </numFmts>
  <fonts count="53" x14ac:knownFonts="1">
    <font>
      <sz val="11"/>
      <color theme="1"/>
      <name val="Calibri"/>
      <family val="2"/>
      <scheme val="minor"/>
    </font>
    <font>
      <sz val="11"/>
      <color theme="1"/>
      <name val="Calibri"/>
      <family val="2"/>
      <scheme val="minor"/>
    </font>
    <font>
      <b/>
      <sz val="11"/>
      <color rgb="FF3F3F3F"/>
      <name val="Calibri"/>
      <family val="2"/>
      <scheme val="minor"/>
    </font>
    <font>
      <b/>
      <sz val="11"/>
      <color theme="1"/>
      <name val="Calibri"/>
      <family val="2"/>
      <scheme val="minor"/>
    </font>
    <font>
      <u/>
      <sz val="11"/>
      <color theme="10"/>
      <name val="Calibri"/>
      <family val="2"/>
      <scheme val="minor"/>
    </font>
    <font>
      <sz val="11"/>
      <color rgb="FF006100"/>
      <name val="Calibri"/>
      <family val="2"/>
      <scheme val="minor"/>
    </font>
    <font>
      <b/>
      <sz val="11"/>
      <color theme="0"/>
      <name val="Calibri"/>
      <family val="2"/>
      <scheme val="minor"/>
    </font>
    <font>
      <sz val="11"/>
      <color theme="0"/>
      <name val="Calibri"/>
      <family val="2"/>
      <scheme val="minor"/>
    </font>
    <font>
      <sz val="10"/>
      <color theme="0"/>
      <name val="Calibri"/>
      <family val="2"/>
      <scheme val="minor"/>
    </font>
    <font>
      <sz val="11"/>
      <name val="Calibri"/>
      <family val="2"/>
      <scheme val="minor"/>
    </font>
    <font>
      <sz val="11"/>
      <color rgb="FF9C6500"/>
      <name val="Calibri"/>
      <family val="2"/>
      <scheme val="minor"/>
    </font>
    <font>
      <sz val="11"/>
      <color rgb="FF3F3F76"/>
      <name val="Calibri"/>
      <family val="2"/>
      <scheme val="minor"/>
    </font>
    <font>
      <b/>
      <sz val="11"/>
      <color rgb="FFFA7D00"/>
      <name val="Calibri"/>
      <family val="2"/>
      <scheme val="minor"/>
    </font>
    <font>
      <b/>
      <sz val="14"/>
      <color rgb="FF3F3F3F"/>
      <name val="Calibri"/>
      <family val="2"/>
      <scheme val="minor"/>
    </font>
    <font>
      <b/>
      <sz val="18"/>
      <color rgb="FF3F3F3F"/>
      <name val="Calibri"/>
      <family val="2"/>
      <scheme val="minor"/>
    </font>
    <font>
      <b/>
      <sz val="26"/>
      <color rgb="FF3F3F3F"/>
      <name val="Calibri"/>
      <family val="2"/>
      <scheme val="minor"/>
    </font>
    <font>
      <i/>
      <sz val="10"/>
      <color theme="1"/>
      <name val="Calibri"/>
      <family val="2"/>
      <scheme val="minor"/>
    </font>
    <font>
      <sz val="11"/>
      <color rgb="FF9C0006"/>
      <name val="Calibri"/>
      <family val="2"/>
      <scheme val="minor"/>
    </font>
    <font>
      <b/>
      <sz val="11"/>
      <color rgb="FF3F3F76"/>
      <name val="Calibri"/>
      <family val="2"/>
      <scheme val="minor"/>
    </font>
    <font>
      <sz val="11"/>
      <color rgb="FF00B050"/>
      <name val="Marlett"/>
      <charset val="2"/>
    </font>
    <font>
      <b/>
      <sz val="16"/>
      <color rgb="FF3F3F3F"/>
      <name val="Calibri"/>
      <family val="2"/>
      <scheme val="minor"/>
    </font>
    <font>
      <b/>
      <sz val="12"/>
      <color rgb="FF3F3F3F"/>
      <name val="Calibri"/>
      <family val="2"/>
      <scheme val="minor"/>
    </font>
    <font>
      <sz val="11"/>
      <color rgb="FF3F3F3F"/>
      <name val="Calibri"/>
      <family val="2"/>
      <scheme val="minor"/>
    </font>
    <font>
      <b/>
      <sz val="12"/>
      <color theme="1"/>
      <name val="Calibri"/>
      <family val="2"/>
      <scheme val="minor"/>
    </font>
    <font>
      <sz val="11"/>
      <color rgb="FFFA7D00"/>
      <name val="Calibri"/>
      <family val="2"/>
      <scheme val="minor"/>
    </font>
    <font>
      <sz val="14"/>
      <color rgb="FF3F3F3F"/>
      <name val="Calibri"/>
      <family val="2"/>
      <scheme val="minor"/>
    </font>
    <font>
      <i/>
      <sz val="11"/>
      <color theme="1"/>
      <name val="Calibri"/>
      <family val="2"/>
      <scheme val="minor"/>
    </font>
    <font>
      <sz val="12"/>
      <color rgb="FF006100"/>
      <name val="Calibri"/>
      <family val="2"/>
      <scheme val="minor"/>
    </font>
    <font>
      <sz val="12"/>
      <color theme="1"/>
      <name val="Calibri"/>
      <family val="2"/>
      <scheme val="minor"/>
    </font>
    <font>
      <sz val="14"/>
      <color theme="1"/>
      <name val="Calibri"/>
      <family val="2"/>
      <scheme val="minor"/>
    </font>
    <font>
      <sz val="16"/>
      <color theme="1"/>
      <name val="Calibri"/>
      <family val="2"/>
      <scheme val="minor"/>
    </font>
    <font>
      <sz val="14"/>
      <color rgb="FF9C0006"/>
      <name val="Calibri"/>
      <family val="2"/>
      <scheme val="minor"/>
    </font>
    <font>
      <b/>
      <sz val="14"/>
      <color rgb="FFFF0000"/>
      <name val="Calibri"/>
      <family val="2"/>
      <scheme val="minor"/>
    </font>
    <font>
      <sz val="9"/>
      <color indexed="81"/>
      <name val="Tahoma"/>
      <family val="2"/>
    </font>
    <font>
      <b/>
      <sz val="9"/>
      <color indexed="81"/>
      <name val="Tahoma"/>
      <family val="2"/>
    </font>
    <font>
      <b/>
      <i/>
      <sz val="11"/>
      <color theme="1"/>
      <name val="Calibri"/>
      <family val="2"/>
      <scheme val="minor"/>
    </font>
    <font>
      <b/>
      <i/>
      <sz val="10"/>
      <color theme="1"/>
      <name val="Calibri"/>
      <family val="2"/>
      <scheme val="minor"/>
    </font>
    <font>
      <i/>
      <sz val="9"/>
      <color theme="1"/>
      <name val="Calibri"/>
      <family val="2"/>
      <scheme val="minor"/>
    </font>
    <font>
      <sz val="9"/>
      <color theme="1"/>
      <name val="Calibri"/>
      <family val="2"/>
      <scheme val="minor"/>
    </font>
    <font>
      <b/>
      <sz val="12"/>
      <color rgb="FF006100"/>
      <name val="Calibri"/>
      <family val="2"/>
      <scheme val="minor"/>
    </font>
    <font>
      <b/>
      <sz val="11"/>
      <color rgb="FF006100"/>
      <name val="Calibri"/>
      <family val="2"/>
      <scheme val="minor"/>
    </font>
    <font>
      <b/>
      <i/>
      <sz val="12"/>
      <color theme="1"/>
      <name val="Calibri"/>
      <family val="2"/>
      <scheme val="minor"/>
    </font>
    <font>
      <sz val="9"/>
      <color indexed="81"/>
      <name val="Tahoma"/>
      <charset val="1"/>
    </font>
    <font>
      <b/>
      <sz val="9"/>
      <color indexed="81"/>
      <name val="Tahoma"/>
      <charset val="1"/>
    </font>
    <font>
      <b/>
      <sz val="14"/>
      <color theme="1"/>
      <name val="Calibri"/>
      <family val="2"/>
      <scheme val="minor"/>
    </font>
    <font>
      <b/>
      <i/>
      <u/>
      <sz val="12"/>
      <color theme="1"/>
      <name val="Calibri"/>
      <family val="2"/>
      <scheme val="minor"/>
    </font>
    <font>
      <i/>
      <sz val="10"/>
      <color rgb="FF3F3F76"/>
      <name val="Calibri"/>
      <family val="2"/>
      <scheme val="minor"/>
    </font>
    <font>
      <u/>
      <sz val="14"/>
      <color theme="10"/>
      <name val="Calibri"/>
      <family val="2"/>
      <scheme val="minor"/>
    </font>
    <font>
      <u/>
      <sz val="20"/>
      <color theme="10"/>
      <name val="Calibri"/>
      <family val="2"/>
      <scheme val="minor"/>
    </font>
    <font>
      <b/>
      <sz val="22"/>
      <color rgb="FF3F3F3F"/>
      <name val="Calibri"/>
      <family val="2"/>
      <scheme val="minor"/>
    </font>
    <font>
      <u/>
      <sz val="28"/>
      <color theme="10"/>
      <name val="Calibri"/>
      <family val="2"/>
      <scheme val="minor"/>
    </font>
    <font>
      <sz val="18"/>
      <color theme="1"/>
      <name val="Calibri"/>
      <family val="2"/>
      <scheme val="minor"/>
    </font>
    <font>
      <i/>
      <sz val="18"/>
      <color theme="1"/>
      <name val="Calibri"/>
      <family val="2"/>
      <scheme val="minor"/>
    </font>
  </fonts>
  <fills count="17">
    <fill>
      <patternFill patternType="none"/>
    </fill>
    <fill>
      <patternFill patternType="gray125"/>
    </fill>
    <fill>
      <patternFill patternType="solid">
        <fgColor rgb="FFF2F2F2"/>
      </patternFill>
    </fill>
    <fill>
      <patternFill patternType="solid">
        <fgColor rgb="FFC6EFCE"/>
      </patternFill>
    </fill>
    <fill>
      <patternFill patternType="solid">
        <fgColor theme="0" tint="-4.9989318521683403E-2"/>
        <bgColor indexed="64"/>
      </patternFill>
    </fill>
    <fill>
      <patternFill patternType="solid">
        <fgColor rgb="FF92D050"/>
        <bgColor indexed="64"/>
      </patternFill>
    </fill>
    <fill>
      <patternFill patternType="solid">
        <fgColor rgb="FFFFEB9C"/>
      </patternFill>
    </fill>
    <fill>
      <patternFill patternType="solid">
        <fgColor rgb="FFFFCC99"/>
      </patternFill>
    </fill>
    <fill>
      <patternFill patternType="solid">
        <fgColor theme="5" tint="0.79998168889431442"/>
        <bgColor indexed="65"/>
      </patternFill>
    </fill>
    <fill>
      <patternFill patternType="solid">
        <fgColor rgb="FFFFC7CE"/>
      </patternFill>
    </fill>
    <fill>
      <patternFill patternType="solid">
        <fgColor theme="6" tint="0.59999389629810485"/>
        <bgColor indexed="65"/>
      </patternFill>
    </fill>
    <fill>
      <patternFill patternType="solid">
        <fgColor theme="8" tint="0.79998168889431442"/>
        <bgColor indexed="65"/>
      </patternFill>
    </fill>
    <fill>
      <patternFill patternType="solid">
        <fgColor rgb="FFFFFF00"/>
        <bgColor indexed="64"/>
      </patternFill>
    </fill>
    <fill>
      <patternFill patternType="solid">
        <fgColor theme="0"/>
        <bgColor indexed="64"/>
      </patternFill>
    </fill>
    <fill>
      <patternFill patternType="solid">
        <fgColor theme="4" tint="0.79998168889431442"/>
        <bgColor indexed="65"/>
      </patternFill>
    </fill>
    <fill>
      <patternFill patternType="solid">
        <fgColor theme="0" tint="-0.14999847407452621"/>
        <bgColor indexed="64"/>
      </patternFill>
    </fill>
    <fill>
      <patternFill patternType="solid">
        <fgColor theme="6" tint="0.79998168889431442"/>
        <bgColor indexed="65"/>
      </patternFill>
    </fill>
  </fills>
  <borders count="105">
    <border>
      <left/>
      <right/>
      <top/>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indexed="64"/>
      </top>
      <bottom style="medium">
        <color indexed="64"/>
      </bottom>
      <diagonal/>
    </border>
    <border>
      <left style="thin">
        <color rgb="FF3F3F3F"/>
      </left>
      <right/>
      <top style="thin">
        <color rgb="FF3F3F3F"/>
      </top>
      <bottom style="thin">
        <color rgb="FF3F3F3F"/>
      </bottom>
      <diagonal/>
    </border>
    <border>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double">
        <color indexed="64"/>
      </bottom>
      <diagonal/>
    </border>
    <border>
      <left/>
      <right/>
      <top style="thin">
        <color indexed="64"/>
      </top>
      <bottom/>
      <diagonal/>
    </border>
    <border>
      <left style="thin">
        <color rgb="FF3F3F3F"/>
      </left>
      <right style="thin">
        <color rgb="FF3F3F3F"/>
      </right>
      <top style="thin">
        <color rgb="FF3F3F3F"/>
      </top>
      <bottom/>
      <diagonal/>
    </border>
    <border>
      <left style="medium">
        <color indexed="64"/>
      </left>
      <right style="thin">
        <color rgb="FF3F3F3F"/>
      </right>
      <top style="medium">
        <color indexed="64"/>
      </top>
      <bottom/>
      <diagonal/>
    </border>
    <border>
      <left style="thin">
        <color rgb="FF3F3F3F"/>
      </left>
      <right style="thin">
        <color rgb="FF3F3F3F"/>
      </right>
      <top style="medium">
        <color indexed="64"/>
      </top>
      <bottom/>
      <diagonal/>
    </border>
    <border>
      <left style="thin">
        <color rgb="FF3F3F3F"/>
      </left>
      <right style="medium">
        <color indexed="64"/>
      </right>
      <top style="medium">
        <color indexed="64"/>
      </top>
      <bottom/>
      <diagonal/>
    </border>
    <border>
      <left/>
      <right style="medium">
        <color indexed="64"/>
      </right>
      <top style="thin">
        <color indexed="64"/>
      </top>
      <bottom/>
      <diagonal/>
    </border>
    <border>
      <left style="thin">
        <color rgb="FF7F7F7F"/>
      </left>
      <right style="thin">
        <color rgb="FF7F7F7F"/>
      </right>
      <top style="thin">
        <color rgb="FF7F7F7F"/>
      </top>
      <bottom style="medium">
        <color indexed="64"/>
      </bottom>
      <diagonal/>
    </border>
    <border>
      <left style="thin">
        <color rgb="FF3F3F3F"/>
      </left>
      <right style="thin">
        <color rgb="FF3F3F3F"/>
      </right>
      <top style="thin">
        <color rgb="FF3F3F3F"/>
      </top>
      <bottom style="medium">
        <color indexed="64"/>
      </bottom>
      <diagonal/>
    </border>
    <border>
      <left/>
      <right/>
      <top style="medium">
        <color indexed="64"/>
      </top>
      <bottom/>
      <diagonal/>
    </border>
    <border>
      <left style="medium">
        <color indexed="64"/>
      </left>
      <right style="thin">
        <color rgb="FF3F3F3F"/>
      </right>
      <top style="thin">
        <color rgb="FF3F3F3F"/>
      </top>
      <bottom style="thin">
        <color rgb="FF3F3F3F"/>
      </bottom>
      <diagonal/>
    </border>
    <border>
      <left style="thin">
        <color rgb="FF3F3F3F"/>
      </left>
      <right style="medium">
        <color indexed="64"/>
      </right>
      <top style="thin">
        <color rgb="FF3F3F3F"/>
      </top>
      <bottom style="thin">
        <color rgb="FF3F3F3F"/>
      </bottom>
      <diagonal/>
    </border>
    <border>
      <left style="medium">
        <color indexed="64"/>
      </left>
      <right style="thin">
        <color rgb="FF3F3F3F"/>
      </right>
      <top style="thin">
        <color rgb="FF3F3F3F"/>
      </top>
      <bottom style="medium">
        <color indexed="64"/>
      </bottom>
      <diagonal/>
    </border>
    <border>
      <left style="thin">
        <color rgb="FF3F3F3F"/>
      </left>
      <right style="medium">
        <color indexed="64"/>
      </right>
      <top style="thin">
        <color rgb="FF3F3F3F"/>
      </top>
      <bottom style="medium">
        <color indexed="64"/>
      </bottom>
      <diagonal/>
    </border>
    <border>
      <left style="medium">
        <color indexed="64"/>
      </left>
      <right style="medium">
        <color indexed="64"/>
      </right>
      <top style="medium">
        <color indexed="64"/>
      </top>
      <bottom style="medium">
        <color indexed="64"/>
      </bottom>
      <diagonal/>
    </border>
    <border>
      <left style="thin">
        <color rgb="FF7F7F7F"/>
      </left>
      <right style="medium">
        <color indexed="64"/>
      </right>
      <top style="thin">
        <color rgb="FF7F7F7F"/>
      </top>
      <bottom style="thin">
        <color rgb="FF7F7F7F"/>
      </bottom>
      <diagonal/>
    </border>
    <border>
      <left style="medium">
        <color indexed="64"/>
      </left>
      <right style="thin">
        <color rgb="FF3F3F3F"/>
      </right>
      <top style="medium">
        <color indexed="64"/>
      </top>
      <bottom style="medium">
        <color indexed="64"/>
      </bottom>
      <diagonal/>
    </border>
    <border>
      <left style="thin">
        <color rgb="FF3F3F3F"/>
      </left>
      <right style="medium">
        <color indexed="64"/>
      </right>
      <top style="medium">
        <color indexed="64"/>
      </top>
      <bottom style="medium">
        <color indexed="64"/>
      </bottom>
      <diagonal/>
    </border>
    <border>
      <left style="medium">
        <color indexed="64"/>
      </left>
      <right style="thin">
        <color rgb="FF3F3F3F"/>
      </right>
      <top style="medium">
        <color indexed="64"/>
      </top>
      <bottom style="thin">
        <color rgb="FF3F3F3F"/>
      </bottom>
      <diagonal/>
    </border>
    <border>
      <left style="thin">
        <color rgb="FF3F3F3F"/>
      </left>
      <right style="thin">
        <color rgb="FF3F3F3F"/>
      </right>
      <top style="medium">
        <color indexed="64"/>
      </top>
      <bottom style="thin">
        <color rgb="FF3F3F3F"/>
      </bottom>
      <diagonal/>
    </border>
    <border>
      <left style="thin">
        <color rgb="FF3F3F3F"/>
      </left>
      <right style="medium">
        <color indexed="64"/>
      </right>
      <top style="medium">
        <color indexed="64"/>
      </top>
      <bottom style="thin">
        <color rgb="FF3F3F3F"/>
      </bottom>
      <diagonal/>
    </border>
    <border>
      <left style="medium">
        <color indexed="64"/>
      </left>
      <right style="thin">
        <color indexed="64"/>
      </right>
      <top style="thin">
        <color indexed="64"/>
      </top>
      <bottom style="thin">
        <color indexed="64"/>
      </bottom>
      <diagonal/>
    </border>
    <border>
      <left style="thin">
        <color rgb="FF3F3F3F"/>
      </left>
      <right style="thin">
        <color rgb="FF3F3F3F"/>
      </right>
      <top style="thin">
        <color indexed="64"/>
      </top>
      <bottom style="double">
        <color indexed="64"/>
      </bottom>
      <diagonal/>
    </border>
    <border>
      <left style="medium">
        <color indexed="64"/>
      </left>
      <right style="thin">
        <color rgb="FF3F3F3F"/>
      </right>
      <top style="thin">
        <color indexed="64"/>
      </top>
      <bottom style="double">
        <color indexed="64"/>
      </bottom>
      <diagonal/>
    </border>
    <border>
      <left style="thin">
        <color rgb="FF3F3F3F"/>
      </left>
      <right style="medium">
        <color indexed="64"/>
      </right>
      <top style="thin">
        <color indexed="64"/>
      </top>
      <bottom style="double">
        <color indexed="64"/>
      </bottom>
      <diagonal/>
    </border>
    <border>
      <left style="medium">
        <color indexed="64"/>
      </left>
      <right style="thin">
        <color rgb="FF3F3F3F"/>
      </right>
      <top style="thin">
        <color rgb="FF3F3F3F"/>
      </top>
      <bottom/>
      <diagonal/>
    </border>
    <border>
      <left style="thin">
        <color rgb="FF3F3F3F"/>
      </left>
      <right style="medium">
        <color indexed="64"/>
      </right>
      <top style="thin">
        <color rgb="FF3F3F3F"/>
      </top>
      <bottom/>
      <diagonal/>
    </border>
    <border>
      <left style="thin">
        <color rgb="FF3F3F3F"/>
      </left>
      <right/>
      <top style="medium">
        <color indexed="64"/>
      </top>
      <bottom style="thin">
        <color rgb="FF3F3F3F"/>
      </bottom>
      <diagonal/>
    </border>
    <border>
      <left style="thin">
        <color rgb="FF7F7F7F"/>
      </left>
      <right style="medium">
        <color indexed="64"/>
      </right>
      <top style="thin">
        <color rgb="FF7F7F7F"/>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rgb="FF7F7F7F"/>
      </left>
      <right style="thin">
        <color rgb="FF7F7F7F"/>
      </right>
      <top style="thin">
        <color rgb="FF7F7F7F"/>
      </top>
      <bottom/>
      <diagonal/>
    </border>
    <border>
      <left/>
      <right/>
      <top style="medium">
        <color indexed="64"/>
      </top>
      <bottom style="medium">
        <color indexed="64"/>
      </bottom>
      <diagonal/>
    </border>
    <border>
      <left style="medium">
        <color indexed="64"/>
      </left>
      <right style="medium">
        <color indexed="64"/>
      </right>
      <top style="medium">
        <color indexed="64"/>
      </top>
      <bottom style="thin">
        <color rgb="FF3F3F3F"/>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medium">
        <color indexed="64"/>
      </right>
      <top style="thin">
        <color indexed="64"/>
      </top>
      <bottom/>
      <diagonal/>
    </border>
    <border>
      <left style="thin">
        <color rgb="FF3F3F3F"/>
      </left>
      <right style="thin">
        <color rgb="FF3F3F3F"/>
      </right>
      <top style="medium">
        <color indexed="64"/>
      </top>
      <bottom style="medium">
        <color indexed="64"/>
      </bottom>
      <diagonal/>
    </border>
    <border>
      <left style="thin">
        <color rgb="FF3F3F3F"/>
      </left>
      <right/>
      <top/>
      <bottom style="medium">
        <color indexed="64"/>
      </bottom>
      <diagonal/>
    </border>
    <border>
      <left style="medium">
        <color indexed="64"/>
      </left>
      <right style="thin">
        <color rgb="FF7F7F7F"/>
      </right>
      <top style="thin">
        <color rgb="FF7F7F7F"/>
      </top>
      <bottom style="thin">
        <color rgb="FF7F7F7F"/>
      </bottom>
      <diagonal/>
    </border>
    <border>
      <left style="medium">
        <color indexed="64"/>
      </left>
      <right/>
      <top style="thin">
        <color indexed="64"/>
      </top>
      <bottom style="double">
        <color indexed="64"/>
      </bottom>
      <diagonal/>
    </border>
    <border>
      <left/>
      <right style="medium">
        <color indexed="64"/>
      </right>
      <top style="thin">
        <color indexed="64"/>
      </top>
      <bottom style="double">
        <color indexed="64"/>
      </bottom>
      <diagonal/>
    </border>
    <border>
      <left style="thin">
        <color rgb="FF3F3F3F"/>
      </left>
      <right/>
      <top style="medium">
        <color indexed="64"/>
      </top>
      <bottom/>
      <diagonal/>
    </border>
    <border>
      <left/>
      <right style="thin">
        <color rgb="FF3F3F3F"/>
      </right>
      <top/>
      <bottom style="medium">
        <color indexed="64"/>
      </bottom>
      <diagonal/>
    </border>
    <border>
      <left style="medium">
        <color indexed="64"/>
      </left>
      <right/>
      <top style="thin">
        <color indexed="64"/>
      </top>
      <bottom style="medium">
        <color indexed="64"/>
      </bottom>
      <diagonal/>
    </border>
    <border>
      <left/>
      <right style="thin">
        <color rgb="FF3F3F3F"/>
      </right>
      <top style="medium">
        <color indexed="64"/>
      </top>
      <bottom/>
      <diagonal/>
    </border>
    <border>
      <left style="thin">
        <color indexed="64"/>
      </left>
      <right style="thin">
        <color indexed="64"/>
      </right>
      <top style="medium">
        <color indexed="64"/>
      </top>
      <bottom style="thin">
        <color indexed="64"/>
      </bottom>
      <diagonal/>
    </border>
    <border>
      <left/>
      <right/>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style="thin">
        <color rgb="FF3F3F3F"/>
      </right>
      <top style="thin">
        <color rgb="FF3F3F3F"/>
      </top>
      <bottom/>
      <diagonal/>
    </border>
    <border>
      <left style="thin">
        <color indexed="64"/>
      </left>
      <right style="thin">
        <color rgb="FF3F3F3F"/>
      </right>
      <top style="medium">
        <color indexed="64"/>
      </top>
      <bottom style="thin">
        <color rgb="FF3F3F3F"/>
      </bottom>
      <diagonal/>
    </border>
    <border>
      <left style="thin">
        <color rgb="FF3F3F3F"/>
      </left>
      <right style="thin">
        <color indexed="64"/>
      </right>
      <top style="medium">
        <color indexed="64"/>
      </top>
      <bottom style="thin">
        <color rgb="FF3F3F3F"/>
      </bottom>
      <diagonal/>
    </border>
    <border>
      <left style="medium">
        <color indexed="64"/>
      </left>
      <right/>
      <top style="thin">
        <color indexed="64"/>
      </top>
      <bottom/>
      <diagonal/>
    </border>
    <border>
      <left style="medium">
        <color indexed="64"/>
      </left>
      <right style="thin">
        <color rgb="FF7F7F7F"/>
      </right>
      <top style="thin">
        <color indexed="64"/>
      </top>
      <bottom style="thin">
        <color rgb="FF7F7F7F"/>
      </bottom>
      <diagonal/>
    </border>
    <border>
      <left style="medium">
        <color indexed="64"/>
      </left>
      <right/>
      <top/>
      <bottom style="thin">
        <color indexed="64"/>
      </bottom>
      <diagonal/>
    </border>
    <border>
      <left style="medium">
        <color indexed="64"/>
      </left>
      <right style="thin">
        <color rgb="FF7F7F7F"/>
      </right>
      <top style="thin">
        <color rgb="FF7F7F7F"/>
      </top>
      <bottom style="thin">
        <color indexed="64"/>
      </bottom>
      <diagonal/>
    </border>
    <border>
      <left/>
      <right style="medium">
        <color indexed="64"/>
      </right>
      <top/>
      <bottom style="thin">
        <color indexed="64"/>
      </bottom>
      <diagonal/>
    </border>
    <border>
      <left style="medium">
        <color indexed="64"/>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rgb="FF7F7F7F"/>
      </right>
      <top style="thin">
        <color indexed="64"/>
      </top>
      <bottom style="thin">
        <color indexed="64"/>
      </bottom>
      <diagonal/>
    </border>
    <border>
      <left/>
      <right style="medium">
        <color indexed="64"/>
      </right>
      <top style="thin">
        <color indexed="64"/>
      </top>
      <bottom style="thin">
        <color indexed="64"/>
      </bottom>
      <diagonal/>
    </border>
    <border>
      <left/>
      <right style="thin">
        <color rgb="FF7F7F7F"/>
      </right>
      <top style="medium">
        <color indexed="64"/>
      </top>
      <bottom style="thin">
        <color rgb="FF7F7F7F"/>
      </bottom>
      <diagonal/>
    </border>
    <border>
      <left/>
      <right style="thin">
        <color rgb="FF7F7F7F"/>
      </right>
      <top style="thin">
        <color rgb="FF7F7F7F"/>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3F3F3F"/>
      </left>
      <right/>
      <top style="thin">
        <color rgb="FF3F3F3F"/>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rgb="FF7F7F7F"/>
      </right>
      <top style="medium">
        <color indexed="64"/>
      </top>
      <bottom style="thin">
        <color rgb="FF7F7F7F"/>
      </bottom>
      <diagonal/>
    </border>
    <border>
      <left/>
      <right style="thin">
        <color rgb="FF3F3F3F"/>
      </right>
      <top style="thin">
        <color rgb="FF3F3F3F"/>
      </top>
      <bottom style="thin">
        <color rgb="FF3F3F3F"/>
      </bottom>
      <diagonal/>
    </border>
    <border>
      <left style="medium">
        <color indexed="64"/>
      </left>
      <right style="medium">
        <color indexed="64"/>
      </right>
      <top style="thin">
        <color indexed="64"/>
      </top>
      <bottom style="medium">
        <color indexed="64"/>
      </bottom>
      <diagonal/>
    </border>
    <border>
      <left/>
      <right/>
      <top style="thin">
        <color rgb="FF3F3F3F"/>
      </top>
      <bottom style="thin">
        <color rgb="FF3F3F3F"/>
      </bottom>
      <diagonal/>
    </border>
  </borders>
  <cellStyleXfs count="15">
    <xf numFmtId="0" fontId="0" fillId="0" borderId="0"/>
    <xf numFmtId="9" fontId="1" fillId="0" borderId="0" applyFont="0" applyFill="0" applyBorder="0" applyAlignment="0" applyProtection="0"/>
    <xf numFmtId="0" fontId="2" fillId="2" borderId="1" applyNumberFormat="0" applyAlignment="0" applyProtection="0"/>
    <xf numFmtId="0" fontId="4" fillId="0" borderId="0" applyNumberFormat="0" applyFill="0" applyBorder="0" applyAlignment="0" applyProtection="0"/>
    <xf numFmtId="0" fontId="5" fillId="3" borderId="0" applyNumberFormat="0" applyBorder="0" applyAlignment="0" applyProtection="0"/>
    <xf numFmtId="44" fontId="1" fillId="0" borderId="0" applyFont="0" applyFill="0" applyBorder="0" applyAlignment="0" applyProtection="0"/>
    <xf numFmtId="0" fontId="10" fillId="6" borderId="0" applyNumberFormat="0" applyBorder="0" applyAlignment="0" applyProtection="0"/>
    <xf numFmtId="0" fontId="11" fillId="7" borderId="13" applyNumberFormat="0" applyAlignment="0" applyProtection="0"/>
    <xf numFmtId="0" fontId="12" fillId="2" borderId="13" applyNumberFormat="0" applyAlignment="0" applyProtection="0"/>
    <xf numFmtId="0" fontId="1" fillId="8" borderId="0" applyNumberFormat="0" applyBorder="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6" borderId="0" applyNumberFormat="0" applyBorder="0" applyAlignment="0" applyProtection="0"/>
  </cellStyleXfs>
  <cellXfs count="431">
    <xf numFmtId="0" fontId="0" fillId="0" borderId="0" xfId="0"/>
    <xf numFmtId="0" fontId="0" fillId="0" borderId="0" xfId="0" applyAlignment="1">
      <alignment horizontal="left"/>
    </xf>
    <xf numFmtId="0" fontId="2" fillId="2" borderId="1" xfId="2"/>
    <xf numFmtId="10" fontId="0" fillId="0" borderId="0" xfId="0" applyNumberFormat="1" applyAlignment="1">
      <alignment horizontal="center"/>
    </xf>
    <xf numFmtId="0" fontId="0" fillId="0" borderId="0" xfId="0" applyAlignment="1">
      <alignment horizontal="center"/>
    </xf>
    <xf numFmtId="0" fontId="3" fillId="0" borderId="0" xfId="0" applyFont="1"/>
    <xf numFmtId="0" fontId="0" fillId="0" borderId="4" xfId="0" applyBorder="1"/>
    <xf numFmtId="0" fontId="0" fillId="0" borderId="6" xfId="0" applyBorder="1"/>
    <xf numFmtId="0" fontId="7" fillId="0" borderId="0" xfId="0" applyFont="1" applyFill="1"/>
    <xf numFmtId="164" fontId="8" fillId="0" borderId="0" xfId="0" applyNumberFormat="1" applyFont="1" applyFill="1"/>
    <xf numFmtId="10" fontId="6" fillId="0" borderId="0" xfId="0" applyNumberFormat="1" applyFont="1" applyFill="1"/>
    <xf numFmtId="10" fontId="7" fillId="0" borderId="0" xfId="4" applyNumberFormat="1" applyFont="1" applyFill="1"/>
    <xf numFmtId="10" fontId="7" fillId="0" borderId="0" xfId="0" applyNumberFormat="1" applyFont="1" applyFill="1"/>
    <xf numFmtId="0" fontId="0" fillId="0" borderId="0" xfId="0" applyAlignment="1">
      <alignment horizontal="right"/>
    </xf>
    <xf numFmtId="0" fontId="0" fillId="0" borderId="3" xfId="0" applyBorder="1"/>
    <xf numFmtId="6" fontId="0" fillId="0" borderId="0" xfId="0" applyNumberFormat="1"/>
    <xf numFmtId="0" fontId="0" fillId="0" borderId="5" xfId="0" applyBorder="1" applyAlignment="1">
      <alignment horizontal="center" vertical="center"/>
    </xf>
    <xf numFmtId="0" fontId="0" fillId="0" borderId="0" xfId="0" applyBorder="1" applyAlignment="1">
      <alignment horizontal="center" vertical="center"/>
    </xf>
    <xf numFmtId="0" fontId="0" fillId="0" borderId="0" xfId="0" applyFill="1" applyBorder="1" applyAlignment="1">
      <alignment horizontal="center" vertical="center"/>
    </xf>
    <xf numFmtId="0" fontId="4" fillId="0" borderId="12" xfId="3" applyBorder="1"/>
    <xf numFmtId="0" fontId="14" fillId="2" borderId="1" xfId="2" applyFont="1"/>
    <xf numFmtId="0" fontId="15" fillId="2" borderId="1" xfId="2" applyFont="1"/>
    <xf numFmtId="8" fontId="0" fillId="0" borderId="0" xfId="0" applyNumberFormat="1"/>
    <xf numFmtId="44" fontId="0" fillId="0" borderId="0" xfId="5" applyFont="1"/>
    <xf numFmtId="165" fontId="0" fillId="0" borderId="0" xfId="0" applyNumberFormat="1"/>
    <xf numFmtId="13" fontId="0" fillId="0" borderId="0" xfId="0" applyNumberFormat="1"/>
    <xf numFmtId="44" fontId="2" fillId="2" borderId="1" xfId="2" applyNumberFormat="1"/>
    <xf numFmtId="0" fontId="0" fillId="0" borderId="0" xfId="0" applyBorder="1"/>
    <xf numFmtId="44" fontId="0" fillId="0" borderId="0" xfId="0" applyNumberFormat="1"/>
    <xf numFmtId="0" fontId="2" fillId="2" borderId="19" xfId="2" applyBorder="1"/>
    <xf numFmtId="0" fontId="0" fillId="0" borderId="5" xfId="0" applyBorder="1"/>
    <xf numFmtId="0" fontId="0" fillId="0" borderId="10" xfId="0" applyBorder="1"/>
    <xf numFmtId="0" fontId="0" fillId="0" borderId="26" xfId="0" applyBorder="1"/>
    <xf numFmtId="10" fontId="0" fillId="0" borderId="0" xfId="0" applyNumberFormat="1" applyBorder="1" applyAlignment="1">
      <alignment horizontal="center" vertical="center"/>
    </xf>
    <xf numFmtId="0" fontId="4" fillId="0" borderId="0" xfId="3" applyBorder="1" applyAlignment="1">
      <alignment horizontal="center" vertical="center"/>
    </xf>
    <xf numFmtId="0" fontId="9" fillId="0" borderId="0" xfId="3" applyNumberFormat="1" applyFont="1" applyBorder="1" applyAlignment="1">
      <alignment horizontal="center" vertical="center"/>
    </xf>
    <xf numFmtId="0" fontId="17" fillId="9" borderId="17" xfId="10" applyBorder="1"/>
    <xf numFmtId="0" fontId="4" fillId="0" borderId="2" xfId="3" applyBorder="1"/>
    <xf numFmtId="0" fontId="2" fillId="2" borderId="27" xfId="2" applyBorder="1"/>
    <xf numFmtId="0" fontId="2" fillId="2" borderId="1" xfId="2" applyBorder="1"/>
    <xf numFmtId="0" fontId="2" fillId="2" borderId="29" xfId="2" applyBorder="1"/>
    <xf numFmtId="0" fontId="2" fillId="2" borderId="25" xfId="2" applyBorder="1"/>
    <xf numFmtId="6" fontId="2" fillId="2" borderId="30" xfId="2" applyNumberFormat="1" applyBorder="1"/>
    <xf numFmtId="0" fontId="13" fillId="2" borderId="33" xfId="2" applyFont="1" applyBorder="1"/>
    <xf numFmtId="0" fontId="2" fillId="2" borderId="19" xfId="2" applyBorder="1" applyAlignment="1">
      <alignment wrapText="1"/>
    </xf>
    <xf numFmtId="10" fontId="0" fillId="0" borderId="0" xfId="1" applyNumberFormat="1" applyFont="1" applyBorder="1" applyAlignment="1">
      <alignment horizontal="center" vertical="center"/>
    </xf>
    <xf numFmtId="44" fontId="13" fillId="2" borderId="34" xfId="5" applyFont="1" applyFill="1" applyBorder="1"/>
    <xf numFmtId="6" fontId="11" fillId="7" borderId="32" xfId="7" applyNumberFormat="1" applyBorder="1" applyAlignment="1">
      <alignment horizontal="left"/>
    </xf>
    <xf numFmtId="44" fontId="2" fillId="2" borderId="1" xfId="2" applyNumberFormat="1" applyBorder="1"/>
    <xf numFmtId="0" fontId="0" fillId="0" borderId="7" xfId="0" applyBorder="1"/>
    <xf numFmtId="0" fontId="2" fillId="2" borderId="36" xfId="2" applyBorder="1"/>
    <xf numFmtId="0" fontId="16" fillId="0" borderId="4" xfId="0" applyFont="1" applyBorder="1"/>
    <xf numFmtId="0" fontId="13" fillId="2" borderId="35" xfId="2" applyFont="1" applyBorder="1"/>
    <xf numFmtId="0" fontId="19" fillId="0" borderId="38" xfId="0" applyFont="1" applyBorder="1" applyAlignment="1">
      <alignment horizontal="center" vertical="center"/>
    </xf>
    <xf numFmtId="0" fontId="0" fillId="0" borderId="0" xfId="0" applyFont="1"/>
    <xf numFmtId="0" fontId="0" fillId="0" borderId="4" xfId="0" applyBorder="1" applyAlignment="1">
      <alignment horizontal="center" vertical="center"/>
    </xf>
    <xf numFmtId="0" fontId="0" fillId="0" borderId="10" xfId="0" applyBorder="1" applyAlignment="1">
      <alignment horizontal="center" vertical="center"/>
    </xf>
    <xf numFmtId="0" fontId="0" fillId="0" borderId="0" xfId="0" applyFill="1"/>
    <xf numFmtId="0" fontId="0" fillId="0" borderId="3" xfId="0" applyBorder="1" applyAlignment="1">
      <alignment horizontal="center" vertical="center"/>
    </xf>
    <xf numFmtId="0" fontId="0" fillId="0" borderId="2" xfId="0" applyBorder="1" applyAlignment="1">
      <alignment horizontal="center" vertical="center"/>
    </xf>
    <xf numFmtId="0" fontId="2" fillId="2" borderId="9" xfId="2" applyBorder="1"/>
    <xf numFmtId="0" fontId="13" fillId="2" borderId="39" xfId="2" applyFont="1" applyBorder="1"/>
    <xf numFmtId="9" fontId="0" fillId="0" borderId="0" xfId="0" applyNumberFormat="1"/>
    <xf numFmtId="0" fontId="2" fillId="2" borderId="27" xfId="2" applyBorder="1" applyAlignment="1">
      <alignment horizontal="left"/>
    </xf>
    <xf numFmtId="0" fontId="18" fillId="7" borderId="13" xfId="7" applyFont="1"/>
    <xf numFmtId="0" fontId="20" fillId="2" borderId="35" xfId="2" applyFont="1" applyBorder="1"/>
    <xf numFmtId="0" fontId="13" fillId="2" borderId="27" xfId="2" applyFont="1" applyBorder="1"/>
    <xf numFmtId="8" fontId="2" fillId="2" borderId="28" xfId="2" applyNumberFormat="1" applyBorder="1" applyAlignment="1">
      <alignment horizontal="right"/>
    </xf>
    <xf numFmtId="6" fontId="2" fillId="2" borderId="28" xfId="2" applyNumberFormat="1" applyBorder="1" applyAlignment="1">
      <alignment horizontal="right"/>
    </xf>
    <xf numFmtId="0" fontId="2" fillId="2" borderId="1" xfId="2" applyBorder="1" applyAlignment="1">
      <alignment horizontal="left"/>
    </xf>
    <xf numFmtId="8" fontId="2" fillId="2" borderId="28" xfId="2" applyNumberFormat="1" applyBorder="1"/>
    <xf numFmtId="6" fontId="2" fillId="2" borderId="28" xfId="2" applyNumberFormat="1" applyBorder="1"/>
    <xf numFmtId="0" fontId="13" fillId="2" borderId="1" xfId="2" applyFont="1" applyBorder="1"/>
    <xf numFmtId="10" fontId="11" fillId="7" borderId="13" xfId="7" applyNumberFormat="1" applyBorder="1" applyAlignment="1">
      <alignment horizontal="left"/>
    </xf>
    <xf numFmtId="0" fontId="16" fillId="0" borderId="0" xfId="0" applyFont="1" applyBorder="1"/>
    <xf numFmtId="0" fontId="16" fillId="0" borderId="5" xfId="0" applyFont="1" applyBorder="1"/>
    <xf numFmtId="0" fontId="21" fillId="2" borderId="27" xfId="2" applyFont="1" applyBorder="1"/>
    <xf numFmtId="0" fontId="21" fillId="2" borderId="1" xfId="2" applyFont="1" applyBorder="1"/>
    <xf numFmtId="0" fontId="13" fillId="2" borderId="40" xfId="2" applyFont="1" applyBorder="1"/>
    <xf numFmtId="0" fontId="16" fillId="0" borderId="6" xfId="0" applyFont="1" applyBorder="1"/>
    <xf numFmtId="0" fontId="16" fillId="0" borderId="10" xfId="0" applyFont="1" applyBorder="1"/>
    <xf numFmtId="6" fontId="11" fillId="7" borderId="13" xfId="7" applyNumberFormat="1" applyBorder="1"/>
    <xf numFmtId="8" fontId="2" fillId="2" borderId="1" xfId="2" applyNumberFormat="1" applyBorder="1"/>
    <xf numFmtId="9" fontId="11" fillId="7" borderId="13" xfId="7" applyNumberFormat="1" applyBorder="1" applyAlignment="1">
      <alignment horizontal="left"/>
    </xf>
    <xf numFmtId="6" fontId="11" fillId="7" borderId="13" xfId="7" applyNumberFormat="1" applyBorder="1" applyAlignment="1">
      <alignment horizontal="left"/>
    </xf>
    <xf numFmtId="44" fontId="13" fillId="2" borderId="35" xfId="2" applyNumberFormat="1" applyFont="1" applyBorder="1" applyAlignment="1">
      <alignment horizontal="left"/>
    </xf>
    <xf numFmtId="44" fontId="2" fillId="2" borderId="37" xfId="2" applyNumberFormat="1" applyBorder="1"/>
    <xf numFmtId="6" fontId="11" fillId="7" borderId="32" xfId="7" applyNumberFormat="1" applyBorder="1"/>
    <xf numFmtId="6" fontId="2" fillId="2" borderId="28" xfId="5" applyNumberFormat="1" applyFont="1" applyFill="1" applyBorder="1"/>
    <xf numFmtId="0" fontId="2" fillId="2" borderId="42" xfId="2" applyBorder="1"/>
    <xf numFmtId="44" fontId="2" fillId="2" borderId="43" xfId="2" applyNumberFormat="1" applyBorder="1"/>
    <xf numFmtId="0" fontId="17" fillId="9" borderId="29" xfId="10" applyBorder="1"/>
    <xf numFmtId="8" fontId="17" fillId="9" borderId="25" xfId="10" applyNumberFormat="1" applyBorder="1"/>
    <xf numFmtId="0" fontId="0" fillId="0" borderId="0" xfId="0"/>
    <xf numFmtId="0" fontId="0" fillId="0" borderId="0" xfId="0"/>
    <xf numFmtId="0" fontId="4" fillId="0" borderId="0" xfId="3"/>
    <xf numFmtId="8" fontId="2" fillId="2" borderId="30" xfId="2" applyNumberFormat="1" applyBorder="1"/>
    <xf numFmtId="0" fontId="20" fillId="2" borderId="1" xfId="2" applyFont="1"/>
    <xf numFmtId="10" fontId="11" fillId="7" borderId="32" xfId="7" applyNumberFormat="1" applyBorder="1" applyAlignment="1">
      <alignment horizontal="left"/>
    </xf>
    <xf numFmtId="9" fontId="11" fillId="7" borderId="45" xfId="7" applyNumberFormat="1" applyBorder="1"/>
    <xf numFmtId="0" fontId="2" fillId="2" borderId="35" xfId="2" applyBorder="1" applyAlignment="1">
      <alignment horizontal="left"/>
    </xf>
    <xf numFmtId="0" fontId="2" fillId="2" borderId="37" xfId="2" applyBorder="1" applyAlignment="1">
      <alignment horizontal="left"/>
    </xf>
    <xf numFmtId="165" fontId="0" fillId="0" borderId="0" xfId="0" applyNumberFormat="1" applyBorder="1"/>
    <xf numFmtId="8" fontId="0" fillId="0" borderId="0" xfId="5" applyNumberFormat="1" applyFont="1" applyBorder="1"/>
    <xf numFmtId="44" fontId="0" fillId="0" borderId="5" xfId="5" applyFont="1" applyBorder="1"/>
    <xf numFmtId="44" fontId="0" fillId="0" borderId="7" xfId="5" applyFont="1" applyBorder="1"/>
    <xf numFmtId="0" fontId="3" fillId="12" borderId="0" xfId="0" applyFont="1" applyFill="1"/>
    <xf numFmtId="0" fontId="25" fillId="2" borderId="20" xfId="2" applyFont="1" applyBorder="1"/>
    <xf numFmtId="0" fontId="22" fillId="2" borderId="21" xfId="2" applyFont="1" applyBorder="1"/>
    <xf numFmtId="0" fontId="22" fillId="2" borderId="36" xfId="2" applyFont="1" applyBorder="1"/>
    <xf numFmtId="6" fontId="0" fillId="0" borderId="18" xfId="0" applyNumberFormat="1" applyFont="1" applyBorder="1"/>
    <xf numFmtId="0" fontId="0" fillId="0" borderId="18" xfId="0" applyFont="1" applyBorder="1"/>
    <xf numFmtId="0" fontId="0" fillId="0" borderId="23" xfId="0" applyFont="1" applyBorder="1"/>
    <xf numFmtId="0" fontId="0" fillId="0" borderId="4" xfId="0" applyFont="1" applyBorder="1"/>
    <xf numFmtId="0" fontId="0" fillId="0" borderId="0" xfId="0" applyFont="1" applyBorder="1"/>
    <xf numFmtId="44" fontId="0" fillId="0" borderId="0" xfId="0" applyNumberFormat="1" applyFont="1" applyBorder="1"/>
    <xf numFmtId="0" fontId="0" fillId="0" borderId="6" xfId="0" applyFont="1" applyBorder="1"/>
    <xf numFmtId="0" fontId="0" fillId="0" borderId="10" xfId="0" applyFont="1" applyBorder="1"/>
    <xf numFmtId="44" fontId="0" fillId="0" borderId="10" xfId="0" applyNumberFormat="1" applyFont="1" applyBorder="1"/>
    <xf numFmtId="44" fontId="0" fillId="0" borderId="26" xfId="0" applyNumberFormat="1" applyFont="1" applyBorder="1"/>
    <xf numFmtId="0" fontId="0" fillId="0" borderId="26" xfId="0" applyFont="1" applyBorder="1"/>
    <xf numFmtId="0" fontId="25" fillId="2" borderId="35" xfId="2" applyFont="1" applyBorder="1"/>
    <xf numFmtId="0" fontId="0" fillId="0" borderId="0" xfId="0" applyFont="1" applyFill="1" applyBorder="1"/>
    <xf numFmtId="0" fontId="22" fillId="2" borderId="37" xfId="2" applyFont="1" applyBorder="1"/>
    <xf numFmtId="44" fontId="0" fillId="0" borderId="18" xfId="0" applyNumberFormat="1" applyFont="1" applyBorder="1"/>
    <xf numFmtId="10" fontId="1" fillId="0" borderId="0" xfId="1" applyNumberFormat="1" applyFont="1"/>
    <xf numFmtId="10" fontId="11" fillId="7" borderId="13" xfId="7" applyNumberFormat="1" applyFont="1" applyBorder="1"/>
    <xf numFmtId="10" fontId="11" fillId="7" borderId="24" xfId="7" applyNumberFormat="1" applyFont="1" applyBorder="1"/>
    <xf numFmtId="14" fontId="0" fillId="0" borderId="0" xfId="0" applyNumberFormat="1"/>
    <xf numFmtId="44" fontId="26" fillId="0" borderId="7" xfId="0" applyNumberFormat="1" applyFont="1" applyBorder="1"/>
    <xf numFmtId="8" fontId="27" fillId="3" borderId="28" xfId="4" applyNumberFormat="1" applyFont="1" applyBorder="1"/>
    <xf numFmtId="44" fontId="27" fillId="3" borderId="28" xfId="4" applyNumberFormat="1" applyFont="1" applyBorder="1"/>
    <xf numFmtId="8" fontId="5" fillId="3" borderId="41" xfId="4" applyNumberFormat="1" applyBorder="1"/>
    <xf numFmtId="0" fontId="0" fillId="0" borderId="46" xfId="0" applyBorder="1"/>
    <xf numFmtId="44" fontId="0" fillId="0" borderId="46" xfId="5" applyFont="1" applyBorder="1"/>
    <xf numFmtId="0" fontId="3" fillId="0" borderId="17" xfId="0" applyFont="1" applyBorder="1"/>
    <xf numFmtId="0" fontId="0" fillId="0" borderId="46" xfId="0" applyBorder="1" applyAlignment="1">
      <alignment horizontal="left" indent="1"/>
    </xf>
    <xf numFmtId="44" fontId="17" fillId="9" borderId="17" xfId="5" applyFont="1" applyFill="1" applyBorder="1"/>
    <xf numFmtId="0" fontId="30" fillId="8" borderId="1" xfId="9" applyFont="1" applyBorder="1" applyAlignment="1">
      <alignment horizontal="center"/>
    </xf>
    <xf numFmtId="0" fontId="29" fillId="10" borderId="35" xfId="11" applyFont="1" applyBorder="1"/>
    <xf numFmtId="0" fontId="29" fillId="10" borderId="26" xfId="11" applyFont="1" applyBorder="1"/>
    <xf numFmtId="0" fontId="29" fillId="10" borderId="3" xfId="11" applyFont="1" applyBorder="1"/>
    <xf numFmtId="44" fontId="0" fillId="0" borderId="10" xfId="5" applyFont="1" applyBorder="1"/>
    <xf numFmtId="44" fontId="0" fillId="0" borderId="0" xfId="5" applyFont="1" applyBorder="1"/>
    <xf numFmtId="0" fontId="28" fillId="0" borderId="0" xfId="0" applyFont="1"/>
    <xf numFmtId="167" fontId="0" fillId="0" borderId="0" xfId="1" applyNumberFormat="1" applyFont="1"/>
    <xf numFmtId="8" fontId="11" fillId="7" borderId="13" xfId="7" applyNumberFormat="1" applyBorder="1"/>
    <xf numFmtId="8" fontId="11" fillId="7" borderId="24" xfId="7" applyNumberFormat="1" applyBorder="1"/>
    <xf numFmtId="0" fontId="11" fillId="7" borderId="13" xfId="7" applyBorder="1"/>
    <xf numFmtId="44" fontId="24" fillId="2" borderId="45" xfId="8" applyNumberFormat="1" applyFont="1" applyBorder="1"/>
    <xf numFmtId="0" fontId="0" fillId="0" borderId="46" xfId="0" applyBorder="1" applyAlignment="1">
      <alignment wrapText="1"/>
    </xf>
    <xf numFmtId="8" fontId="0" fillId="0" borderId="46" xfId="5" applyNumberFormat="1" applyFont="1" applyBorder="1"/>
    <xf numFmtId="16" fontId="0" fillId="0" borderId="46" xfId="0" applyNumberFormat="1" applyBorder="1"/>
    <xf numFmtId="6" fontId="0" fillId="0" borderId="46" xfId="5" applyNumberFormat="1" applyFont="1" applyBorder="1"/>
    <xf numFmtId="6" fontId="0" fillId="0" borderId="46" xfId="0" applyNumberFormat="1" applyBorder="1"/>
    <xf numFmtId="8" fontId="17" fillId="9" borderId="17" xfId="5" applyNumberFormat="1" applyFont="1" applyFill="1" applyBorder="1"/>
    <xf numFmtId="0" fontId="0" fillId="13" borderId="46" xfId="0" applyFill="1" applyBorder="1" applyAlignment="1">
      <alignment horizontal="left" indent="1"/>
    </xf>
    <xf numFmtId="0" fontId="0" fillId="13" borderId="46" xfId="0" applyFill="1" applyBorder="1"/>
    <xf numFmtId="0" fontId="0" fillId="13" borderId="46" xfId="0" applyFill="1" applyBorder="1" applyAlignment="1">
      <alignment horizontal="left"/>
    </xf>
    <xf numFmtId="0" fontId="23" fillId="0" borderId="0" xfId="0" applyFont="1"/>
    <xf numFmtId="40" fontId="0" fillId="0" borderId="0" xfId="5" applyNumberFormat="1" applyFont="1" applyBorder="1"/>
    <xf numFmtId="0" fontId="2" fillId="2" borderId="44" xfId="2" applyBorder="1"/>
    <xf numFmtId="165" fontId="3" fillId="0" borderId="17" xfId="5" applyNumberFormat="1" applyFont="1" applyBorder="1" applyAlignment="1"/>
    <xf numFmtId="8" fontId="3" fillId="0" borderId="17" xfId="5" applyNumberFormat="1" applyFont="1" applyBorder="1"/>
    <xf numFmtId="44" fontId="3" fillId="0" borderId="17" xfId="5" applyFont="1" applyBorder="1"/>
    <xf numFmtId="6" fontId="2" fillId="2" borderId="50" xfId="2" applyNumberFormat="1" applyBorder="1" applyAlignment="1">
      <alignment horizontal="center"/>
    </xf>
    <xf numFmtId="44" fontId="0" fillId="0" borderId="51" xfId="5" applyFont="1" applyBorder="1" applyAlignment="1">
      <alignment horizontal="center"/>
    </xf>
    <xf numFmtId="0" fontId="2" fillId="2" borderId="53" xfId="2" applyBorder="1"/>
    <xf numFmtId="0" fontId="2" fillId="2" borderId="55" xfId="2" applyBorder="1"/>
    <xf numFmtId="0" fontId="2" fillId="2" borderId="38" xfId="2" applyBorder="1"/>
    <xf numFmtId="0" fontId="0" fillId="0" borderId="38" xfId="0" applyBorder="1"/>
    <xf numFmtId="0" fontId="2" fillId="2" borderId="57" xfId="2" applyBorder="1"/>
    <xf numFmtId="0" fontId="2" fillId="2" borderId="59" xfId="2" applyBorder="1"/>
    <xf numFmtId="9" fontId="11" fillId="7" borderId="60" xfId="7" applyNumberFormat="1" applyBorder="1"/>
    <xf numFmtId="6" fontId="11" fillId="7" borderId="56" xfId="7" applyNumberFormat="1" applyBorder="1"/>
    <xf numFmtId="6" fontId="10" fillId="6" borderId="58" xfId="6" applyNumberFormat="1" applyBorder="1" applyAlignment="1">
      <alignment horizontal="center"/>
    </xf>
    <xf numFmtId="0" fontId="2" fillId="2" borderId="16" xfId="2" applyBorder="1"/>
    <xf numFmtId="168" fontId="0" fillId="0" borderId="52" xfId="5" applyNumberFormat="1" applyFont="1" applyBorder="1"/>
    <xf numFmtId="44" fontId="18" fillId="7" borderId="61" xfId="7" applyNumberFormat="1" applyFont="1" applyBorder="1" applyAlignment="1">
      <alignment horizontal="center"/>
    </xf>
    <xf numFmtId="0" fontId="19" fillId="0" borderId="62" xfId="0" applyFont="1" applyBorder="1" applyAlignment="1">
      <alignment horizontal="center"/>
    </xf>
    <xf numFmtId="0" fontId="0" fillId="0" borderId="63" xfId="0" applyBorder="1"/>
    <xf numFmtId="168" fontId="0" fillId="0" borderId="14" xfId="5" applyNumberFormat="1" applyFont="1" applyBorder="1"/>
    <xf numFmtId="0" fontId="19" fillId="0" borderId="64" xfId="0" applyFont="1" applyBorder="1" applyAlignment="1">
      <alignment horizontal="center"/>
    </xf>
    <xf numFmtId="0" fontId="13" fillId="2" borderId="65" xfId="2" applyFont="1" applyBorder="1"/>
    <xf numFmtId="0" fontId="13" fillId="2" borderId="33" xfId="2" applyFont="1" applyBorder="1" applyAlignment="1">
      <alignment wrapText="1"/>
    </xf>
    <xf numFmtId="0" fontId="22" fillId="2" borderId="22" xfId="2" applyFont="1" applyBorder="1"/>
    <xf numFmtId="0" fontId="0" fillId="0" borderId="5" xfId="0" applyFont="1" applyBorder="1"/>
    <xf numFmtId="0" fontId="0" fillId="0" borderId="3" xfId="0" applyFont="1" applyBorder="1"/>
    <xf numFmtId="168" fontId="0" fillId="0" borderId="0" xfId="0" applyNumberFormat="1"/>
    <xf numFmtId="168" fontId="32" fillId="2" borderId="65" xfId="2" applyNumberFormat="1" applyFont="1" applyBorder="1"/>
    <xf numFmtId="168" fontId="10" fillId="0" borderId="54" xfId="6" applyNumberFormat="1" applyFill="1" applyBorder="1" applyAlignment="1">
      <alignment horizontal="center"/>
    </xf>
    <xf numFmtId="168" fontId="18" fillId="7" borderId="13" xfId="7" applyNumberFormat="1" applyFont="1"/>
    <xf numFmtId="0" fontId="18" fillId="7" borderId="48" xfId="7" applyFont="1" applyBorder="1"/>
    <xf numFmtId="0" fontId="0" fillId="0" borderId="0" xfId="0" applyFill="1" applyBorder="1"/>
    <xf numFmtId="0" fontId="5" fillId="3" borderId="4" xfId="4" applyBorder="1"/>
    <xf numFmtId="0" fontId="5" fillId="3" borderId="0" xfId="4"/>
    <xf numFmtId="10" fontId="0" fillId="0" borderId="0" xfId="1" applyNumberFormat="1" applyFont="1"/>
    <xf numFmtId="44" fontId="3" fillId="0" borderId="0" xfId="0" applyNumberFormat="1" applyFont="1" applyBorder="1"/>
    <xf numFmtId="44" fontId="3" fillId="0" borderId="0" xfId="5" applyFont="1" applyBorder="1"/>
    <xf numFmtId="0" fontId="0" fillId="0" borderId="0" xfId="0" applyFont="1" applyAlignment="1">
      <alignment horizontal="left"/>
    </xf>
    <xf numFmtId="44" fontId="2" fillId="2" borderId="1" xfId="5" applyNumberFormat="1" applyFont="1" applyFill="1" applyBorder="1"/>
    <xf numFmtId="44" fontId="3" fillId="0" borderId="2" xfId="5" applyFont="1" applyBorder="1"/>
    <xf numFmtId="44" fontId="3" fillId="0" borderId="3" xfId="5" applyFont="1" applyBorder="1"/>
    <xf numFmtId="44" fontId="11" fillId="7" borderId="67" xfId="7" applyNumberFormat="1" applyBorder="1"/>
    <xf numFmtId="10" fontId="0" fillId="0" borderId="5" xfId="1" applyNumberFormat="1" applyFont="1" applyBorder="1"/>
    <xf numFmtId="44" fontId="5" fillId="3" borderId="4" xfId="4" applyNumberFormat="1" applyBorder="1"/>
    <xf numFmtId="44" fontId="0" fillId="0" borderId="4" xfId="5" applyFont="1" applyBorder="1"/>
    <xf numFmtId="10" fontId="0" fillId="0" borderId="7" xfId="1" applyNumberFormat="1" applyFont="1" applyBorder="1"/>
    <xf numFmtId="44" fontId="3" fillId="0" borderId="4" xfId="5" applyFont="1" applyBorder="1"/>
    <xf numFmtId="10" fontId="0" fillId="0" borderId="0" xfId="1" applyNumberFormat="1" applyFont="1" applyBorder="1"/>
    <xf numFmtId="10" fontId="0" fillId="0" borderId="3" xfId="1" applyNumberFormat="1" applyFont="1" applyBorder="1"/>
    <xf numFmtId="44" fontId="0" fillId="0" borderId="2" xfId="5" applyFont="1" applyBorder="1"/>
    <xf numFmtId="10" fontId="3" fillId="0" borderId="2" xfId="1" applyNumberFormat="1" applyFont="1" applyBorder="1"/>
    <xf numFmtId="10" fontId="11" fillId="7" borderId="67" xfId="7" applyNumberFormat="1" applyBorder="1"/>
    <xf numFmtId="10" fontId="0" fillId="0" borderId="4" xfId="1" applyNumberFormat="1" applyFont="1" applyBorder="1"/>
    <xf numFmtId="10" fontId="3" fillId="0" borderId="4" xfId="1" applyNumberFormat="1" applyFont="1" applyBorder="1"/>
    <xf numFmtId="10" fontId="38" fillId="0" borderId="4" xfId="1" applyNumberFormat="1" applyFont="1" applyBorder="1"/>
    <xf numFmtId="0" fontId="0" fillId="0" borderId="2" xfId="0" applyBorder="1"/>
    <xf numFmtId="0" fontId="3" fillId="0" borderId="4" xfId="0" applyFont="1" applyBorder="1"/>
    <xf numFmtId="44" fontId="37" fillId="0" borderId="0" xfId="5" applyFont="1" applyBorder="1" applyAlignment="1">
      <alignment horizontal="right"/>
    </xf>
    <xf numFmtId="44" fontId="16" fillId="0" borderId="0" xfId="5" applyFont="1" applyBorder="1" applyAlignment="1">
      <alignment horizontal="right"/>
    </xf>
    <xf numFmtId="0" fontId="35" fillId="0" borderId="17" xfId="0" applyFont="1" applyBorder="1"/>
    <xf numFmtId="15" fontId="35" fillId="0" borderId="17" xfId="0" applyNumberFormat="1" applyFont="1" applyBorder="1"/>
    <xf numFmtId="0" fontId="3" fillId="4" borderId="72" xfId="0" applyFont="1" applyFill="1" applyBorder="1"/>
    <xf numFmtId="0" fontId="0" fillId="4" borderId="8" xfId="0" applyFill="1" applyBorder="1"/>
    <xf numFmtId="10" fontId="3" fillId="0" borderId="10" xfId="1" applyNumberFormat="1" applyFont="1" applyBorder="1"/>
    <xf numFmtId="10" fontId="3" fillId="0" borderId="7" xfId="1" applyNumberFormat="1" applyFont="1" applyBorder="1"/>
    <xf numFmtId="0" fontId="39" fillId="3" borderId="68" xfId="4" applyFont="1" applyBorder="1"/>
    <xf numFmtId="44" fontId="39" fillId="3" borderId="17" xfId="4" applyNumberFormat="1" applyFont="1" applyBorder="1"/>
    <xf numFmtId="0" fontId="39" fillId="3" borderId="69" xfId="4" applyFont="1" applyBorder="1"/>
    <xf numFmtId="0" fontId="0" fillId="0" borderId="75" xfId="0" applyBorder="1"/>
    <xf numFmtId="44" fontId="0" fillId="0" borderId="75" xfId="0" applyNumberFormat="1" applyBorder="1"/>
    <xf numFmtId="44" fontId="0" fillId="0" borderId="0" xfId="0" applyNumberFormat="1" applyBorder="1"/>
    <xf numFmtId="0" fontId="2" fillId="0" borderId="26" xfId="2" applyFill="1" applyBorder="1" applyAlignment="1">
      <alignment horizontal="center" vertical="center"/>
    </xf>
    <xf numFmtId="0" fontId="0" fillId="0" borderId="79" xfId="0" applyBorder="1"/>
    <xf numFmtId="44" fontId="0" fillId="0" borderId="79" xfId="0" applyNumberFormat="1" applyBorder="1"/>
    <xf numFmtId="0" fontId="3" fillId="4" borderId="11" xfId="0" applyFont="1" applyFill="1" applyBorder="1"/>
    <xf numFmtId="44" fontId="3" fillId="4" borderId="49" xfId="5" applyFont="1" applyFill="1" applyBorder="1"/>
    <xf numFmtId="10" fontId="3" fillId="4" borderId="49" xfId="1" applyNumberFormat="1" applyFont="1" applyFill="1" applyBorder="1"/>
    <xf numFmtId="44" fontId="0" fillId="4" borderId="49" xfId="5" applyFont="1" applyFill="1" applyBorder="1"/>
    <xf numFmtId="0" fontId="0" fillId="4" borderId="49" xfId="0" applyFill="1" applyBorder="1"/>
    <xf numFmtId="10" fontId="0" fillId="4" borderId="12" xfId="1" applyNumberFormat="1" applyFont="1" applyFill="1" applyBorder="1"/>
    <xf numFmtId="44" fontId="3" fillId="0" borderId="51" xfId="0" applyNumberFormat="1" applyFont="1" applyBorder="1"/>
    <xf numFmtId="0" fontId="0" fillId="0" borderId="49" xfId="0" applyBorder="1"/>
    <xf numFmtId="10" fontId="3" fillId="4" borderId="12" xfId="1" applyNumberFormat="1" applyFont="1" applyFill="1" applyBorder="1"/>
    <xf numFmtId="10" fontId="0" fillId="0" borderId="6" xfId="1" applyNumberFormat="1" applyFont="1" applyBorder="1"/>
    <xf numFmtId="0" fontId="0" fillId="4" borderId="11" xfId="0" applyFill="1" applyBorder="1"/>
    <xf numFmtId="10" fontId="0" fillId="0" borderId="79" xfId="1" applyNumberFormat="1" applyFont="1" applyBorder="1"/>
    <xf numFmtId="10" fontId="0" fillId="0" borderId="51" xfId="1" applyNumberFormat="1" applyFont="1" applyBorder="1"/>
    <xf numFmtId="10" fontId="3" fillId="0" borderId="51" xfId="1" applyNumberFormat="1" applyFont="1" applyBorder="1"/>
    <xf numFmtId="10" fontId="3" fillId="0" borderId="3" xfId="1" applyNumberFormat="1" applyFont="1" applyBorder="1"/>
    <xf numFmtId="10" fontId="3" fillId="0" borderId="5" xfId="1" applyNumberFormat="1" applyFont="1" applyBorder="1"/>
    <xf numFmtId="44" fontId="0" fillId="0" borderId="4" xfId="0" applyNumberFormat="1" applyBorder="1"/>
    <xf numFmtId="166" fontId="7" fillId="0" borderId="0" xfId="0" applyNumberFormat="1" applyFont="1" applyBorder="1"/>
    <xf numFmtId="44" fontId="4" fillId="0" borderId="0" xfId="3" applyNumberFormat="1"/>
    <xf numFmtId="168" fontId="0" fillId="0" borderId="0" xfId="5" applyNumberFormat="1" applyFont="1" applyBorder="1"/>
    <xf numFmtId="0" fontId="0" fillId="0" borderId="0" xfId="0" applyBorder="1" applyAlignment="1">
      <alignment horizontal="center" vertical="center" wrapText="1"/>
    </xf>
    <xf numFmtId="10" fontId="0" fillId="0" borderId="0" xfId="1" applyNumberFormat="1" applyFont="1" applyFill="1" applyBorder="1" applyAlignment="1">
      <alignment horizontal="center" vertical="center"/>
    </xf>
    <xf numFmtId="10" fontId="0" fillId="0" borderId="0" xfId="0" applyNumberFormat="1" applyBorder="1"/>
    <xf numFmtId="0" fontId="0" fillId="0" borderId="0" xfId="0" applyFill="1" applyBorder="1" applyAlignment="1">
      <alignment horizontal="center" vertical="center" wrapText="1"/>
    </xf>
    <xf numFmtId="0" fontId="0" fillId="0" borderId="0" xfId="0" applyBorder="1" applyAlignment="1">
      <alignment horizontal="left" vertical="center"/>
    </xf>
    <xf numFmtId="0" fontId="0" fillId="0" borderId="0" xfId="0" applyBorder="1" applyAlignment="1">
      <alignment horizontal="left"/>
    </xf>
    <xf numFmtId="0" fontId="0" fillId="0" borderId="0" xfId="0" applyFill="1" applyBorder="1" applyAlignment="1">
      <alignment horizontal="left" vertical="center"/>
    </xf>
    <xf numFmtId="0" fontId="0" fillId="0" borderId="26" xfId="0" applyBorder="1" applyAlignment="1">
      <alignment horizontal="left" vertical="center"/>
    </xf>
    <xf numFmtId="164" fontId="0" fillId="4" borderId="8" xfId="0" applyNumberFormat="1" applyFill="1" applyBorder="1"/>
    <xf numFmtId="0" fontId="40" fillId="3" borderId="59" xfId="4" applyFont="1" applyBorder="1"/>
    <xf numFmtId="164" fontId="40" fillId="3" borderId="74" xfId="4" applyNumberFormat="1" applyFont="1" applyBorder="1"/>
    <xf numFmtId="164" fontId="40" fillId="3" borderId="76" xfId="4" applyNumberFormat="1" applyFont="1" applyBorder="1"/>
    <xf numFmtId="0" fontId="40" fillId="3" borderId="38" xfId="4" applyFont="1" applyBorder="1"/>
    <xf numFmtId="164" fontId="40" fillId="3" borderId="46" xfId="4" applyNumberFormat="1" applyFont="1" applyBorder="1"/>
    <xf numFmtId="164" fontId="40" fillId="3" borderId="52" xfId="4" applyNumberFormat="1" applyFont="1" applyBorder="1"/>
    <xf numFmtId="0" fontId="40" fillId="3" borderId="57" xfId="4" applyFont="1" applyBorder="1"/>
    <xf numFmtId="164" fontId="40" fillId="3" borderId="47" xfId="4" applyNumberFormat="1" applyFont="1" applyBorder="1"/>
    <xf numFmtId="164" fontId="40" fillId="3" borderId="77" xfId="4" applyNumberFormat="1" applyFont="1" applyBorder="1"/>
    <xf numFmtId="168" fontId="0" fillId="0" borderId="0" xfId="0" applyNumberFormat="1" applyBorder="1"/>
    <xf numFmtId="44" fontId="9" fillId="0" borderId="26" xfId="0" applyNumberFormat="1" applyFont="1" applyBorder="1"/>
    <xf numFmtId="44" fontId="9" fillId="0" borderId="0" xfId="0" applyNumberFormat="1" applyFont="1" applyBorder="1"/>
    <xf numFmtId="0" fontId="35" fillId="0" borderId="0" xfId="0" applyFont="1" applyBorder="1"/>
    <xf numFmtId="0" fontId="0" fillId="0" borderId="14" xfId="0" applyFill="1" applyBorder="1"/>
    <xf numFmtId="0" fontId="0" fillId="0" borderId="18" xfId="0" applyFill="1" applyBorder="1"/>
    <xf numFmtId="0" fontId="0" fillId="0" borderId="83" xfId="0" applyBorder="1"/>
    <xf numFmtId="44" fontId="11" fillId="7" borderId="84" xfId="7" applyNumberFormat="1" applyBorder="1"/>
    <xf numFmtId="10" fontId="0" fillId="0" borderId="23" xfId="1" applyNumberFormat="1" applyFont="1" applyBorder="1"/>
    <xf numFmtId="0" fontId="0" fillId="0" borderId="18" xfId="0" applyBorder="1"/>
    <xf numFmtId="44" fontId="0" fillId="0" borderId="83" xfId="5" applyFont="1" applyBorder="1"/>
    <xf numFmtId="10" fontId="0" fillId="0" borderId="64" xfId="1" applyNumberFormat="1" applyFont="1" applyBorder="1"/>
    <xf numFmtId="0" fontId="0" fillId="0" borderId="15" xfId="0" applyFill="1" applyBorder="1"/>
    <xf numFmtId="0" fontId="0" fillId="0" borderId="16" xfId="0" applyFill="1" applyBorder="1"/>
    <xf numFmtId="0" fontId="0" fillId="0" borderId="75" xfId="0" applyFill="1" applyBorder="1"/>
    <xf numFmtId="0" fontId="0" fillId="0" borderId="85" xfId="0" applyBorder="1"/>
    <xf numFmtId="44" fontId="11" fillId="7" borderId="86" xfId="7" applyNumberFormat="1" applyBorder="1"/>
    <xf numFmtId="10" fontId="0" fillId="0" borderId="87" xfId="1" applyNumberFormat="1" applyFont="1" applyBorder="1"/>
    <xf numFmtId="44" fontId="0" fillId="0" borderId="75" xfId="5" applyFont="1" applyBorder="1"/>
    <xf numFmtId="10" fontId="0" fillId="0" borderId="85" xfId="1" applyNumberFormat="1" applyFont="1" applyBorder="1"/>
    <xf numFmtId="44" fontId="0" fillId="0" borderId="85" xfId="5" applyFont="1" applyBorder="1"/>
    <xf numFmtId="10" fontId="0" fillId="0" borderId="88" xfId="1" applyNumberFormat="1" applyFont="1" applyBorder="1"/>
    <xf numFmtId="0" fontId="0" fillId="0" borderId="14" xfId="0" applyBorder="1"/>
    <xf numFmtId="44" fontId="0" fillId="0" borderId="18" xfId="5" applyFont="1" applyBorder="1"/>
    <xf numFmtId="44" fontId="0" fillId="0" borderId="18" xfId="0" applyNumberFormat="1" applyBorder="1"/>
    <xf numFmtId="44" fontId="0" fillId="0" borderId="83" xfId="0" applyNumberFormat="1" applyBorder="1"/>
    <xf numFmtId="0" fontId="0" fillId="0" borderId="15" xfId="0" applyBorder="1"/>
    <xf numFmtId="0" fontId="0" fillId="0" borderId="16" xfId="0" applyBorder="1"/>
    <xf numFmtId="44" fontId="0" fillId="0" borderId="85" xfId="0" applyNumberFormat="1" applyBorder="1"/>
    <xf numFmtId="0" fontId="0" fillId="0" borderId="52" xfId="0" applyBorder="1"/>
    <xf numFmtId="0" fontId="0" fillId="0" borderId="89" xfId="0" applyBorder="1"/>
    <xf numFmtId="0" fontId="0" fillId="0" borderId="90" xfId="0" applyBorder="1"/>
    <xf numFmtId="44" fontId="11" fillId="7" borderId="91" xfId="5" applyFont="1" applyFill="1" applyBorder="1"/>
    <xf numFmtId="10" fontId="0" fillId="0" borderId="92" xfId="1" applyNumberFormat="1" applyFont="1" applyBorder="1"/>
    <xf numFmtId="44" fontId="0" fillId="0" borderId="90" xfId="0" applyNumberFormat="1" applyBorder="1"/>
    <xf numFmtId="10" fontId="0" fillId="0" borderId="62" xfId="1" applyNumberFormat="1" applyFont="1" applyBorder="1"/>
    <xf numFmtId="10" fontId="16" fillId="0" borderId="83" xfId="1" applyNumberFormat="1" applyFont="1" applyBorder="1" applyAlignment="1">
      <alignment horizontal="center" wrapText="1"/>
    </xf>
    <xf numFmtId="44" fontId="0" fillId="0" borderId="64" xfId="0" applyNumberFormat="1" applyBorder="1"/>
    <xf numFmtId="10" fontId="11" fillId="7" borderId="86" xfId="7" applyNumberFormat="1" applyBorder="1"/>
    <xf numFmtId="44" fontId="0" fillId="0" borderId="88" xfId="0" applyNumberFormat="1" applyBorder="1"/>
    <xf numFmtId="10" fontId="11" fillId="7" borderId="84" xfId="7" applyNumberFormat="1" applyBorder="1"/>
    <xf numFmtId="0" fontId="0" fillId="0" borderId="23" xfId="0" applyBorder="1"/>
    <xf numFmtId="0" fontId="0" fillId="0" borderId="87" xfId="0" applyBorder="1"/>
    <xf numFmtId="0" fontId="0" fillId="0" borderId="92" xfId="0" applyBorder="1"/>
    <xf numFmtId="0" fontId="4" fillId="2" borderId="36" xfId="3" applyFill="1" applyBorder="1" applyAlignment="1">
      <alignment wrapText="1"/>
    </xf>
    <xf numFmtId="0" fontId="44" fillId="0" borderId="0" xfId="0" applyFont="1" applyAlignment="1">
      <alignment horizontal="left"/>
    </xf>
    <xf numFmtId="0" fontId="44" fillId="0" borderId="0" xfId="0" applyFont="1"/>
    <xf numFmtId="44" fontId="11" fillId="7" borderId="93" xfId="7" applyNumberFormat="1" applyBorder="1"/>
    <xf numFmtId="44" fontId="11" fillId="7" borderId="94" xfId="7" applyNumberFormat="1" applyBorder="1"/>
    <xf numFmtId="0" fontId="4" fillId="0" borderId="46" xfId="3" applyBorder="1"/>
    <xf numFmtId="0" fontId="45" fillId="0" borderId="0" xfId="0" applyFont="1"/>
    <xf numFmtId="14" fontId="45" fillId="0" borderId="0" xfId="0" applyNumberFormat="1" applyFont="1" applyAlignment="1">
      <alignment horizontal="left"/>
    </xf>
    <xf numFmtId="15" fontId="41" fillId="0" borderId="0" xfId="0" applyNumberFormat="1" applyFont="1" applyBorder="1"/>
    <xf numFmtId="10" fontId="0" fillId="4" borderId="11" xfId="0" applyNumberFormat="1" applyFill="1" applyBorder="1" applyAlignment="1">
      <alignment horizontal="center"/>
    </xf>
    <xf numFmtId="10" fontId="26" fillId="0" borderId="0" xfId="1" applyNumberFormat="1" applyFont="1" applyBorder="1" applyAlignment="1">
      <alignment horizontal="center"/>
    </xf>
    <xf numFmtId="0" fontId="11" fillId="7" borderId="13" xfId="7"/>
    <xf numFmtId="0" fontId="26" fillId="0" borderId="0" xfId="0" applyFont="1"/>
    <xf numFmtId="6" fontId="2" fillId="2" borderId="1" xfId="2" applyNumberFormat="1" applyAlignment="1">
      <alignment horizontal="center"/>
    </xf>
    <xf numFmtId="0" fontId="2" fillId="2" borderId="50" xfId="2" applyBorder="1" applyAlignment="1">
      <alignment horizontal="right"/>
    </xf>
    <xf numFmtId="6" fontId="1" fillId="11" borderId="51" xfId="12" applyNumberFormat="1" applyBorder="1"/>
    <xf numFmtId="8" fontId="11" fillId="0" borderId="13" xfId="7" applyNumberFormat="1" applyFill="1" applyBorder="1"/>
    <xf numFmtId="44" fontId="31" fillId="9" borderId="0" xfId="10" applyNumberFormat="1" applyFont="1" applyAlignment="1">
      <alignment horizontal="center"/>
    </xf>
    <xf numFmtId="0" fontId="2" fillId="2" borderId="29" xfId="2" applyBorder="1" applyAlignment="1">
      <alignment vertical="center" wrapText="1"/>
    </xf>
    <xf numFmtId="8" fontId="11" fillId="0" borderId="0" xfId="7" applyNumberFormat="1" applyFill="1" applyBorder="1"/>
    <xf numFmtId="8" fontId="46" fillId="0" borderId="0" xfId="7" applyNumberFormat="1" applyFont="1" applyFill="1" applyBorder="1"/>
    <xf numFmtId="0" fontId="47" fillId="8" borderId="1" xfId="3" applyFont="1" applyFill="1" applyBorder="1" applyAlignment="1">
      <alignment horizontal="center"/>
    </xf>
    <xf numFmtId="10" fontId="3" fillId="0" borderId="31" xfId="1" applyNumberFormat="1" applyFont="1" applyBorder="1"/>
    <xf numFmtId="44" fontId="3" fillId="0" borderId="10" xfId="0" applyNumberFormat="1" applyFont="1" applyBorder="1"/>
    <xf numFmtId="44" fontId="3" fillId="0" borderId="26" xfId="0" applyNumberFormat="1" applyFont="1" applyBorder="1"/>
    <xf numFmtId="164" fontId="40" fillId="3" borderId="99" xfId="4" applyNumberFormat="1" applyFont="1" applyBorder="1"/>
    <xf numFmtId="164" fontId="40" fillId="3" borderId="92" xfId="4" applyNumberFormat="1" applyFont="1" applyBorder="1"/>
    <xf numFmtId="164" fontId="40" fillId="3" borderId="100" xfId="4" applyNumberFormat="1" applyFont="1" applyBorder="1"/>
    <xf numFmtId="44" fontId="3" fillId="4" borderId="11" xfId="5" applyFont="1" applyFill="1" applyBorder="1"/>
    <xf numFmtId="10" fontId="3" fillId="4" borderId="7" xfId="1" applyNumberFormat="1" applyFont="1" applyFill="1" applyBorder="1"/>
    <xf numFmtId="44" fontId="3" fillId="0" borderId="4" xfId="0" applyNumberFormat="1" applyFont="1" applyBorder="1"/>
    <xf numFmtId="44" fontId="3" fillId="0" borderId="78" xfId="0" applyNumberFormat="1" applyFont="1" applyBorder="1"/>
    <xf numFmtId="44" fontId="3" fillId="0" borderId="79" xfId="0" applyNumberFormat="1" applyFont="1" applyBorder="1"/>
    <xf numFmtId="44" fontId="3" fillId="4" borderId="12" xfId="5" applyFont="1" applyFill="1" applyBorder="1"/>
    <xf numFmtId="164" fontId="40" fillId="3" borderId="55" xfId="4" applyNumberFormat="1" applyFont="1" applyBorder="1"/>
    <xf numFmtId="164" fontId="40" fillId="3" borderId="90" xfId="4" applyNumberFormat="1" applyFont="1" applyBorder="1"/>
    <xf numFmtId="164" fontId="40" fillId="3" borderId="72" xfId="4" applyNumberFormat="1" applyFont="1" applyBorder="1"/>
    <xf numFmtId="44" fontId="39" fillId="3" borderId="72" xfId="4" applyNumberFormat="1" applyFont="1" applyBorder="1"/>
    <xf numFmtId="44" fontId="39" fillId="3" borderId="100" xfId="4" applyNumberFormat="1" applyFont="1" applyBorder="1"/>
    <xf numFmtId="44" fontId="40" fillId="3" borderId="74" xfId="4" applyNumberFormat="1" applyFont="1" applyBorder="1" applyAlignment="1">
      <alignment horizontal="right"/>
    </xf>
    <xf numFmtId="44" fontId="40" fillId="3" borderId="46" xfId="4" applyNumberFormat="1" applyFont="1" applyBorder="1" applyAlignment="1">
      <alignment horizontal="right"/>
    </xf>
    <xf numFmtId="44" fontId="40" fillId="3" borderId="47" xfId="4" applyNumberFormat="1" applyFont="1" applyBorder="1" applyAlignment="1">
      <alignment horizontal="right"/>
    </xf>
    <xf numFmtId="9" fontId="35" fillId="0" borderId="0" xfId="0" applyNumberFormat="1" applyFont="1"/>
    <xf numFmtId="10" fontId="18" fillId="7" borderId="4" xfId="7" applyNumberFormat="1" applyFont="1" applyBorder="1"/>
    <xf numFmtId="10" fontId="18" fillId="7" borderId="67" xfId="7" applyNumberFormat="1" applyFont="1" applyBorder="1"/>
    <xf numFmtId="10" fontId="5" fillId="3" borderId="3" xfId="4" applyNumberFormat="1" applyBorder="1"/>
    <xf numFmtId="0" fontId="3" fillId="4" borderId="6" xfId="0" applyFont="1" applyFill="1" applyBorder="1"/>
    <xf numFmtId="164" fontId="0" fillId="4" borderId="10" xfId="0" applyNumberFormat="1" applyFill="1" applyBorder="1"/>
    <xf numFmtId="10" fontId="2" fillId="2" borderId="0" xfId="2" applyNumberFormat="1" applyBorder="1" applyAlignment="1">
      <alignment horizontal="center" vertical="center"/>
    </xf>
    <xf numFmtId="0" fontId="0" fillId="0" borderId="5" xfId="0" applyBorder="1" applyAlignment="1">
      <alignment horizontal="center"/>
    </xf>
    <xf numFmtId="0" fontId="0" fillId="5" borderId="7" xfId="0" applyFill="1" applyBorder="1" applyAlignment="1">
      <alignment horizontal="center" vertical="center"/>
    </xf>
    <xf numFmtId="0" fontId="3" fillId="4" borderId="78" xfId="0" applyFont="1" applyFill="1" applyBorder="1" applyAlignment="1">
      <alignment horizontal="center"/>
    </xf>
    <xf numFmtId="0" fontId="0" fillId="4" borderId="3" xfId="0" applyFill="1" applyBorder="1"/>
    <xf numFmtId="44" fontId="1" fillId="0" borderId="83" xfId="13" applyNumberFormat="1" applyFill="1" applyBorder="1"/>
    <xf numFmtId="44" fontId="1" fillId="0" borderId="85" xfId="13" applyNumberFormat="1" applyFill="1" applyBorder="1"/>
    <xf numFmtId="44" fontId="11" fillId="7" borderId="101" xfId="7" applyNumberFormat="1" applyBorder="1"/>
    <xf numFmtId="0" fontId="23" fillId="4" borderId="2" xfId="0" applyFont="1" applyFill="1" applyBorder="1"/>
    <xf numFmtId="168" fontId="0" fillId="0" borderId="3" xfId="5" applyNumberFormat="1" applyFont="1" applyBorder="1"/>
    <xf numFmtId="168" fontId="0" fillId="0" borderId="5" xfId="5" applyNumberFormat="1" applyFont="1" applyBorder="1"/>
    <xf numFmtId="168" fontId="0" fillId="0" borderId="87" xfId="5" applyNumberFormat="1" applyFont="1" applyBorder="1"/>
    <xf numFmtId="44" fontId="0" fillId="0" borderId="23" xfId="0" applyNumberFormat="1" applyBorder="1"/>
    <xf numFmtId="44" fontId="0" fillId="0" borderId="5" xfId="0" applyNumberFormat="1" applyBorder="1"/>
    <xf numFmtId="44" fontId="0" fillId="0" borderId="87" xfId="0" applyNumberFormat="1" applyBorder="1"/>
    <xf numFmtId="44" fontId="0" fillId="0" borderId="92" xfId="5" applyFont="1" applyBorder="1"/>
    <xf numFmtId="44" fontId="0" fillId="0" borderId="7" xfId="0" applyNumberFormat="1" applyBorder="1"/>
    <xf numFmtId="44" fontId="5" fillId="3" borderId="2" xfId="4" applyNumberFormat="1" applyBorder="1"/>
    <xf numFmtId="168" fontId="47" fillId="3" borderId="4" xfId="3" applyNumberFormat="1" applyFont="1" applyFill="1" applyBorder="1"/>
    <xf numFmtId="0" fontId="31" fillId="9" borderId="0" xfId="10" applyFont="1" applyBorder="1" applyAlignment="1">
      <alignment horizontal="center"/>
    </xf>
    <xf numFmtId="167" fontId="48" fillId="15" borderId="0" xfId="3" applyNumberFormat="1" applyFont="1" applyFill="1" applyAlignment="1">
      <alignment horizontal="center" vertical="center"/>
    </xf>
    <xf numFmtId="0" fontId="0" fillId="0" borderId="0" xfId="0" applyAlignment="1">
      <alignment horizontal="center"/>
    </xf>
    <xf numFmtId="44" fontId="51" fillId="16" borderId="4" xfId="14" applyNumberFormat="1" applyFont="1" applyBorder="1" applyAlignment="1">
      <alignment horizontal="center"/>
    </xf>
    <xf numFmtId="44" fontId="51" fillId="16" borderId="0" xfId="14" applyNumberFormat="1" applyFont="1" applyBorder="1" applyAlignment="1">
      <alignment horizontal="center"/>
    </xf>
    <xf numFmtId="0" fontId="50" fillId="15" borderId="0" xfId="3" applyFont="1" applyFill="1" applyAlignment="1">
      <alignment horizontal="center"/>
    </xf>
    <xf numFmtId="0" fontId="51" fillId="16" borderId="2" xfId="14" applyFont="1" applyBorder="1" applyAlignment="1">
      <alignment horizontal="center" vertical="center" wrapText="1"/>
    </xf>
    <xf numFmtId="0" fontId="51" fillId="16" borderId="3" xfId="14" applyFont="1" applyBorder="1" applyAlignment="1">
      <alignment horizontal="center" vertical="center" wrapText="1"/>
    </xf>
    <xf numFmtId="0" fontId="49" fillId="2" borderId="70" xfId="2" applyFont="1" applyBorder="1" applyAlignment="1">
      <alignment horizontal="center" vertical="center"/>
    </xf>
    <xf numFmtId="0" fontId="49" fillId="2" borderId="73" xfId="2" applyFont="1" applyBorder="1" applyAlignment="1">
      <alignment horizontal="center" vertical="center"/>
    </xf>
    <xf numFmtId="0" fontId="49" fillId="2" borderId="66" xfId="2" applyFont="1" applyBorder="1" applyAlignment="1">
      <alignment horizontal="center" vertical="center"/>
    </xf>
    <xf numFmtId="0" fontId="49" fillId="2" borderId="71" xfId="2" applyFont="1" applyBorder="1" applyAlignment="1">
      <alignment horizontal="center" vertical="center"/>
    </xf>
    <xf numFmtId="0" fontId="49" fillId="2" borderId="81" xfId="2" applyFont="1" applyBorder="1" applyAlignment="1">
      <alignment horizontal="center" vertical="center"/>
    </xf>
    <xf numFmtId="0" fontId="49" fillId="2" borderId="82" xfId="2" applyFont="1" applyBorder="1" applyAlignment="1">
      <alignment horizontal="center" vertical="center"/>
    </xf>
    <xf numFmtId="0" fontId="49" fillId="2" borderId="80" xfId="2" applyFont="1" applyBorder="1" applyAlignment="1">
      <alignment horizontal="center" vertical="center"/>
    </xf>
    <xf numFmtId="0" fontId="49" fillId="2" borderId="98" xfId="2" applyFont="1" applyBorder="1" applyAlignment="1">
      <alignment horizontal="center" vertical="center"/>
    </xf>
    <xf numFmtId="8" fontId="51" fillId="16" borderId="0" xfId="14" applyNumberFormat="1" applyFont="1" applyBorder="1" applyAlignment="1">
      <alignment horizontal="right" vertical="center"/>
    </xf>
    <xf numFmtId="8" fontId="51" fillId="16" borderId="5" xfId="14" applyNumberFormat="1" applyFont="1" applyBorder="1" applyAlignment="1">
      <alignment horizontal="right" vertical="center"/>
    </xf>
    <xf numFmtId="8" fontId="51" fillId="16" borderId="10" xfId="14" applyNumberFormat="1" applyFont="1" applyBorder="1" applyAlignment="1">
      <alignment horizontal="right" vertical="center"/>
    </xf>
    <xf numFmtId="8" fontId="51" fillId="16" borderId="7" xfId="14" applyNumberFormat="1" applyFont="1" applyBorder="1" applyAlignment="1">
      <alignment horizontal="right" vertical="center"/>
    </xf>
    <xf numFmtId="0" fontId="3" fillId="4" borderId="11" xfId="0" applyFont="1" applyFill="1" applyBorder="1" applyAlignment="1">
      <alignment horizontal="center"/>
    </xf>
    <xf numFmtId="0" fontId="3" fillId="4" borderId="12" xfId="0" applyFont="1" applyFill="1" applyBorder="1" applyAlignment="1">
      <alignment horizontal="center"/>
    </xf>
    <xf numFmtId="0" fontId="2" fillId="2" borderId="1" xfId="2" applyAlignment="1">
      <alignment horizontal="center" vertical="center" textRotation="90"/>
    </xf>
    <xf numFmtId="0" fontId="2" fillId="2" borderId="1" xfId="2" applyAlignment="1"/>
    <xf numFmtId="0" fontId="2" fillId="2" borderId="9" xfId="2" applyBorder="1" applyAlignment="1">
      <alignment horizontal="center" vertical="center" textRotation="90"/>
    </xf>
    <xf numFmtId="0" fontId="14" fillId="2" borderId="66" xfId="2" applyFont="1" applyBorder="1" applyAlignment="1"/>
    <xf numFmtId="0" fontId="0" fillId="0" borderId="10" xfId="0" applyBorder="1" applyAlignment="1"/>
    <xf numFmtId="6" fontId="0" fillId="0" borderId="95" xfId="0" applyNumberFormat="1" applyBorder="1" applyAlignment="1">
      <alignment horizontal="center" vertical="center"/>
    </xf>
    <xf numFmtId="0" fontId="0" fillId="0" borderId="96" xfId="0" applyBorder="1" applyAlignment="1">
      <alignment horizontal="center" vertical="center"/>
    </xf>
    <xf numFmtId="0" fontId="0" fillId="0" borderId="97" xfId="0" applyBorder="1" applyAlignment="1">
      <alignment horizontal="center" vertical="center"/>
    </xf>
    <xf numFmtId="0" fontId="2" fillId="2" borderId="50" xfId="2" applyBorder="1" applyAlignment="1">
      <alignment horizontal="center" vertical="center" wrapText="1"/>
    </xf>
    <xf numFmtId="164" fontId="0" fillId="0" borderId="79" xfId="1" applyNumberFormat="1" applyFont="1" applyBorder="1"/>
    <xf numFmtId="10" fontId="0" fillId="0" borderId="79" xfId="0" applyNumberFormat="1" applyBorder="1"/>
    <xf numFmtId="164" fontId="23" fillId="4" borderId="103" xfId="0" applyNumberFormat="1" applyFont="1" applyFill="1" applyBorder="1"/>
    <xf numFmtId="10" fontId="9" fillId="0" borderId="78" xfId="1" applyNumberFormat="1" applyFont="1" applyBorder="1"/>
    <xf numFmtId="10" fontId="9" fillId="0" borderId="79" xfId="1" applyNumberFormat="1" applyFont="1" applyBorder="1"/>
    <xf numFmtId="10" fontId="23" fillId="4" borderId="51" xfId="0" applyNumberFormat="1" applyFont="1" applyFill="1" applyBorder="1"/>
    <xf numFmtId="0" fontId="2" fillId="2" borderId="104" xfId="2" applyBorder="1" applyAlignment="1">
      <alignment horizontal="center" vertical="center" wrapText="1"/>
    </xf>
    <xf numFmtId="0" fontId="2" fillId="2" borderId="102" xfId="2" applyBorder="1"/>
    <xf numFmtId="44" fontId="9" fillId="0" borderId="78" xfId="0" applyNumberFormat="1" applyFont="1" applyBorder="1"/>
    <xf numFmtId="44" fontId="9" fillId="0" borderId="79" xfId="0" applyNumberFormat="1" applyFont="1" applyBorder="1"/>
    <xf numFmtId="10" fontId="9" fillId="4" borderId="79" xfId="0" applyNumberFormat="1" applyFont="1" applyFill="1" applyBorder="1"/>
    <xf numFmtId="10" fontId="2" fillId="2" borderId="79" xfId="2" applyNumberFormat="1" applyBorder="1" applyAlignment="1">
      <alignment horizontal="right" vertical="center"/>
    </xf>
    <xf numFmtId="10" fontId="2" fillId="2" borderId="51" xfId="1" applyNumberFormat="1" applyFont="1" applyFill="1" applyBorder="1" applyAlignment="1">
      <alignment horizontal="right" vertical="center"/>
    </xf>
    <xf numFmtId="10" fontId="23" fillId="4" borderId="51" xfId="1" applyNumberFormat="1" applyFont="1" applyFill="1" applyBorder="1"/>
    <xf numFmtId="0" fontId="3" fillId="0" borderId="14" xfId="0" applyFont="1" applyBorder="1"/>
  </cellXfs>
  <cellStyles count="15">
    <cellStyle name="20 % - Akzent1" xfId="13" builtinId="30"/>
    <cellStyle name="20 % - Akzent2" xfId="9" builtinId="34"/>
    <cellStyle name="20 % - Akzent3" xfId="14" builtinId="38"/>
    <cellStyle name="20 % - Akzent5" xfId="12" builtinId="46"/>
    <cellStyle name="40 % - Akzent3" xfId="11" builtinId="39"/>
    <cellStyle name="Ausgabe" xfId="2" builtinId="21"/>
    <cellStyle name="Berechnung" xfId="8" builtinId="22"/>
    <cellStyle name="Eingabe" xfId="7" builtinId="20"/>
    <cellStyle name="Gut" xfId="4" builtinId="26"/>
    <cellStyle name="Hyperlink" xfId="3" builtinId="8"/>
    <cellStyle name="Neutral" xfId="6" builtinId="28"/>
    <cellStyle name="Prozent" xfId="1" builtinId="5"/>
    <cellStyle name="Schlecht" xfId="10" builtinId="27"/>
    <cellStyle name="Standard" xfId="0" builtinId="0"/>
    <cellStyle name="Währung" xfId="5" builtinId="4"/>
  </cellStyles>
  <dxfs count="14">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FF0000"/>
        </patternFill>
      </fill>
    </dxf>
    <dxf>
      <fill>
        <patternFill>
          <bgColor rgb="FFFF0000"/>
        </patternFill>
      </fill>
    </dxf>
    <dxf>
      <font>
        <color rgb="FFFF0000"/>
      </font>
      <fill>
        <patternFill patternType="none">
          <bgColor auto="1"/>
        </patternFill>
      </fill>
    </dxf>
    <dxf>
      <font>
        <color rgb="FFFF0000"/>
      </font>
      <fill>
        <patternFill patternType="none">
          <bgColor auto="1"/>
        </patternFill>
      </fill>
    </dxf>
    <dxf>
      <fill>
        <patternFill>
          <bgColor rgb="FF92D050"/>
        </patternFill>
      </fill>
    </dxf>
    <dxf>
      <fill>
        <patternFill>
          <bgColor theme="5" tint="0.59996337778862885"/>
        </patternFill>
      </fill>
    </dxf>
    <dxf>
      <fill>
        <patternFill>
          <bgColor rgb="FF92D050"/>
        </patternFill>
      </fill>
    </dxf>
    <dxf>
      <fill>
        <patternFill>
          <bgColor rgb="FF92D050"/>
        </patternFill>
      </fill>
    </dxf>
    <dxf>
      <fill>
        <patternFill>
          <bgColor rgb="FFFF0000"/>
        </patternFill>
      </fill>
    </dxf>
    <dxf>
      <fill>
        <patternFill>
          <bgColor rgb="FFFF0000"/>
        </patternFill>
      </fill>
    </dxf>
  </dxfs>
  <tableStyles count="0" defaultTableStyle="TableStyleMedium2" defaultPivotStyle="PivotStyleMedium9"/>
  <colors>
    <mruColors>
      <color rgb="FFCCFF99"/>
      <color rgb="FFFFFF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odern-banking.de/vergleich-tagesgeld-20.php"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www.wertpapier-forum.de/topic/34144-die-mischung-machts/page__view__findpost__p__645034" TargetMode="External"/><Relationship Id="rId1" Type="http://schemas.openxmlformats.org/officeDocument/2006/relationships/hyperlink" Target="http://www.wertpapier-forum.de/topic/34144-die-mischung-machts/page__view__findpost__p__645034"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8" Type="http://schemas.openxmlformats.org/officeDocument/2006/relationships/hyperlink" Target="http://www.fondsweb.de/LU0690964092-db-x-trackers-II-GLOBAL-SOVEREIGN-INDEX-ETF-1D" TargetMode="External"/><Relationship Id="rId13" Type="http://schemas.openxmlformats.org/officeDocument/2006/relationships/hyperlink" Target="http://www.fondsweb.de/LU0488316133-ComStage-ETF-SundP-500-I" TargetMode="External"/><Relationship Id="rId18" Type="http://schemas.openxmlformats.org/officeDocument/2006/relationships/hyperlink" Target="http://www.fondsweb.de/LU0137341789-StarCapital-Argos-A-EUR" TargetMode="External"/><Relationship Id="rId3" Type="http://schemas.openxmlformats.org/officeDocument/2006/relationships/hyperlink" Target="http://www.fondsweb.de/LU0292107645-db-x-trackers-MSCI-EMERGING-MARKETS-TRN-INDEX-ETF-1C" TargetMode="External"/><Relationship Id="rId21" Type="http://schemas.openxmlformats.org/officeDocument/2006/relationships/printerSettings" Target="../printerSettings/printerSettings4.bin"/><Relationship Id="rId7" Type="http://schemas.openxmlformats.org/officeDocument/2006/relationships/hyperlink" Target="http://www.fondsweb.de/DE000A0RFFT0-iShares-JPMorgan-USD-Emerging-Markets-Bond-Fund-DE" TargetMode="External"/><Relationship Id="rId12" Type="http://schemas.openxmlformats.org/officeDocument/2006/relationships/hyperlink" Target="http://www.fondsweb.de/DE000A1C22M3-HSBC-SundP-500-ETF-DE" TargetMode="External"/><Relationship Id="rId17" Type="http://schemas.openxmlformats.org/officeDocument/2006/relationships/hyperlink" Target="http://www.fondsweb.de/LU0360863863-ARERO-Der-Weltfonds" TargetMode="External"/><Relationship Id="rId2" Type="http://schemas.openxmlformats.org/officeDocument/2006/relationships/hyperlink" Target="http://www.fondsweb.de/LU0392495023-ComStage-ETF-MSCI-Pacific-TRN-I" TargetMode="External"/><Relationship Id="rId16" Type="http://schemas.openxmlformats.org/officeDocument/2006/relationships/hyperlink" Target="http://www.fondsweb.de/LU0378434582-ComStage-ETF-STOXX-Europe-600-NR" TargetMode="External"/><Relationship Id="rId20" Type="http://schemas.openxmlformats.org/officeDocument/2006/relationships/hyperlink" Target="http://www.fondsweb.de/LU0137341789-StarCapital-Argos-A-EUR" TargetMode="External"/><Relationship Id="rId1" Type="http://schemas.openxmlformats.org/officeDocument/2006/relationships/hyperlink" Target="http://www.fondsweb.de/DE0002635307-iShares-STOXX-Europe-600-DE" TargetMode="External"/><Relationship Id="rId6" Type="http://schemas.openxmlformats.org/officeDocument/2006/relationships/hyperlink" Target="http://www.fondsweb.de/DE000A1JB4Q0-iShares-Barclays-Capital-Emergi-Market-Local-Govt-Bond-DE" TargetMode="External"/><Relationship Id="rId11" Type="http://schemas.openxmlformats.org/officeDocument/2006/relationships/hyperlink" Target="http://www.fondsweb.de/FR0010820258-LYXOR-ETF-EUROMTS-AAA-GOVERNMENT-BOND" TargetMode="External"/><Relationship Id="rId5" Type="http://schemas.openxmlformats.org/officeDocument/2006/relationships/hyperlink" Target="http://www.fondsweb.de/LU0321462953-db-x-trackers-II-Emerg-Markets-Liquid-Eurobond-Index-ETF-1C" TargetMode="External"/><Relationship Id="rId15" Type="http://schemas.openxmlformats.org/officeDocument/2006/relationships/hyperlink" Target="http://www.fondsweb.de/LU0328475792-db-x-trackers-STOXXA-600-ETF-1C" TargetMode="External"/><Relationship Id="rId10" Type="http://schemas.openxmlformats.org/officeDocument/2006/relationships/hyperlink" Target="http://www.fondsweb.de/DE000ETFL177-ETFlab-Deutsche-Boerse-EUROGOV-R-Germany" TargetMode="External"/><Relationship Id="rId19" Type="http://schemas.openxmlformats.org/officeDocument/2006/relationships/hyperlink" Target="http://www.fondsweb.de/LU0137341789-StarCapital-Argos-A-EUR" TargetMode="External"/><Relationship Id="rId4" Type="http://schemas.openxmlformats.org/officeDocument/2006/relationships/hyperlink" Target="http://www.fondsweb.de/LU0635178014-ComStage-ETF-MSCI-Emerging-Markets-TRN" TargetMode="External"/><Relationship Id="rId9" Type="http://schemas.openxmlformats.org/officeDocument/2006/relationships/hyperlink" Target="http://www.fondsweb.de/LU0378818131-db-x-trackers-II-GLOBAL-SOVEREIGN-INDEX-ETF-1C" TargetMode="External"/><Relationship Id="rId14" Type="http://schemas.openxmlformats.org/officeDocument/2006/relationships/hyperlink" Target="http://www.fondsweb.de/FR0010892224-AMUNDI-ETF-SundP-500" TargetMode="Externa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5.bin"/><Relationship Id="rId1" Type="http://schemas.openxmlformats.org/officeDocument/2006/relationships/hyperlink" Target="http://www.modern-banking.de/vergleich-festzins-12.php" TargetMode="External"/><Relationship Id="rId4" Type="http://schemas.openxmlformats.org/officeDocument/2006/relationships/comments" Target="../comments2.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
  <dimension ref="B1:Q38"/>
  <sheetViews>
    <sheetView tabSelected="1" zoomScale="85" zoomScaleNormal="85" workbookViewId="0"/>
  </sheetViews>
  <sheetFormatPr baseColWidth="10" defaultRowHeight="15" x14ac:dyDescent="0.25"/>
  <cols>
    <col min="1" max="1" width="4.5703125" customWidth="1"/>
    <col min="2" max="2" width="8.28515625" bestFit="1" customWidth="1"/>
    <col min="3" max="3" width="45.42578125" customWidth="1"/>
    <col min="4" max="4" width="3.42578125" bestFit="1" customWidth="1"/>
    <col min="5" max="5" width="17" customWidth="1"/>
    <col min="8" max="8" width="13.42578125" customWidth="1"/>
    <col min="9" max="9" width="48.28515625" customWidth="1"/>
    <col min="10" max="10" width="19.140625" customWidth="1"/>
    <col min="11" max="11" width="9.42578125" bestFit="1" customWidth="1"/>
    <col min="15" max="15" width="35.5703125" customWidth="1"/>
  </cols>
  <sheetData>
    <row r="1" spans="2:17" s="94" customFormat="1" ht="15.75" x14ac:dyDescent="0.25">
      <c r="B1" s="324" t="s">
        <v>205</v>
      </c>
      <c r="C1" s="325">
        <v>40940</v>
      </c>
      <c r="D1" s="159"/>
    </row>
    <row r="2" spans="2:17" s="94" customFormat="1" x14ac:dyDescent="0.25">
      <c r="E2" s="128"/>
    </row>
    <row r="3" spans="2:17" ht="21" x14ac:dyDescent="0.35">
      <c r="C3" s="138" t="s">
        <v>114</v>
      </c>
      <c r="I3" s="339" t="s">
        <v>226</v>
      </c>
      <c r="N3" s="94"/>
      <c r="O3" s="138" t="s">
        <v>233</v>
      </c>
      <c r="P3" s="94"/>
      <c r="Q3" s="94"/>
    </row>
    <row r="4" spans="2:17" x14ac:dyDescent="0.25">
      <c r="N4" s="94"/>
      <c r="O4" s="94"/>
      <c r="P4" s="94"/>
      <c r="Q4" s="94"/>
    </row>
    <row r="5" spans="2:17" x14ac:dyDescent="0.25">
      <c r="C5" s="5" t="s">
        <v>115</v>
      </c>
      <c r="D5" s="5"/>
      <c r="E5" s="5" t="s">
        <v>97</v>
      </c>
      <c r="H5" s="94"/>
      <c r="I5" s="5" t="s">
        <v>115</v>
      </c>
      <c r="J5" s="5"/>
      <c r="K5" s="5" t="s">
        <v>97</v>
      </c>
      <c r="N5" s="94"/>
      <c r="O5" s="5" t="s">
        <v>115</v>
      </c>
      <c r="P5" s="5"/>
      <c r="Q5" s="5" t="s">
        <v>97</v>
      </c>
    </row>
    <row r="6" spans="2:17" x14ac:dyDescent="0.25">
      <c r="B6" s="133" t="s">
        <v>116</v>
      </c>
      <c r="C6" s="133" t="s">
        <v>123</v>
      </c>
      <c r="D6" s="133"/>
      <c r="E6" s="134">
        <v>225.34</v>
      </c>
      <c r="H6" s="133" t="s">
        <v>116</v>
      </c>
      <c r="I6" s="150" t="s">
        <v>221</v>
      </c>
      <c r="J6" s="152">
        <v>40909</v>
      </c>
      <c r="K6" s="153">
        <v>259</v>
      </c>
      <c r="N6" s="133" t="s">
        <v>116</v>
      </c>
      <c r="O6" s="133" t="s">
        <v>228</v>
      </c>
      <c r="P6" s="133"/>
      <c r="Q6" s="153">
        <v>2000</v>
      </c>
    </row>
    <row r="7" spans="2:17" ht="30" x14ac:dyDescent="0.25">
      <c r="B7" s="136" t="s">
        <v>124</v>
      </c>
      <c r="C7" s="150" t="s">
        <v>232</v>
      </c>
      <c r="D7" s="133"/>
      <c r="E7" s="134">
        <f>330/12</f>
        <v>27.5</v>
      </c>
      <c r="H7" s="133"/>
      <c r="I7" s="133"/>
      <c r="J7" s="133"/>
      <c r="K7" s="133"/>
      <c r="N7" s="133"/>
      <c r="O7" s="133"/>
      <c r="P7" s="133"/>
      <c r="Q7" s="133"/>
    </row>
    <row r="8" spans="2:17" s="93" customFormat="1" x14ac:dyDescent="0.25">
      <c r="B8" s="156"/>
      <c r="C8" s="150"/>
      <c r="D8" s="133"/>
      <c r="E8" s="134"/>
      <c r="H8" s="133" t="s">
        <v>117</v>
      </c>
      <c r="I8" s="150" t="s">
        <v>223</v>
      </c>
      <c r="J8" s="152">
        <v>40909</v>
      </c>
      <c r="K8" s="151">
        <v>79.5</v>
      </c>
      <c r="L8" s="22">
        <f>K8+K6</f>
        <v>338.5</v>
      </c>
      <c r="N8" s="133" t="s">
        <v>117</v>
      </c>
      <c r="O8" s="150" t="s">
        <v>229</v>
      </c>
      <c r="P8" s="133"/>
      <c r="Q8" s="153">
        <v>2000</v>
      </c>
    </row>
    <row r="9" spans="2:17" x14ac:dyDescent="0.25">
      <c r="B9" s="157" t="s">
        <v>117</v>
      </c>
      <c r="C9" s="133" t="s">
        <v>118</v>
      </c>
      <c r="D9" s="133"/>
      <c r="E9" s="134">
        <v>56.88</v>
      </c>
      <c r="H9" s="133"/>
      <c r="I9" s="133"/>
      <c r="J9" s="133"/>
      <c r="K9" s="133"/>
      <c r="N9" s="133"/>
      <c r="O9" s="133"/>
      <c r="P9" s="133"/>
      <c r="Q9" s="133"/>
    </row>
    <row r="10" spans="2:17" x14ac:dyDescent="0.25">
      <c r="B10" s="157"/>
      <c r="C10" s="150"/>
      <c r="D10" s="133"/>
      <c r="E10" s="134"/>
      <c r="H10" s="133" t="s">
        <v>119</v>
      </c>
      <c r="I10" s="150" t="s">
        <v>221</v>
      </c>
      <c r="J10" s="152">
        <v>41091</v>
      </c>
      <c r="K10" s="154">
        <v>259</v>
      </c>
      <c r="N10" s="133" t="s">
        <v>119</v>
      </c>
      <c r="O10" s="150" t="s">
        <v>230</v>
      </c>
      <c r="P10" s="133"/>
      <c r="Q10" s="153">
        <v>1000</v>
      </c>
    </row>
    <row r="11" spans="2:17" x14ac:dyDescent="0.25">
      <c r="B11" s="158" t="s">
        <v>119</v>
      </c>
      <c r="C11" s="133" t="s">
        <v>134</v>
      </c>
      <c r="D11" s="133"/>
      <c r="E11" s="134">
        <v>50</v>
      </c>
      <c r="H11" s="133"/>
      <c r="I11" s="133"/>
      <c r="J11" s="133"/>
      <c r="K11" s="133"/>
      <c r="N11" s="133" t="s">
        <v>120</v>
      </c>
      <c r="O11" s="133"/>
      <c r="P11" s="133"/>
      <c r="Q11" s="134"/>
    </row>
    <row r="12" spans="2:17" x14ac:dyDescent="0.25">
      <c r="B12" s="156"/>
      <c r="C12" s="150"/>
      <c r="D12" s="133"/>
      <c r="E12" s="134"/>
      <c r="H12" s="133" t="s">
        <v>120</v>
      </c>
      <c r="I12" s="150" t="s">
        <v>220</v>
      </c>
      <c r="J12" s="152">
        <v>41122</v>
      </c>
      <c r="K12" s="151">
        <v>71.180000000000007</v>
      </c>
      <c r="N12" s="133" t="s">
        <v>222</v>
      </c>
      <c r="O12" s="150"/>
      <c r="P12" s="133"/>
      <c r="Q12" s="134"/>
    </row>
    <row r="13" spans="2:17" s="93" customFormat="1" x14ac:dyDescent="0.25">
      <c r="B13" s="157" t="s">
        <v>120</v>
      </c>
      <c r="C13" s="133" t="s">
        <v>215</v>
      </c>
      <c r="D13" s="133"/>
      <c r="E13" s="134">
        <v>46</v>
      </c>
      <c r="H13" s="133"/>
      <c r="I13" s="133"/>
      <c r="J13" s="133"/>
      <c r="K13" s="133"/>
      <c r="N13" s="94"/>
      <c r="O13" s="94"/>
      <c r="P13" s="94"/>
      <c r="Q13" s="94"/>
    </row>
    <row r="14" spans="2:17" s="93" customFormat="1" x14ac:dyDescent="0.25">
      <c r="B14" s="133"/>
      <c r="C14" s="133"/>
      <c r="D14" s="133"/>
      <c r="E14" s="133"/>
      <c r="H14" s="133" t="s">
        <v>222</v>
      </c>
      <c r="I14" s="150" t="s">
        <v>225</v>
      </c>
      <c r="J14" s="152">
        <v>41183</v>
      </c>
      <c r="K14" s="151">
        <v>12.5</v>
      </c>
      <c r="N14" s="94"/>
      <c r="O14" s="94"/>
      <c r="P14" s="94"/>
      <c r="Q14" s="94"/>
    </row>
    <row r="15" spans="2:17" x14ac:dyDescent="0.25">
      <c r="B15" s="158" t="s">
        <v>222</v>
      </c>
      <c r="C15" s="133" t="s">
        <v>125</v>
      </c>
      <c r="D15" s="133"/>
      <c r="E15" s="134">
        <v>30</v>
      </c>
      <c r="H15" s="133"/>
      <c r="I15" s="133"/>
      <c r="J15" s="133"/>
      <c r="K15" s="133"/>
      <c r="N15" s="94"/>
      <c r="O15" s="94"/>
      <c r="P15" s="94"/>
      <c r="Q15" s="94"/>
    </row>
    <row r="16" spans="2:17" x14ac:dyDescent="0.25">
      <c r="B16" s="157"/>
      <c r="C16" s="150"/>
      <c r="D16" s="133"/>
      <c r="E16" s="134"/>
      <c r="H16" s="136" t="s">
        <v>227</v>
      </c>
      <c r="I16" s="133" t="s">
        <v>224</v>
      </c>
      <c r="J16" s="152">
        <v>41214</v>
      </c>
      <c r="K16" s="151">
        <v>39.869999999999997</v>
      </c>
      <c r="N16" s="94"/>
      <c r="O16" s="94"/>
      <c r="P16" s="94"/>
      <c r="Q16" s="94"/>
    </row>
    <row r="17" spans="2:17" x14ac:dyDescent="0.25">
      <c r="B17" s="133" t="s">
        <v>121</v>
      </c>
      <c r="C17" s="133" t="s">
        <v>219</v>
      </c>
      <c r="D17" s="133"/>
      <c r="E17" s="134">
        <v>27.9</v>
      </c>
      <c r="H17" s="136"/>
      <c r="I17" s="150"/>
      <c r="J17" s="133"/>
      <c r="K17" s="134"/>
      <c r="N17" s="94"/>
      <c r="O17" s="94"/>
      <c r="P17" s="94"/>
      <c r="Q17" s="94"/>
    </row>
    <row r="18" spans="2:17" x14ac:dyDescent="0.25">
      <c r="B18" s="133"/>
      <c r="C18" s="133"/>
      <c r="D18" s="133"/>
      <c r="E18" s="133"/>
      <c r="H18" s="136"/>
      <c r="I18" s="133"/>
      <c r="J18" s="133"/>
      <c r="K18" s="134"/>
      <c r="N18" s="94"/>
      <c r="O18" s="94"/>
      <c r="P18" s="94"/>
      <c r="Q18" s="94"/>
    </row>
    <row r="19" spans="2:17" x14ac:dyDescent="0.25">
      <c r="B19" s="156"/>
      <c r="C19" s="150"/>
      <c r="D19" s="133"/>
      <c r="E19" s="134"/>
      <c r="H19" s="94"/>
      <c r="I19" s="94"/>
      <c r="J19" s="94"/>
      <c r="K19" s="94"/>
      <c r="N19" s="94"/>
      <c r="O19" s="94"/>
      <c r="P19" s="94"/>
      <c r="Q19" s="94"/>
    </row>
    <row r="20" spans="2:17" x14ac:dyDescent="0.25">
      <c r="H20" s="94"/>
      <c r="I20" s="94"/>
      <c r="J20" s="94"/>
      <c r="K20" s="94"/>
      <c r="N20" s="94"/>
      <c r="O20" s="94"/>
      <c r="P20" s="94"/>
      <c r="Q20" s="94"/>
    </row>
    <row r="21" spans="2:17" x14ac:dyDescent="0.25">
      <c r="B21" s="94"/>
      <c r="C21" s="94"/>
      <c r="D21" s="94"/>
      <c r="E21" s="94"/>
    </row>
    <row r="22" spans="2:17" ht="15.75" thickBot="1" x14ac:dyDescent="0.3">
      <c r="B22" s="36" t="s">
        <v>231</v>
      </c>
      <c r="C22" s="36"/>
      <c r="D22" s="36"/>
      <c r="E22" s="137">
        <f>SUM(E6:E19)</f>
        <v>463.62</v>
      </c>
      <c r="H22" s="36" t="s">
        <v>122</v>
      </c>
      <c r="I22" s="36"/>
      <c r="J22" s="36"/>
      <c r="K22" s="137">
        <f>SUM(K6:K18)</f>
        <v>721.05000000000007</v>
      </c>
      <c r="N22" s="36" t="s">
        <v>122</v>
      </c>
      <c r="O22" s="36"/>
      <c r="P22" s="36"/>
      <c r="Q22" s="155">
        <f>SUM(Q6:Q12)</f>
        <v>5000</v>
      </c>
    </row>
    <row r="23" spans="2:17" ht="15.75" thickTop="1" x14ac:dyDescent="0.25">
      <c r="B23" s="94"/>
      <c r="C23" s="94"/>
      <c r="D23" s="94"/>
      <c r="E23" s="94"/>
    </row>
    <row r="24" spans="2:17" x14ac:dyDescent="0.25">
      <c r="B24" s="94"/>
      <c r="C24" s="94"/>
      <c r="D24" s="94"/>
      <c r="E24" s="94"/>
    </row>
    <row r="25" spans="2:17" ht="18.75" x14ac:dyDescent="0.3">
      <c r="B25" s="385" t="s">
        <v>234</v>
      </c>
      <c r="C25" s="385"/>
      <c r="D25" s="385"/>
      <c r="E25" s="385"/>
      <c r="F25" s="385"/>
      <c r="G25" s="385"/>
      <c r="H25" s="385"/>
      <c r="I25" s="385"/>
      <c r="J25" s="385"/>
      <c r="K25" s="385"/>
      <c r="L25" s="385"/>
      <c r="M25" s="385"/>
      <c r="N25" s="385"/>
      <c r="O25" s="385"/>
      <c r="P25" s="385"/>
      <c r="Q25" s="385"/>
    </row>
    <row r="26" spans="2:17" ht="18.75" x14ac:dyDescent="0.3">
      <c r="B26" s="94"/>
      <c r="C26" s="94"/>
      <c r="D26" s="94"/>
      <c r="I26" s="335">
        <f>E22+K22/12+Q22/12</f>
        <v>940.37416666666672</v>
      </c>
    </row>
    <row r="27" spans="2:17" x14ac:dyDescent="0.25">
      <c r="B27" s="94"/>
      <c r="C27" s="94"/>
      <c r="D27" s="94"/>
      <c r="E27" s="94"/>
    </row>
    <row r="28" spans="2:17" x14ac:dyDescent="0.25">
      <c r="B28" s="94"/>
      <c r="C28" s="94"/>
      <c r="D28" s="94"/>
      <c r="E28" s="94"/>
    </row>
    <row r="29" spans="2:17" x14ac:dyDescent="0.25">
      <c r="B29" s="94"/>
      <c r="C29" s="94"/>
      <c r="D29" s="94"/>
      <c r="E29" s="94"/>
    </row>
    <row r="30" spans="2:17" x14ac:dyDescent="0.25">
      <c r="B30" s="94"/>
      <c r="C30" s="94"/>
      <c r="D30" s="94"/>
      <c r="E30" s="94"/>
    </row>
    <row r="31" spans="2:17" x14ac:dyDescent="0.25">
      <c r="E31" s="23"/>
    </row>
    <row r="32" spans="2:17" x14ac:dyDescent="0.25">
      <c r="C32" s="329"/>
      <c r="E32" t="s">
        <v>294</v>
      </c>
    </row>
    <row r="38" spans="5:5" x14ac:dyDescent="0.25">
      <c r="E38" s="28"/>
    </row>
  </sheetData>
  <sortState ref="I4:K9">
    <sortCondition ref="J4:J9"/>
  </sortState>
  <mergeCells count="1">
    <mergeCell ref="B25:Q25"/>
  </mergeCells>
  <hyperlinks>
    <hyperlink ref="K22" location="Tagesgeld!A1" display="Tagesgeld!A1"/>
    <hyperlink ref="I3" location="Tagesgeld!A1" display="Termingebundene jährliche Ausgaben"/>
  </hyperlinks>
  <pageMargins left="0.7" right="0.7" top="0.78740157499999996" bottom="0.78740157499999996"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
  <dimension ref="A1:L47"/>
  <sheetViews>
    <sheetView zoomScaleNormal="100" workbookViewId="0">
      <selection activeCell="G10" sqref="G10"/>
    </sheetView>
  </sheetViews>
  <sheetFormatPr baseColWidth="10" defaultRowHeight="15" x14ac:dyDescent="0.25"/>
  <cols>
    <col min="1" max="1" width="36.28515625" customWidth="1"/>
    <col min="2" max="2" width="23.140625" customWidth="1"/>
    <col min="3" max="3" width="35.5703125" customWidth="1"/>
    <col min="4" max="4" width="19.5703125" customWidth="1"/>
    <col min="5" max="5" width="27" style="94" customWidth="1"/>
    <col min="6" max="6" width="31.85546875" style="94" customWidth="1"/>
    <col min="7" max="7" width="22.140625" customWidth="1"/>
    <col min="8" max="8" width="18.85546875" customWidth="1"/>
    <col min="9" max="9" width="20.5703125" customWidth="1"/>
    <col min="10" max="10" width="15" customWidth="1"/>
    <col min="11" max="11" width="22.42578125" customWidth="1"/>
    <col min="12" max="12" width="33.28515625" customWidth="1"/>
    <col min="13" max="13" width="34.28515625" customWidth="1"/>
  </cols>
  <sheetData>
    <row r="1" spans="1:12" ht="21" x14ac:dyDescent="0.35">
      <c r="A1" s="97" t="s">
        <v>196</v>
      </c>
      <c r="B1" s="97"/>
      <c r="C1" s="94"/>
    </row>
    <row r="2" spans="1:12" x14ac:dyDescent="0.25">
      <c r="A2" s="94"/>
      <c r="B2" s="94"/>
      <c r="C2" s="94"/>
    </row>
    <row r="3" spans="1:12" x14ac:dyDescent="0.25">
      <c r="A3" s="2" t="s">
        <v>298</v>
      </c>
      <c r="B3" s="2"/>
      <c r="C3" s="26">
        <f>'monatliche Ausgaben'!E22</f>
        <v>463.62</v>
      </c>
    </row>
    <row r="4" spans="1:12" x14ac:dyDescent="0.25">
      <c r="A4" s="2" t="s">
        <v>235</v>
      </c>
      <c r="B4" s="2"/>
      <c r="C4" s="47">
        <v>400</v>
      </c>
    </row>
    <row r="5" spans="1:12" ht="45.75" thickBot="1" x14ac:dyDescent="0.3">
      <c r="A5" s="336" t="s">
        <v>299</v>
      </c>
      <c r="B5" s="41"/>
      <c r="C5" s="96">
        <f>('monatliche Ausgaben'!I26+C4)*12</f>
        <v>16084.490000000002</v>
      </c>
      <c r="G5" s="94"/>
    </row>
    <row r="6" spans="1:12" ht="15.75" thickBot="1" x14ac:dyDescent="0.3">
      <c r="G6" s="94"/>
    </row>
    <row r="7" spans="1:12" x14ac:dyDescent="0.25">
      <c r="A7" s="37" t="s">
        <v>95</v>
      </c>
      <c r="B7" s="14"/>
    </row>
    <row r="8" spans="1:12" ht="15.75" thickBot="1" x14ac:dyDescent="0.3">
      <c r="A8" s="38" t="s">
        <v>94</v>
      </c>
      <c r="B8" s="98">
        <v>0.02</v>
      </c>
      <c r="C8" s="106" t="s">
        <v>295</v>
      </c>
      <c r="G8" s="4"/>
      <c r="H8" s="22"/>
    </row>
    <row r="9" spans="1:12" x14ac:dyDescent="0.25">
      <c r="A9" s="38" t="s">
        <v>98</v>
      </c>
      <c r="B9" s="70">
        <f>C5</f>
        <v>16084.490000000002</v>
      </c>
      <c r="C9" s="332" t="s">
        <v>204</v>
      </c>
      <c r="D9" s="94"/>
    </row>
    <row r="10" spans="1:12" ht="15.75" thickBot="1" x14ac:dyDescent="0.3">
      <c r="A10" s="38" t="s">
        <v>198</v>
      </c>
      <c r="B10" s="87">
        <v>250</v>
      </c>
      <c r="C10" s="333">
        <f>801-B10-Festzinsanlagen!C6</f>
        <v>0</v>
      </c>
      <c r="D10" s="94"/>
      <c r="G10" s="24"/>
    </row>
    <row r="11" spans="1:12" ht="15.75" thickBot="1" x14ac:dyDescent="0.3">
      <c r="A11" s="40" t="s">
        <v>189</v>
      </c>
      <c r="B11" s="99">
        <v>0.27</v>
      </c>
      <c r="H11" s="94"/>
      <c r="I11" s="94"/>
    </row>
    <row r="12" spans="1:12" ht="15.75" thickBot="1" x14ac:dyDescent="0.3">
      <c r="G12" s="94"/>
      <c r="H12" s="94"/>
      <c r="I12" s="94"/>
      <c r="L12" s="25"/>
    </row>
    <row r="13" spans="1:12" ht="60" x14ac:dyDescent="0.25">
      <c r="A13" s="100" t="s">
        <v>96</v>
      </c>
      <c r="B13" s="50" t="s">
        <v>97</v>
      </c>
      <c r="C13" s="50" t="s">
        <v>300</v>
      </c>
      <c r="D13" s="318" t="s">
        <v>303</v>
      </c>
      <c r="E13" s="161" t="s">
        <v>248</v>
      </c>
      <c r="F13" s="161" t="s">
        <v>301</v>
      </c>
      <c r="G13" s="101" t="s">
        <v>197</v>
      </c>
      <c r="H13" s="94"/>
      <c r="I13" s="94"/>
    </row>
    <row r="14" spans="1:12" x14ac:dyDescent="0.25">
      <c r="A14" s="6" t="s">
        <v>236</v>
      </c>
      <c r="B14" s="102">
        <f>(B9+E14)+($B$9+E14)*$B$8/12</f>
        <v>14907.173950000002</v>
      </c>
      <c r="C14" s="160">
        <f>-'monatliche Ausgaben'!$E$22-$C$4</f>
        <v>-863.62</v>
      </c>
      <c r="D14" s="146">
        <v>-338.5</v>
      </c>
      <c r="E14" s="334">
        <f>VALUE(D14+C14)</f>
        <v>-1202.1199999999999</v>
      </c>
      <c r="F14" s="337"/>
      <c r="G14" s="104">
        <f>(B9+C14+D14)*$B$8/12</f>
        <v>24.80395</v>
      </c>
      <c r="H14" s="94"/>
    </row>
    <row r="15" spans="1:12" x14ac:dyDescent="0.25">
      <c r="A15" s="6" t="s">
        <v>237</v>
      </c>
      <c r="B15" s="102">
        <f>(B14+E15)+(B14+E15)*$B$8/12</f>
        <v>14066.959873250002</v>
      </c>
      <c r="C15" s="160">
        <f>-'monatliche Ausgaben'!$E$22-$C$4</f>
        <v>-863.62</v>
      </c>
      <c r="D15" s="146">
        <v>0</v>
      </c>
      <c r="E15" s="334">
        <f t="shared" ref="E15:E25" si="0">VALUE(D15+C15)</f>
        <v>-863.62</v>
      </c>
      <c r="F15" s="337"/>
      <c r="G15" s="104">
        <f t="shared" ref="G15:G16" si="1">(B14+E15)*$B$8/12</f>
        <v>23.405923250000001</v>
      </c>
      <c r="H15" s="94"/>
      <c r="I15" s="94"/>
    </row>
    <row r="16" spans="1:12" x14ac:dyDescent="0.25">
      <c r="A16" s="6" t="s">
        <v>238</v>
      </c>
      <c r="B16" s="102">
        <f t="shared" ref="B16:B25" si="2">(B15+E16)+(B15+E16)*$B$8/12</f>
        <v>13225.345439705417</v>
      </c>
      <c r="C16" s="160">
        <f>-'monatliche Ausgaben'!$E$22-$C$4</f>
        <v>-863.62</v>
      </c>
      <c r="D16" s="146">
        <v>0</v>
      </c>
      <c r="E16" s="334">
        <f t="shared" si="0"/>
        <v>-863.62</v>
      </c>
      <c r="F16" s="337"/>
      <c r="G16" s="104">
        <f t="shared" si="1"/>
        <v>22.00556645541667</v>
      </c>
      <c r="H16" s="94"/>
      <c r="I16" s="94"/>
    </row>
    <row r="17" spans="1:9" x14ac:dyDescent="0.25">
      <c r="A17" s="6" t="s">
        <v>239</v>
      </c>
      <c r="B17" s="102">
        <f t="shared" si="2"/>
        <v>12382.328315438259</v>
      </c>
      <c r="C17" s="160">
        <f>-'monatliche Ausgaben'!$E$22-$C$4</f>
        <v>-863.62</v>
      </c>
      <c r="D17" s="146">
        <v>0</v>
      </c>
      <c r="E17" s="334">
        <f t="shared" si="0"/>
        <v>-863.62</v>
      </c>
      <c r="F17" s="337"/>
      <c r="G17" s="104">
        <f>(B16+E17)*$B$8/12</f>
        <v>20.60287573284236</v>
      </c>
      <c r="H17" s="94"/>
      <c r="I17" s="94"/>
    </row>
    <row r="18" spans="1:9" x14ac:dyDescent="0.25">
      <c r="A18" s="6" t="s">
        <v>240</v>
      </c>
      <c r="B18" s="102">
        <f t="shared" si="2"/>
        <v>11537.906162630656</v>
      </c>
      <c r="C18" s="160">
        <f>-'monatliche Ausgaben'!$E$22-$C$4</f>
        <v>-863.62</v>
      </c>
      <c r="D18" s="146">
        <v>0</v>
      </c>
      <c r="E18" s="334">
        <f t="shared" si="0"/>
        <v>-863.62</v>
      </c>
      <c r="F18" s="337"/>
      <c r="G18" s="104">
        <f t="shared" ref="G18:G25" si="3">(B17+E18)*$B$8/12</f>
        <v>19.197847192397095</v>
      </c>
      <c r="H18" s="94"/>
      <c r="I18" s="94"/>
    </row>
    <row r="19" spans="1:9" x14ac:dyDescent="0.25">
      <c r="A19" s="6" t="s">
        <v>241</v>
      </c>
      <c r="B19" s="102">
        <f t="shared" si="2"/>
        <v>10692.076639568373</v>
      </c>
      <c r="C19" s="160">
        <f>-'monatliche Ausgaben'!$E$22-$C$4</f>
        <v>-863.62</v>
      </c>
      <c r="D19" s="146">
        <v>0</v>
      </c>
      <c r="E19" s="334">
        <f t="shared" si="0"/>
        <v>-863.62</v>
      </c>
      <c r="F19" s="337"/>
      <c r="G19" s="104">
        <f>(B18+E19)*$B$8/12</f>
        <v>17.790476937717759</v>
      </c>
      <c r="H19" s="94"/>
      <c r="I19" s="94"/>
    </row>
    <row r="20" spans="1:9" x14ac:dyDescent="0.25">
      <c r="A20" s="6" t="s">
        <v>242</v>
      </c>
      <c r="B20" s="102">
        <f t="shared" si="2"/>
        <v>9585.4057339676528</v>
      </c>
      <c r="C20" s="160">
        <f>-'monatliche Ausgaben'!$E$22-$C$4</f>
        <v>-863.62</v>
      </c>
      <c r="D20" s="146">
        <v>-259</v>
      </c>
      <c r="E20" s="334">
        <f t="shared" si="0"/>
        <v>-1122.6199999999999</v>
      </c>
      <c r="F20" s="337"/>
      <c r="G20" s="104">
        <f t="shared" si="3"/>
        <v>15.94909439928062</v>
      </c>
      <c r="H20" s="94"/>
      <c r="I20" s="94"/>
    </row>
    <row r="21" spans="1:9" x14ac:dyDescent="0.25">
      <c r="A21" s="6" t="s">
        <v>243</v>
      </c>
      <c r="B21" s="102">
        <f t="shared" si="2"/>
        <v>8665.0234101909336</v>
      </c>
      <c r="C21" s="160">
        <f>-'monatliche Ausgaben'!$E$22-$C$4</f>
        <v>-863.62</v>
      </c>
      <c r="D21" s="146">
        <v>-71.180000000000007</v>
      </c>
      <c r="E21" s="334">
        <f t="shared" si="0"/>
        <v>-934.8</v>
      </c>
      <c r="F21" s="337"/>
      <c r="G21" s="104">
        <f t="shared" si="3"/>
        <v>14.417676223279422</v>
      </c>
      <c r="H21" s="94"/>
      <c r="I21" s="94"/>
    </row>
    <row r="22" spans="1:9" x14ac:dyDescent="0.25">
      <c r="A22" s="6" t="s">
        <v>244</v>
      </c>
      <c r="B22" s="102">
        <f t="shared" si="2"/>
        <v>7814.4057492079182</v>
      </c>
      <c r="C22" s="160">
        <f>-'monatliche Ausgaben'!$E$22-$C$4</f>
        <v>-863.62</v>
      </c>
      <c r="D22" s="146">
        <v>0</v>
      </c>
      <c r="E22" s="334">
        <f t="shared" si="0"/>
        <v>-863.62</v>
      </c>
      <c r="F22" s="337"/>
      <c r="G22" s="104">
        <f t="shared" si="3"/>
        <v>13.002339016984891</v>
      </c>
      <c r="H22" s="94"/>
      <c r="I22" s="94"/>
    </row>
    <row r="23" spans="1:9" x14ac:dyDescent="0.25">
      <c r="A23" s="6" t="s">
        <v>245</v>
      </c>
      <c r="B23" s="102">
        <f t="shared" si="2"/>
        <v>6949.8495587899315</v>
      </c>
      <c r="C23" s="160">
        <f>-'monatliche Ausgaben'!$E$22-$C$4</f>
        <v>-863.62</v>
      </c>
      <c r="D23" s="146">
        <v>-12.5</v>
      </c>
      <c r="E23" s="334">
        <f t="shared" si="0"/>
        <v>-876.12</v>
      </c>
      <c r="F23" s="337"/>
      <c r="G23" s="104">
        <f t="shared" si="3"/>
        <v>11.563809582013198</v>
      </c>
      <c r="H23" s="94"/>
      <c r="I23" s="94"/>
    </row>
    <row r="24" spans="1:9" x14ac:dyDescent="0.25">
      <c r="A24" s="6" t="s">
        <v>246</v>
      </c>
      <c r="B24" s="102">
        <f t="shared" si="2"/>
        <v>6056.4368247212478</v>
      </c>
      <c r="C24" s="160">
        <f>-'monatliche Ausgaben'!$E$22-$C$4</f>
        <v>-863.62</v>
      </c>
      <c r="D24" s="146">
        <v>-39.869999999999997</v>
      </c>
      <c r="E24" s="334">
        <f t="shared" si="0"/>
        <v>-903.49</v>
      </c>
      <c r="F24" s="337"/>
      <c r="G24" s="104">
        <f t="shared" si="3"/>
        <v>10.077265931316553</v>
      </c>
      <c r="H24" s="94"/>
      <c r="I24" s="94"/>
    </row>
    <row r="25" spans="1:9" ht="15.75" thickBot="1" x14ac:dyDescent="0.3">
      <c r="A25" s="7" t="s">
        <v>247</v>
      </c>
      <c r="B25" s="102">
        <f t="shared" si="2"/>
        <v>193.13818609578334</v>
      </c>
      <c r="C25" s="160">
        <f>-'monatliche Ausgaben'!$E$22-$C$4</f>
        <v>-863.62</v>
      </c>
      <c r="D25" s="147">
        <v>-5000</v>
      </c>
      <c r="E25" s="334">
        <f t="shared" si="0"/>
        <v>-5863.62</v>
      </c>
      <c r="F25" s="338" t="s">
        <v>302</v>
      </c>
      <c r="G25" s="105">
        <f t="shared" si="3"/>
        <v>0.32136137453541325</v>
      </c>
      <c r="H25" s="94"/>
    </row>
    <row r="26" spans="1:9" s="94" customFormat="1" x14ac:dyDescent="0.25">
      <c r="B26" s="102"/>
      <c r="C26" s="103"/>
      <c r="D26" s="103"/>
      <c r="E26" s="103"/>
      <c r="F26" s="103"/>
      <c r="G26" s="143"/>
      <c r="I26" s="145"/>
    </row>
    <row r="27" spans="1:9" s="94" customFormat="1" ht="15.75" thickBot="1" x14ac:dyDescent="0.3">
      <c r="A27" s="135" t="s">
        <v>217</v>
      </c>
      <c r="B27" s="162">
        <f>B25</f>
        <v>193.13818609578334</v>
      </c>
      <c r="C27" s="103"/>
      <c r="D27" s="103"/>
      <c r="E27" s="103"/>
      <c r="F27" s="103"/>
      <c r="I27" s="386" t="s">
        <v>304</v>
      </c>
    </row>
    <row r="28" spans="1:9" s="94" customFormat="1" ht="16.5" thickTop="1" thickBot="1" x14ac:dyDescent="0.3">
      <c r="B28" s="102"/>
      <c r="C28" s="103"/>
      <c r="D28" s="103"/>
      <c r="E28" s="163" t="s">
        <v>249</v>
      </c>
      <c r="F28" s="163"/>
      <c r="G28" s="164">
        <f>SUM(G14:G25)</f>
        <v>193.13818609578394</v>
      </c>
      <c r="I28" s="386"/>
    </row>
    <row r="29" spans="1:9" s="94" customFormat="1" ht="16.5" thickTop="1" thickBot="1" x14ac:dyDescent="0.3">
      <c r="B29" s="102"/>
      <c r="C29" s="103"/>
      <c r="D29" s="103"/>
      <c r="E29" s="103"/>
      <c r="F29" s="103"/>
      <c r="G29" s="143"/>
      <c r="I29" s="145"/>
    </row>
    <row r="30" spans="1:9" x14ac:dyDescent="0.25">
      <c r="A30" s="94"/>
      <c r="B30" s="94"/>
      <c r="C30" s="94"/>
      <c r="D30" s="94"/>
      <c r="G30" s="165" t="s">
        <v>199</v>
      </c>
      <c r="H30" s="94"/>
      <c r="I30" s="94"/>
    </row>
    <row r="31" spans="1:9" ht="15.75" thickBot="1" x14ac:dyDescent="0.3">
      <c r="A31" s="94"/>
      <c r="B31" s="94"/>
      <c r="C31" s="94"/>
      <c r="D31" s="94"/>
      <c r="G31" s="166" t="str">
        <f>IF(G28&lt;B10,"Keine",(G28-B10)*B11)</f>
        <v>Keine</v>
      </c>
      <c r="H31" s="94"/>
      <c r="I31" s="94"/>
    </row>
    <row r="32" spans="1:9" x14ac:dyDescent="0.25">
      <c r="B32" s="94"/>
      <c r="C32" s="94"/>
      <c r="D32" s="94"/>
      <c r="I32" s="94"/>
    </row>
    <row r="33" spans="1:9" x14ac:dyDescent="0.25">
      <c r="B33" s="24"/>
      <c r="C33" s="15"/>
      <c r="I33" s="94"/>
    </row>
    <row r="34" spans="1:9" x14ac:dyDescent="0.25">
      <c r="B34" s="94"/>
      <c r="I34" s="94"/>
    </row>
    <row r="35" spans="1:9" x14ac:dyDescent="0.25">
      <c r="B35" s="94"/>
      <c r="I35" s="94"/>
    </row>
    <row r="36" spans="1:9" x14ac:dyDescent="0.25">
      <c r="B36" s="94"/>
      <c r="I36" s="94"/>
    </row>
    <row r="37" spans="1:9" x14ac:dyDescent="0.25">
      <c r="B37" s="94"/>
      <c r="C37" s="94"/>
      <c r="D37" s="94"/>
      <c r="I37" s="94"/>
    </row>
    <row r="38" spans="1:9" x14ac:dyDescent="0.25">
      <c r="C38" s="94"/>
      <c r="D38" s="94"/>
      <c r="I38" s="94"/>
    </row>
    <row r="39" spans="1:9" x14ac:dyDescent="0.25">
      <c r="B39" s="94"/>
      <c r="C39" s="94"/>
      <c r="D39" s="94"/>
      <c r="G39" s="94"/>
      <c r="H39" s="94"/>
      <c r="I39" s="94"/>
    </row>
    <row r="40" spans="1:9" x14ac:dyDescent="0.25">
      <c r="B40" s="94"/>
      <c r="C40" s="94"/>
      <c r="D40" s="94"/>
      <c r="G40" s="94"/>
      <c r="H40" s="94"/>
      <c r="I40" s="94"/>
    </row>
    <row r="41" spans="1:9" x14ac:dyDescent="0.25">
      <c r="A41" s="94"/>
      <c r="B41" s="94"/>
      <c r="C41" s="94"/>
      <c r="D41" s="94"/>
      <c r="G41" s="94"/>
      <c r="H41" s="94"/>
      <c r="I41" s="94"/>
    </row>
    <row r="42" spans="1:9" x14ac:dyDescent="0.25">
      <c r="G42" s="94"/>
      <c r="H42" s="94"/>
      <c r="I42" s="94"/>
    </row>
    <row r="43" spans="1:9" x14ac:dyDescent="0.25">
      <c r="G43" s="94"/>
      <c r="H43" s="94"/>
      <c r="I43" s="94"/>
    </row>
    <row r="44" spans="1:9" x14ac:dyDescent="0.25">
      <c r="G44" s="94"/>
      <c r="H44" s="94"/>
      <c r="I44" s="94"/>
    </row>
    <row r="45" spans="1:9" x14ac:dyDescent="0.25">
      <c r="G45" s="94"/>
      <c r="H45" s="94"/>
      <c r="I45" s="94"/>
    </row>
    <row r="46" spans="1:9" x14ac:dyDescent="0.25">
      <c r="G46" s="94"/>
      <c r="H46" s="94"/>
      <c r="I46" s="94"/>
    </row>
    <row r="47" spans="1:9" x14ac:dyDescent="0.25">
      <c r="G47" s="94"/>
      <c r="H47" s="94"/>
      <c r="I47" s="94"/>
    </row>
  </sheetData>
  <mergeCells count="1">
    <mergeCell ref="I27:I28"/>
  </mergeCells>
  <conditionalFormatting sqref="D10:F10">
    <cfRule type="cellIs" dxfId="13" priority="2" operator="lessThan">
      <formula>0</formula>
    </cfRule>
  </conditionalFormatting>
  <conditionalFormatting sqref="G31">
    <cfRule type="expression" dxfId="12" priority="55">
      <formula>G28&gt;$B$10</formula>
    </cfRule>
    <cfRule type="expression" dxfId="11" priority="56">
      <formula>VALUE(G28)&lt;VALUE($B$10)</formula>
    </cfRule>
  </conditionalFormatting>
  <hyperlinks>
    <hyperlink ref="A7" r:id="rId1"/>
    <hyperlink ref="A3" location="'monatliche Ausgaben'!A1" display="aktuelle monatliche Ausgaben"/>
    <hyperlink ref="D13" location="'monatliche Ausgaben'!A1" display="Terminzahlungen und Rücklagenbedarf"/>
    <hyperlink ref="I27:I28" location="'Vermögen-Umschichtung'!A1" display="Weiter"/>
  </hyperlinks>
  <pageMargins left="0.7" right="0.7" top="0.78740157499999996" bottom="0.78740157499999996" header="0.3" footer="0.3"/>
  <pageSetup paperSize="9" orientation="landscape" verticalDpi="0"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113"/>
  <sheetViews>
    <sheetView zoomScale="85" zoomScaleNormal="85" workbookViewId="0">
      <selection activeCell="A29" sqref="A29"/>
    </sheetView>
  </sheetViews>
  <sheetFormatPr baseColWidth="10" defaultRowHeight="15" x14ac:dyDescent="0.25"/>
  <cols>
    <col min="1" max="1" width="43" customWidth="1"/>
    <col min="2" max="2" width="9.5703125" style="94" customWidth="1"/>
    <col min="3" max="3" width="14.85546875" style="94" customWidth="1"/>
    <col min="4" max="4" width="26.140625" customWidth="1"/>
    <col min="5" max="5" width="32.7109375" customWidth="1"/>
    <col min="6" max="6" width="29.85546875" style="94" customWidth="1"/>
    <col min="7" max="7" width="24.7109375" customWidth="1"/>
    <col min="8" max="8" width="34.28515625" style="94" customWidth="1"/>
    <col min="9" max="9" width="22" customWidth="1"/>
    <col min="10" max="10" width="21.28515625" style="94" customWidth="1"/>
    <col min="11" max="11" width="8.85546875" style="94" customWidth="1"/>
    <col min="12" max="12" width="14.5703125" customWidth="1"/>
    <col min="13" max="13" width="12.5703125" customWidth="1"/>
    <col min="14" max="14" width="13.140625" bestFit="1" customWidth="1"/>
    <col min="25" max="25" width="26.5703125" bestFit="1" customWidth="1"/>
  </cols>
  <sheetData>
    <row r="1" spans="1:14" ht="42.75" customHeight="1" x14ac:dyDescent="0.25">
      <c r="A1" s="94"/>
      <c r="D1" s="94"/>
      <c r="E1" s="387"/>
      <c r="F1" s="387"/>
      <c r="G1" s="94"/>
      <c r="H1" s="387"/>
      <c r="I1" s="387"/>
      <c r="L1" s="94"/>
      <c r="M1" s="94"/>
      <c r="N1" s="94"/>
    </row>
    <row r="2" spans="1:14" ht="15.75" thickBot="1" x14ac:dyDescent="0.3">
      <c r="A2" s="221" t="s">
        <v>277</v>
      </c>
      <c r="B2" s="221"/>
      <c r="C2" s="221"/>
      <c r="D2" s="222">
        <v>40909</v>
      </c>
    </row>
    <row r="3" spans="1:14" ht="6.75" customHeight="1" thickTop="1" thickBot="1" x14ac:dyDescent="0.3"/>
    <row r="4" spans="1:14" ht="17.25" customHeight="1" thickBot="1" x14ac:dyDescent="0.3">
      <c r="A4" s="94"/>
      <c r="D4" s="217"/>
      <c r="E4" s="393" t="s">
        <v>309</v>
      </c>
      <c r="F4" s="394"/>
      <c r="G4" s="32"/>
      <c r="H4" s="397" t="s">
        <v>266</v>
      </c>
      <c r="I4" s="398"/>
      <c r="J4" s="233"/>
      <c r="K4" s="233"/>
      <c r="L4" s="14"/>
    </row>
    <row r="5" spans="1:14" ht="16.5" customHeight="1" thickBot="1" x14ac:dyDescent="0.35">
      <c r="A5" s="319" t="s">
        <v>32</v>
      </c>
      <c r="B5" s="199"/>
      <c r="C5" s="199"/>
      <c r="D5" s="6"/>
      <c r="E5" s="395"/>
      <c r="F5" s="396"/>
      <c r="G5" s="27"/>
      <c r="H5" s="399"/>
      <c r="I5" s="400"/>
      <c r="J5" s="405" t="s">
        <v>281</v>
      </c>
      <c r="K5" s="406"/>
      <c r="L5" s="30"/>
    </row>
    <row r="6" spans="1:14" ht="57" customHeight="1" thickBot="1" x14ac:dyDescent="0.3">
      <c r="A6" s="5" t="s">
        <v>261</v>
      </c>
      <c r="B6" s="5"/>
      <c r="C6" s="5"/>
      <c r="D6" s="6"/>
      <c r="E6" s="201" t="s">
        <v>278</v>
      </c>
      <c r="F6" s="202" t="s">
        <v>267</v>
      </c>
      <c r="G6" s="391" t="s">
        <v>310</v>
      </c>
      <c r="H6" s="392"/>
      <c r="I6" s="198"/>
      <c r="J6" s="369" t="s">
        <v>283</v>
      </c>
      <c r="K6" s="369" t="s">
        <v>282</v>
      </c>
      <c r="L6" s="370" t="s">
        <v>24</v>
      </c>
      <c r="M6" s="94"/>
    </row>
    <row r="7" spans="1:14" x14ac:dyDescent="0.25">
      <c r="A7" s="133" t="s">
        <v>206</v>
      </c>
      <c r="B7" s="133"/>
      <c r="C7" s="303"/>
      <c r="D7" s="170"/>
      <c r="E7" s="321">
        <v>1500</v>
      </c>
      <c r="F7" s="210">
        <f>E7/$E$80</f>
        <v>1.8519112959181406E-3</v>
      </c>
      <c r="G7" s="388"/>
      <c r="H7" s="389"/>
      <c r="I7" s="296"/>
      <c r="J7" s="371">
        <f>E7</f>
        <v>1500</v>
      </c>
      <c r="K7" s="285">
        <f>J7/$J$80</f>
        <v>1.8519112959181406E-3</v>
      </c>
      <c r="L7" s="315"/>
      <c r="M7" s="94"/>
    </row>
    <row r="8" spans="1:14" ht="15.75" thickBot="1" x14ac:dyDescent="0.3">
      <c r="A8" s="323" t="s">
        <v>132</v>
      </c>
      <c r="B8" s="133"/>
      <c r="C8" s="303"/>
      <c r="D8" s="170"/>
      <c r="E8" s="322">
        <f>11500+69839.44</f>
        <v>81339.44</v>
      </c>
      <c r="F8" s="207">
        <f>E8/$E$80</f>
        <v>0.10042228515977056</v>
      </c>
      <c r="G8" s="388"/>
      <c r="H8" s="389"/>
      <c r="I8" s="301"/>
      <c r="J8" s="372">
        <f>E8-G9</f>
        <v>16084.490000000005</v>
      </c>
      <c r="K8" s="295">
        <f>J8/$J$80</f>
        <v>1.9858032480054921E-2</v>
      </c>
      <c r="L8" s="316"/>
      <c r="M8" s="94"/>
    </row>
    <row r="9" spans="1:14" s="94" customFormat="1" x14ac:dyDescent="0.25">
      <c r="A9" s="195" t="s">
        <v>268</v>
      </c>
      <c r="B9" s="195"/>
      <c r="C9" s="195"/>
      <c r="D9" s="194"/>
      <c r="E9" s="383"/>
      <c r="F9" s="363"/>
      <c r="G9" s="401">
        <f>E8-Tagesgeld!C5</f>
        <v>65254.95</v>
      </c>
      <c r="H9" s="402"/>
      <c r="I9" s="27"/>
      <c r="J9" s="6"/>
      <c r="K9" s="247"/>
      <c r="L9" s="30"/>
    </row>
    <row r="10" spans="1:14" s="94" customFormat="1" ht="15.75" thickBot="1" x14ac:dyDescent="0.3">
      <c r="D10" s="6"/>
      <c r="E10" s="206"/>
      <c r="F10" s="204"/>
      <c r="G10" s="403"/>
      <c r="H10" s="404"/>
      <c r="I10" s="27"/>
      <c r="J10" s="6"/>
      <c r="K10" s="247"/>
      <c r="L10" s="30"/>
    </row>
    <row r="11" spans="1:14" s="94" customFormat="1" ht="15.75" thickBot="1" x14ac:dyDescent="0.3">
      <c r="D11" s="6"/>
      <c r="E11" s="206"/>
      <c r="F11" s="204"/>
      <c r="G11" s="143"/>
      <c r="H11" s="340" t="s">
        <v>269</v>
      </c>
      <c r="I11" s="27"/>
      <c r="J11" s="6"/>
      <c r="K11" s="247"/>
      <c r="L11" s="30"/>
    </row>
    <row r="12" spans="1:14" ht="15.75" thickBot="1" x14ac:dyDescent="0.3">
      <c r="B12" s="5"/>
      <c r="C12" s="5"/>
      <c r="D12" s="6"/>
      <c r="E12" s="206"/>
      <c r="F12" s="204"/>
      <c r="G12" s="27"/>
      <c r="H12" s="361">
        <v>0.6</v>
      </c>
      <c r="I12" s="27"/>
      <c r="J12" s="6"/>
      <c r="K12" s="247"/>
      <c r="L12" s="30"/>
    </row>
    <row r="13" spans="1:14" s="94" customFormat="1" ht="19.5" thickBot="1" x14ac:dyDescent="0.35">
      <c r="A13" s="5" t="s">
        <v>195</v>
      </c>
      <c r="B13" s="5"/>
      <c r="C13" s="5"/>
      <c r="D13" s="6"/>
      <c r="E13" s="206"/>
      <c r="F13" s="204"/>
      <c r="G13" s="27"/>
      <c r="H13" s="384">
        <f>H12*G9</f>
        <v>39152.969999999994</v>
      </c>
      <c r="I13" s="374" t="s">
        <v>280</v>
      </c>
      <c r="J13" s="6"/>
      <c r="K13" s="247"/>
      <c r="L13" s="30"/>
    </row>
    <row r="14" spans="1:14" x14ac:dyDescent="0.25">
      <c r="A14" s="278" t="s">
        <v>190</v>
      </c>
      <c r="B14" s="279"/>
      <c r="C14" s="279"/>
      <c r="D14" s="280"/>
      <c r="E14" s="373">
        <v>0</v>
      </c>
      <c r="F14" s="210">
        <f t="shared" ref="F14:F19" si="0">E14/$E$80</f>
        <v>0</v>
      </c>
      <c r="G14" s="283"/>
      <c r="H14" s="217"/>
      <c r="I14" s="375">
        <f>IF($H$12&gt;0,Festzinsanlagen!E11,0)</f>
        <v>15616</v>
      </c>
      <c r="J14" s="284">
        <f>E14+I14</f>
        <v>15616</v>
      </c>
      <c r="K14" s="285">
        <f>J14/$J$80</f>
        <v>1.9279631198038456E-2</v>
      </c>
      <c r="L14" s="315"/>
    </row>
    <row r="15" spans="1:14" s="94" customFormat="1" x14ac:dyDescent="0.25">
      <c r="A15" s="286" t="s">
        <v>191</v>
      </c>
      <c r="B15" s="193"/>
      <c r="C15" s="193"/>
      <c r="D15" s="6"/>
      <c r="E15" s="203">
        <v>0</v>
      </c>
      <c r="F15" s="204">
        <f t="shared" si="0"/>
        <v>0</v>
      </c>
      <c r="G15" s="27"/>
      <c r="H15" s="214"/>
      <c r="I15" s="376">
        <f>IF($H$12&gt;0,Festzinsanlagen!E12,0)</f>
        <v>23537.100206143914</v>
      </c>
      <c r="J15" s="206">
        <f>E15+I15</f>
        <v>23537.100206143914</v>
      </c>
      <c r="K15" s="247">
        <f t="shared" ref="K15:K19" si="1">J15/$J$80</f>
        <v>2.905908116327674E-2</v>
      </c>
      <c r="L15" s="30"/>
    </row>
    <row r="16" spans="1:14" s="94" customFormat="1" x14ac:dyDescent="0.25">
      <c r="A16" s="286" t="s">
        <v>187</v>
      </c>
      <c r="B16" s="193"/>
      <c r="C16" s="193"/>
      <c r="D16" s="6"/>
      <c r="E16" s="203">
        <v>0</v>
      </c>
      <c r="F16" s="204">
        <f t="shared" si="0"/>
        <v>0</v>
      </c>
      <c r="G16" s="143"/>
      <c r="H16" s="214"/>
      <c r="I16" s="376">
        <f>IF($H$12&gt;0,Festzinsanlagen!E13,0)</f>
        <v>0</v>
      </c>
      <c r="J16" s="206">
        <f t="shared" ref="J16:J19" si="2">E16+I16</f>
        <v>0</v>
      </c>
      <c r="K16" s="247">
        <f t="shared" si="1"/>
        <v>0</v>
      </c>
      <c r="L16" s="30"/>
    </row>
    <row r="17" spans="1:12" x14ac:dyDescent="0.25">
      <c r="A17" s="286" t="s">
        <v>192</v>
      </c>
      <c r="B17" s="193"/>
      <c r="C17" s="193"/>
      <c r="D17" s="6"/>
      <c r="E17" s="203">
        <v>0</v>
      </c>
      <c r="F17" s="204">
        <f t="shared" si="0"/>
        <v>0</v>
      </c>
      <c r="G17" s="143"/>
      <c r="H17" s="214"/>
      <c r="I17" s="376">
        <f>IF($H$12&gt;0,Festzinsanlagen!E14,0)</f>
        <v>0</v>
      </c>
      <c r="J17" s="206">
        <f t="shared" si="2"/>
        <v>0</v>
      </c>
      <c r="K17" s="247">
        <f t="shared" si="1"/>
        <v>0</v>
      </c>
      <c r="L17" s="30"/>
    </row>
    <row r="18" spans="1:12" x14ac:dyDescent="0.25">
      <c r="A18" s="286" t="s">
        <v>193</v>
      </c>
      <c r="B18" s="193"/>
      <c r="C18" s="193"/>
      <c r="D18" s="6"/>
      <c r="E18" s="203">
        <v>0</v>
      </c>
      <c r="F18" s="204">
        <f t="shared" si="0"/>
        <v>0</v>
      </c>
      <c r="G18" s="143"/>
      <c r="H18" s="214"/>
      <c r="I18" s="376">
        <f>IF($H$12&gt;0,Festzinsanlagen!E15,0)</f>
        <v>0</v>
      </c>
      <c r="J18" s="206">
        <f t="shared" si="2"/>
        <v>0</v>
      </c>
      <c r="K18" s="247">
        <f t="shared" si="1"/>
        <v>0</v>
      </c>
      <c r="L18" s="30"/>
    </row>
    <row r="19" spans="1:12" x14ac:dyDescent="0.25">
      <c r="A19" s="287" t="s">
        <v>188</v>
      </c>
      <c r="B19" s="288"/>
      <c r="C19" s="288"/>
      <c r="D19" s="289"/>
      <c r="E19" s="290">
        <v>0</v>
      </c>
      <c r="F19" s="291">
        <f t="shared" si="0"/>
        <v>0</v>
      </c>
      <c r="G19" s="292"/>
      <c r="H19" s="293"/>
      <c r="I19" s="377">
        <f>IF($H$12&gt;0,Festzinsanlagen!E16,0)</f>
        <v>0</v>
      </c>
      <c r="J19" s="294">
        <f t="shared" si="2"/>
        <v>0</v>
      </c>
      <c r="K19" s="295">
        <f t="shared" si="1"/>
        <v>0</v>
      </c>
      <c r="L19" s="316"/>
    </row>
    <row r="20" spans="1:12" s="94" customFormat="1" x14ac:dyDescent="0.25">
      <c r="A20" s="193"/>
      <c r="B20" s="193"/>
      <c r="C20" s="193"/>
      <c r="D20" s="6"/>
      <c r="E20" s="6"/>
      <c r="F20" s="204"/>
      <c r="G20" s="143"/>
      <c r="H20" s="214"/>
      <c r="I20" s="104"/>
      <c r="J20" s="206"/>
      <c r="K20" s="247"/>
      <c r="L20" s="30"/>
    </row>
    <row r="21" spans="1:12" s="94" customFormat="1" x14ac:dyDescent="0.25">
      <c r="A21" s="193"/>
      <c r="B21" s="193"/>
      <c r="C21" s="193"/>
      <c r="D21" s="6"/>
      <c r="E21" s="6"/>
      <c r="F21" s="204"/>
      <c r="G21" s="143"/>
      <c r="H21" s="215" t="s">
        <v>269</v>
      </c>
      <c r="I21" s="104"/>
      <c r="J21" s="206"/>
      <c r="K21" s="247"/>
      <c r="L21" s="30"/>
    </row>
    <row r="22" spans="1:12" s="27" customFormat="1" x14ac:dyDescent="0.25">
      <c r="A22" s="94"/>
      <c r="B22" s="94"/>
      <c r="C22" s="94"/>
      <c r="D22" s="6"/>
      <c r="E22" s="6"/>
      <c r="F22" s="204"/>
      <c r="G22" s="143"/>
      <c r="H22" s="361">
        <v>0</v>
      </c>
      <c r="I22" s="30"/>
      <c r="J22" s="6"/>
      <c r="K22" s="247"/>
      <c r="L22" s="30"/>
    </row>
    <row r="23" spans="1:12" s="27" customFormat="1" x14ac:dyDescent="0.25">
      <c r="A23" s="5" t="s">
        <v>276</v>
      </c>
      <c r="B23" s="5"/>
      <c r="C23" s="5"/>
      <c r="D23" s="6"/>
      <c r="E23" s="6"/>
      <c r="F23" s="204"/>
      <c r="G23" s="143"/>
      <c r="H23" s="205">
        <f>H22*G9</f>
        <v>0</v>
      </c>
      <c r="I23" s="30"/>
      <c r="J23" s="6"/>
      <c r="K23" s="247"/>
      <c r="L23" s="30"/>
    </row>
    <row r="24" spans="1:12" s="27" customFormat="1" x14ac:dyDescent="0.25">
      <c r="A24" s="296" t="s">
        <v>263</v>
      </c>
      <c r="B24" s="283" t="s">
        <v>284</v>
      </c>
      <c r="C24" s="283" t="s">
        <v>284</v>
      </c>
      <c r="D24" s="280"/>
      <c r="E24" s="281">
        <v>0</v>
      </c>
      <c r="F24" s="282">
        <f>E24/$E$80</f>
        <v>0</v>
      </c>
      <c r="G24" s="297"/>
      <c r="H24" s="314">
        <v>0</v>
      </c>
      <c r="I24" s="378">
        <f>H24*$H$22*$G$9</f>
        <v>0</v>
      </c>
      <c r="J24" s="299">
        <f>E24+I24</f>
        <v>0</v>
      </c>
      <c r="K24" s="285">
        <f t="shared" ref="K24:K28" si="3">J24/$J$80</f>
        <v>0</v>
      </c>
      <c r="L24" s="315"/>
    </row>
    <row r="25" spans="1:12" s="94" customFormat="1" x14ac:dyDescent="0.25">
      <c r="A25" s="300" t="s">
        <v>264</v>
      </c>
      <c r="B25" s="27" t="s">
        <v>284</v>
      </c>
      <c r="C25" s="27" t="s">
        <v>284</v>
      </c>
      <c r="D25" s="6"/>
      <c r="E25" s="203">
        <v>0</v>
      </c>
      <c r="F25" s="204">
        <f>E25/$E$80</f>
        <v>0</v>
      </c>
      <c r="G25" s="143"/>
      <c r="H25" s="213">
        <v>0</v>
      </c>
      <c r="I25" s="379">
        <f>H25*$H$22*$G$9</f>
        <v>0</v>
      </c>
      <c r="J25" s="252">
        <f t="shared" ref="J25:J26" si="4">E25+I25</f>
        <v>0</v>
      </c>
      <c r="K25" s="247">
        <f t="shared" si="3"/>
        <v>0</v>
      </c>
      <c r="L25" s="30"/>
    </row>
    <row r="26" spans="1:12" s="27" customFormat="1" x14ac:dyDescent="0.25">
      <c r="A26" s="301" t="s">
        <v>265</v>
      </c>
      <c r="B26" s="230" t="s">
        <v>284</v>
      </c>
      <c r="C26" s="230" t="s">
        <v>284</v>
      </c>
      <c r="D26" s="289"/>
      <c r="E26" s="290">
        <v>0</v>
      </c>
      <c r="F26" s="291">
        <f>E26/$E$80</f>
        <v>0</v>
      </c>
      <c r="G26" s="292"/>
      <c r="H26" s="312">
        <v>0</v>
      </c>
      <c r="I26" s="380">
        <f>H26*$H$22*$G$9</f>
        <v>0</v>
      </c>
      <c r="J26" s="302">
        <f t="shared" si="4"/>
        <v>0</v>
      </c>
      <c r="K26" s="295">
        <f t="shared" si="3"/>
        <v>0</v>
      </c>
      <c r="L26" s="316"/>
    </row>
    <row r="27" spans="1:12" s="27" customFormat="1" x14ac:dyDescent="0.25">
      <c r="A27" s="94"/>
      <c r="B27" s="94"/>
      <c r="C27" s="94"/>
      <c r="D27" s="6"/>
      <c r="E27" s="6"/>
      <c r="F27" s="30"/>
      <c r="H27" s="6"/>
      <c r="I27" s="379"/>
      <c r="J27" s="252"/>
      <c r="K27" s="247"/>
      <c r="L27" s="30"/>
    </row>
    <row r="28" spans="1:12" s="27" customFormat="1" x14ac:dyDescent="0.25">
      <c r="A28" s="303" t="s">
        <v>279</v>
      </c>
      <c r="B28" s="304"/>
      <c r="C28" s="304"/>
      <c r="D28" s="305"/>
      <c r="E28" s="306">
        <v>3500</v>
      </c>
      <c r="F28" s="307">
        <f>E28/$E$80</f>
        <v>4.3211263571423277E-3</v>
      </c>
      <c r="G28" s="304"/>
      <c r="H28" s="305"/>
      <c r="I28" s="381"/>
      <c r="J28" s="308">
        <f>E28</f>
        <v>3500</v>
      </c>
      <c r="K28" s="309">
        <f t="shared" si="3"/>
        <v>4.3211263571423277E-3</v>
      </c>
      <c r="L28" s="317"/>
    </row>
    <row r="29" spans="1:12" s="27" customFormat="1" ht="15.75" thickBot="1" x14ac:dyDescent="0.3">
      <c r="A29" s="94"/>
      <c r="B29" s="94"/>
      <c r="C29" s="94"/>
      <c r="D29" s="6"/>
      <c r="E29" s="7"/>
      <c r="F29" s="49"/>
      <c r="H29" s="7"/>
      <c r="I29" s="382"/>
      <c r="J29" s="252"/>
      <c r="K29" s="248"/>
      <c r="L29" s="49"/>
    </row>
    <row r="30" spans="1:12" s="27" customFormat="1" ht="15.75" thickBot="1" x14ac:dyDescent="0.3">
      <c r="A30" s="94"/>
      <c r="B30" s="94"/>
      <c r="C30" s="94"/>
      <c r="D30" s="236" t="s">
        <v>270</v>
      </c>
      <c r="E30" s="237">
        <f>SUM(E7:E28)</f>
        <v>86339.44</v>
      </c>
      <c r="F30" s="238">
        <f>E30/E80</f>
        <v>0.10659532281283103</v>
      </c>
      <c r="G30" s="239"/>
      <c r="H30" s="240"/>
      <c r="I30" s="240"/>
      <c r="J30" s="346">
        <f>SUM(J14:J28)+J7+J8</f>
        <v>60237.590206143919</v>
      </c>
      <c r="K30" s="347"/>
      <c r="L30" s="241">
        <f>J30/J80</f>
        <v>7.4369782494430589E-2</v>
      </c>
    </row>
    <row r="31" spans="1:12" s="27" customFormat="1" ht="15.75" thickBot="1" x14ac:dyDescent="0.3">
      <c r="A31" s="94"/>
      <c r="B31" s="94"/>
      <c r="C31" s="94"/>
      <c r="D31" s="218"/>
      <c r="E31" s="208"/>
      <c r="F31" s="204"/>
      <c r="G31" s="143"/>
      <c r="I31" s="198"/>
      <c r="J31" s="208"/>
      <c r="K31" s="251"/>
      <c r="L31" s="30"/>
    </row>
    <row r="32" spans="1:12" s="94" customFormat="1" x14ac:dyDescent="0.25">
      <c r="D32" s="6"/>
      <c r="E32" s="206"/>
      <c r="F32" s="204"/>
      <c r="G32" s="143"/>
      <c r="H32" s="212" t="s">
        <v>269</v>
      </c>
      <c r="I32" s="32"/>
      <c r="J32" s="217"/>
      <c r="K32" s="210"/>
      <c r="L32" s="14"/>
    </row>
    <row r="33" spans="1:14" ht="19.5" thickBot="1" x14ac:dyDescent="0.35">
      <c r="A33" s="320" t="s">
        <v>31</v>
      </c>
      <c r="B33" s="95" t="s">
        <v>41</v>
      </c>
      <c r="D33" s="6"/>
      <c r="E33" s="206"/>
      <c r="F33" s="204"/>
      <c r="G33" s="143"/>
      <c r="H33" s="361">
        <v>0.15</v>
      </c>
      <c r="I33" s="27"/>
      <c r="J33" s="6"/>
      <c r="K33" s="204"/>
      <c r="L33" s="30"/>
    </row>
    <row r="34" spans="1:14" s="94" customFormat="1" x14ac:dyDescent="0.25">
      <c r="D34" s="6"/>
      <c r="E34" s="211"/>
      <c r="F34" s="210"/>
      <c r="G34" s="143"/>
      <c r="H34" s="205">
        <f>H33*G9</f>
        <v>9788.2424999999985</v>
      </c>
      <c r="I34" s="27"/>
      <c r="J34" s="6"/>
      <c r="K34" s="204"/>
      <c r="L34" s="30"/>
    </row>
    <row r="35" spans="1:14" s="94" customFormat="1" ht="26.25" x14ac:dyDescent="0.25">
      <c r="A35" s="430" t="s">
        <v>311</v>
      </c>
      <c r="B35" s="283"/>
      <c r="C35" s="283"/>
      <c r="D35" s="280"/>
      <c r="E35" s="281">
        <f>Erbschaft!C50+Erbschaft!C51</f>
        <v>723634.83333333337</v>
      </c>
      <c r="F35" s="282">
        <f t="shared" ref="F35:F54" si="5">E35/$E$80</f>
        <v>0.89340501464656075</v>
      </c>
      <c r="G35" s="297"/>
      <c r="H35" s="310" t="s">
        <v>272</v>
      </c>
      <c r="I35" s="298">
        <f>E35</f>
        <v>723634.83333333337</v>
      </c>
      <c r="J35" s="311">
        <f>I35</f>
        <v>723634.83333333337</v>
      </c>
      <c r="K35" s="285">
        <f t="shared" ref="K35:K54" si="6">J35/$J$80</f>
        <v>0.89340501464656075</v>
      </c>
      <c r="L35" s="315"/>
    </row>
    <row r="36" spans="1:14" s="94" customFormat="1" x14ac:dyDescent="0.25">
      <c r="A36" s="300" t="s">
        <v>159</v>
      </c>
      <c r="B36" s="27" t="s">
        <v>135</v>
      </c>
      <c r="C36" s="27" t="s">
        <v>136</v>
      </c>
      <c r="D36" s="6"/>
      <c r="E36" s="203">
        <v>0</v>
      </c>
      <c r="F36" s="204">
        <f t="shared" si="5"/>
        <v>0</v>
      </c>
      <c r="G36" s="143"/>
      <c r="H36" s="213">
        <v>0</v>
      </c>
      <c r="I36" s="232">
        <f t="shared" ref="I36:I54" si="7">H36*$H$33*$G$9</f>
        <v>0</v>
      </c>
      <c r="J36" s="235">
        <f t="shared" ref="J36:J54" si="8">E36+I36</f>
        <v>0</v>
      </c>
      <c r="K36" s="247">
        <f t="shared" si="6"/>
        <v>0</v>
      </c>
      <c r="L36" s="30"/>
    </row>
    <row r="37" spans="1:14" s="94" customFormat="1" x14ac:dyDescent="0.25">
      <c r="A37" s="300" t="s">
        <v>160</v>
      </c>
      <c r="B37" s="27" t="s">
        <v>163</v>
      </c>
      <c r="C37" s="27" t="s">
        <v>162</v>
      </c>
      <c r="D37" s="6"/>
      <c r="E37" s="203">
        <v>0</v>
      </c>
      <c r="F37" s="204">
        <f t="shared" si="5"/>
        <v>0</v>
      </c>
      <c r="G37" s="143"/>
      <c r="H37" s="213">
        <v>0</v>
      </c>
      <c r="I37" s="232">
        <f t="shared" si="7"/>
        <v>0</v>
      </c>
      <c r="J37" s="235">
        <f t="shared" si="8"/>
        <v>0</v>
      </c>
      <c r="K37" s="247">
        <f t="shared" si="6"/>
        <v>0</v>
      </c>
      <c r="L37" s="30"/>
    </row>
    <row r="38" spans="1:14" s="94" customFormat="1" x14ac:dyDescent="0.25">
      <c r="A38" s="300" t="s">
        <v>161</v>
      </c>
      <c r="B38" s="27" t="s">
        <v>180</v>
      </c>
      <c r="C38" s="27" t="s">
        <v>182</v>
      </c>
      <c r="D38" s="6"/>
      <c r="E38" s="203">
        <v>0</v>
      </c>
      <c r="F38" s="204">
        <f t="shared" si="5"/>
        <v>0</v>
      </c>
      <c r="G38" s="143"/>
      <c r="H38" s="213">
        <v>0</v>
      </c>
      <c r="I38" s="232">
        <f t="shared" si="7"/>
        <v>0</v>
      </c>
      <c r="J38" s="235">
        <f t="shared" si="8"/>
        <v>0</v>
      </c>
      <c r="K38" s="247">
        <f t="shared" si="6"/>
        <v>0</v>
      </c>
      <c r="L38" s="30"/>
    </row>
    <row r="39" spans="1:14" s="94" customFormat="1" x14ac:dyDescent="0.25">
      <c r="A39" s="300" t="s">
        <v>172</v>
      </c>
      <c r="B39" s="27" t="s">
        <v>174</v>
      </c>
      <c r="C39" s="27" t="s">
        <v>173</v>
      </c>
      <c r="D39" s="6"/>
      <c r="E39" s="203">
        <v>0</v>
      </c>
      <c r="F39" s="204">
        <f t="shared" si="5"/>
        <v>0</v>
      </c>
      <c r="G39" s="143"/>
      <c r="H39" s="213">
        <v>0.2</v>
      </c>
      <c r="I39" s="232">
        <f t="shared" si="7"/>
        <v>1957.6484999999998</v>
      </c>
      <c r="J39" s="235">
        <f t="shared" si="8"/>
        <v>1957.6484999999998</v>
      </c>
      <c r="K39" s="247">
        <f t="shared" si="6"/>
        <v>2.416927580391469E-3</v>
      </c>
      <c r="L39" s="30"/>
      <c r="N39" s="28">
        <f>J30+J57+J74</f>
        <v>809974.40353947738</v>
      </c>
    </row>
    <row r="40" spans="1:14" s="94" customFormat="1" x14ac:dyDescent="0.25">
      <c r="A40" s="300" t="s">
        <v>178</v>
      </c>
      <c r="B40" s="27" t="s">
        <v>183</v>
      </c>
      <c r="C40" s="27" t="s">
        <v>184</v>
      </c>
      <c r="D40" s="6"/>
      <c r="E40" s="203">
        <v>0</v>
      </c>
      <c r="F40" s="204">
        <f t="shared" si="5"/>
        <v>0</v>
      </c>
      <c r="G40" s="143"/>
      <c r="H40" s="213">
        <v>0.2</v>
      </c>
      <c r="I40" s="232">
        <f t="shared" si="7"/>
        <v>1957.6484999999998</v>
      </c>
      <c r="J40" s="235">
        <f t="shared" si="8"/>
        <v>1957.6484999999998</v>
      </c>
      <c r="K40" s="247">
        <f t="shared" si="6"/>
        <v>2.416927580391469E-3</v>
      </c>
      <c r="L40" s="30"/>
    </row>
    <row r="41" spans="1:14" s="94" customFormat="1" x14ac:dyDescent="0.25">
      <c r="A41" s="300" t="s">
        <v>179</v>
      </c>
      <c r="B41" s="27" t="s">
        <v>284</v>
      </c>
      <c r="C41" s="27" t="s">
        <v>284</v>
      </c>
      <c r="D41" s="6"/>
      <c r="E41" s="203">
        <v>0</v>
      </c>
      <c r="F41" s="204">
        <f t="shared" si="5"/>
        <v>0</v>
      </c>
      <c r="G41" s="143"/>
      <c r="H41" s="213">
        <v>0</v>
      </c>
      <c r="I41" s="232">
        <f t="shared" si="7"/>
        <v>0</v>
      </c>
      <c r="J41" s="235">
        <f t="shared" si="8"/>
        <v>0</v>
      </c>
      <c r="K41" s="247">
        <f t="shared" si="6"/>
        <v>0</v>
      </c>
      <c r="L41" s="30"/>
    </row>
    <row r="42" spans="1:14" s="94" customFormat="1" x14ac:dyDescent="0.25">
      <c r="A42" s="300" t="s">
        <v>146</v>
      </c>
      <c r="B42" s="27" t="s">
        <v>105</v>
      </c>
      <c r="C42" s="27" t="s">
        <v>104</v>
      </c>
      <c r="D42" s="6"/>
      <c r="E42" s="203">
        <v>0</v>
      </c>
      <c r="F42" s="204">
        <f t="shared" si="5"/>
        <v>0</v>
      </c>
      <c r="G42" s="143"/>
      <c r="H42" s="213">
        <v>0.2</v>
      </c>
      <c r="I42" s="232">
        <f t="shared" si="7"/>
        <v>1957.6484999999998</v>
      </c>
      <c r="J42" s="235">
        <f t="shared" si="8"/>
        <v>1957.6484999999998</v>
      </c>
      <c r="K42" s="247">
        <f t="shared" si="6"/>
        <v>2.416927580391469E-3</v>
      </c>
      <c r="L42" s="30"/>
    </row>
    <row r="43" spans="1:14" s="94" customFormat="1" x14ac:dyDescent="0.25">
      <c r="A43" s="300" t="s">
        <v>147</v>
      </c>
      <c r="B43" s="27" t="s">
        <v>107</v>
      </c>
      <c r="C43" s="27" t="s">
        <v>106</v>
      </c>
      <c r="D43" s="6"/>
      <c r="E43" s="203">
        <v>0</v>
      </c>
      <c r="F43" s="204">
        <f t="shared" si="5"/>
        <v>0</v>
      </c>
      <c r="G43" s="143"/>
      <c r="H43" s="213">
        <v>0</v>
      </c>
      <c r="I43" s="232">
        <f t="shared" si="7"/>
        <v>0</v>
      </c>
      <c r="J43" s="235">
        <f t="shared" si="8"/>
        <v>0</v>
      </c>
      <c r="K43" s="247">
        <f t="shared" si="6"/>
        <v>0</v>
      </c>
      <c r="L43" s="30"/>
    </row>
    <row r="44" spans="1:14" s="94" customFormat="1" x14ac:dyDescent="0.25">
      <c r="A44" s="300" t="s">
        <v>148</v>
      </c>
      <c r="B44" s="27" t="s">
        <v>110</v>
      </c>
      <c r="C44" s="27" t="s">
        <v>109</v>
      </c>
      <c r="D44" s="6"/>
      <c r="E44" s="203">
        <v>0</v>
      </c>
      <c r="F44" s="204">
        <f t="shared" si="5"/>
        <v>0</v>
      </c>
      <c r="G44" s="143"/>
      <c r="H44" s="213">
        <v>0</v>
      </c>
      <c r="I44" s="232">
        <f t="shared" si="7"/>
        <v>0</v>
      </c>
      <c r="J44" s="235">
        <f t="shared" si="8"/>
        <v>0</v>
      </c>
      <c r="K44" s="247">
        <f t="shared" si="6"/>
        <v>0</v>
      </c>
      <c r="L44" s="30"/>
    </row>
    <row r="45" spans="1:14" s="94" customFormat="1" x14ac:dyDescent="0.25">
      <c r="A45" s="300" t="s">
        <v>149</v>
      </c>
      <c r="B45" s="27" t="s">
        <v>28</v>
      </c>
      <c r="C45" s="27" t="s">
        <v>29</v>
      </c>
      <c r="D45" s="6"/>
      <c r="E45" s="203">
        <v>0</v>
      </c>
      <c r="F45" s="204">
        <f t="shared" si="5"/>
        <v>0</v>
      </c>
      <c r="G45" s="143"/>
      <c r="H45" s="213">
        <v>0.2</v>
      </c>
      <c r="I45" s="232">
        <f t="shared" si="7"/>
        <v>1957.6484999999998</v>
      </c>
      <c r="J45" s="235">
        <f t="shared" si="8"/>
        <v>1957.6484999999998</v>
      </c>
      <c r="K45" s="247">
        <f t="shared" si="6"/>
        <v>2.416927580391469E-3</v>
      </c>
      <c r="L45" s="30"/>
    </row>
    <row r="46" spans="1:14" s="94" customFormat="1" x14ac:dyDescent="0.25">
      <c r="A46" s="300" t="s">
        <v>150</v>
      </c>
      <c r="B46" s="27" t="s">
        <v>34</v>
      </c>
      <c r="C46" s="27" t="s">
        <v>35</v>
      </c>
      <c r="D46" s="6"/>
      <c r="E46" s="203">
        <v>0</v>
      </c>
      <c r="F46" s="204">
        <f t="shared" si="5"/>
        <v>0</v>
      </c>
      <c r="G46" s="143"/>
      <c r="H46" s="213">
        <v>0</v>
      </c>
      <c r="I46" s="232">
        <f t="shared" si="7"/>
        <v>0</v>
      </c>
      <c r="J46" s="235">
        <f t="shared" si="8"/>
        <v>0</v>
      </c>
      <c r="K46" s="247">
        <f t="shared" si="6"/>
        <v>0</v>
      </c>
      <c r="L46" s="30"/>
    </row>
    <row r="47" spans="1:14" s="94" customFormat="1" x14ac:dyDescent="0.25">
      <c r="A47" s="300" t="s">
        <v>151</v>
      </c>
      <c r="B47" s="27" t="s">
        <v>40</v>
      </c>
      <c r="C47" s="27" t="s">
        <v>39</v>
      </c>
      <c r="D47" s="6"/>
      <c r="E47" s="203">
        <v>0</v>
      </c>
      <c r="F47" s="204">
        <f t="shared" si="5"/>
        <v>0</v>
      </c>
      <c r="G47" s="143"/>
      <c r="H47" s="213">
        <v>0</v>
      </c>
      <c r="I47" s="232">
        <f t="shared" si="7"/>
        <v>0</v>
      </c>
      <c r="J47" s="235">
        <f t="shared" si="8"/>
        <v>0</v>
      </c>
      <c r="K47" s="247">
        <f t="shared" si="6"/>
        <v>0</v>
      </c>
      <c r="L47" s="30"/>
    </row>
    <row r="48" spans="1:14" s="94" customFormat="1" x14ac:dyDescent="0.25">
      <c r="A48" s="300" t="s">
        <v>152</v>
      </c>
      <c r="B48" s="27" t="s">
        <v>113</v>
      </c>
      <c r="C48" s="27" t="s">
        <v>112</v>
      </c>
      <c r="D48" s="6"/>
      <c r="E48" s="203">
        <v>0</v>
      </c>
      <c r="F48" s="204">
        <f t="shared" si="5"/>
        <v>0</v>
      </c>
      <c r="G48" s="143"/>
      <c r="H48" s="213">
        <v>0.2</v>
      </c>
      <c r="I48" s="232">
        <f t="shared" si="7"/>
        <v>1957.6484999999998</v>
      </c>
      <c r="J48" s="235">
        <f t="shared" si="8"/>
        <v>1957.6484999999998</v>
      </c>
      <c r="K48" s="247">
        <f t="shared" si="6"/>
        <v>2.416927580391469E-3</v>
      </c>
      <c r="L48" s="30"/>
    </row>
    <row r="49" spans="1:12" s="94" customFormat="1" x14ac:dyDescent="0.25">
      <c r="A49" s="300" t="s">
        <v>153</v>
      </c>
      <c r="B49" s="27" t="s">
        <v>58</v>
      </c>
      <c r="C49" s="27" t="s">
        <v>57</v>
      </c>
      <c r="D49" s="6"/>
      <c r="E49" s="203">
        <v>0</v>
      </c>
      <c r="F49" s="204">
        <f t="shared" si="5"/>
        <v>0</v>
      </c>
      <c r="G49" s="143"/>
      <c r="H49" s="213">
        <v>0</v>
      </c>
      <c r="I49" s="232">
        <f t="shared" si="7"/>
        <v>0</v>
      </c>
      <c r="J49" s="235">
        <f t="shared" si="8"/>
        <v>0</v>
      </c>
      <c r="K49" s="247">
        <f t="shared" si="6"/>
        <v>0</v>
      </c>
      <c r="L49" s="30"/>
    </row>
    <row r="50" spans="1:12" s="94" customFormat="1" x14ac:dyDescent="0.25">
      <c r="A50" s="300" t="s">
        <v>154</v>
      </c>
      <c r="B50" s="27" t="s">
        <v>60</v>
      </c>
      <c r="C50" s="27" t="s">
        <v>59</v>
      </c>
      <c r="D50" s="6"/>
      <c r="E50" s="203">
        <v>0</v>
      </c>
      <c r="F50" s="204">
        <f t="shared" si="5"/>
        <v>0</v>
      </c>
      <c r="G50" s="143"/>
      <c r="H50" s="213">
        <v>0</v>
      </c>
      <c r="I50" s="232">
        <f t="shared" si="7"/>
        <v>0</v>
      </c>
      <c r="J50" s="235">
        <f t="shared" si="8"/>
        <v>0</v>
      </c>
      <c r="K50" s="247">
        <f t="shared" si="6"/>
        <v>0</v>
      </c>
      <c r="L50" s="30"/>
    </row>
    <row r="51" spans="1:12" s="94" customFormat="1" x14ac:dyDescent="0.25">
      <c r="A51" s="300" t="s">
        <v>155</v>
      </c>
      <c r="B51" s="27" t="s">
        <v>284</v>
      </c>
      <c r="C51" s="27" t="s">
        <v>284</v>
      </c>
      <c r="D51" s="6"/>
      <c r="E51" s="203">
        <v>0</v>
      </c>
      <c r="F51" s="204">
        <f t="shared" si="5"/>
        <v>0</v>
      </c>
      <c r="G51" s="143"/>
      <c r="H51" s="213">
        <v>0</v>
      </c>
      <c r="I51" s="232">
        <f t="shared" si="7"/>
        <v>0</v>
      </c>
      <c r="J51" s="235">
        <f t="shared" si="8"/>
        <v>0</v>
      </c>
      <c r="K51" s="247">
        <f t="shared" si="6"/>
        <v>0</v>
      </c>
      <c r="L51" s="30"/>
    </row>
    <row r="52" spans="1:12" s="94" customFormat="1" x14ac:dyDescent="0.25">
      <c r="A52" s="300" t="s">
        <v>156</v>
      </c>
      <c r="B52" s="27" t="s">
        <v>43</v>
      </c>
      <c r="C52" s="27" t="s">
        <v>42</v>
      </c>
      <c r="D52" s="6"/>
      <c r="E52" s="203">
        <v>0</v>
      </c>
      <c r="F52" s="204">
        <f t="shared" si="5"/>
        <v>0</v>
      </c>
      <c r="G52" s="143"/>
      <c r="H52" s="213">
        <v>0</v>
      </c>
      <c r="I52" s="232">
        <f t="shared" si="7"/>
        <v>0</v>
      </c>
      <c r="J52" s="235">
        <f t="shared" si="8"/>
        <v>0</v>
      </c>
      <c r="K52" s="247">
        <f t="shared" si="6"/>
        <v>0</v>
      </c>
      <c r="L52" s="30"/>
    </row>
    <row r="53" spans="1:12" x14ac:dyDescent="0.25">
      <c r="A53" s="300" t="s">
        <v>157</v>
      </c>
      <c r="B53" s="27" t="s">
        <v>37</v>
      </c>
      <c r="C53" s="27" t="s">
        <v>36</v>
      </c>
      <c r="D53" s="6"/>
      <c r="E53" s="203">
        <v>0</v>
      </c>
      <c r="F53" s="204">
        <f t="shared" si="5"/>
        <v>0</v>
      </c>
      <c r="G53" s="143"/>
      <c r="H53" s="213">
        <v>0</v>
      </c>
      <c r="I53" s="232">
        <f t="shared" si="7"/>
        <v>0</v>
      </c>
      <c r="J53" s="235">
        <f t="shared" si="8"/>
        <v>0</v>
      </c>
      <c r="K53" s="247">
        <f t="shared" si="6"/>
        <v>0</v>
      </c>
      <c r="L53" s="30"/>
    </row>
    <row r="54" spans="1:12" x14ac:dyDescent="0.25">
      <c r="A54" s="301" t="s">
        <v>158</v>
      </c>
      <c r="B54" s="230" t="s">
        <v>49</v>
      </c>
      <c r="C54" s="230" t="s">
        <v>38</v>
      </c>
      <c r="D54" s="289"/>
      <c r="E54" s="290">
        <v>0</v>
      </c>
      <c r="F54" s="291">
        <f t="shared" si="5"/>
        <v>0</v>
      </c>
      <c r="G54" s="292"/>
      <c r="H54" s="312">
        <v>0</v>
      </c>
      <c r="I54" s="231">
        <f t="shared" si="7"/>
        <v>0</v>
      </c>
      <c r="J54" s="313">
        <f t="shared" si="8"/>
        <v>0</v>
      </c>
      <c r="K54" s="295">
        <f t="shared" si="6"/>
        <v>0</v>
      </c>
      <c r="L54" s="316"/>
    </row>
    <row r="55" spans="1:12" s="94" customFormat="1" x14ac:dyDescent="0.25">
      <c r="D55" s="6"/>
      <c r="E55" s="206"/>
      <c r="F55" s="204"/>
      <c r="G55" s="219" t="s">
        <v>271</v>
      </c>
      <c r="H55" s="216">
        <f>SUM(H36:H54)</f>
        <v>1</v>
      </c>
      <c r="I55" s="27"/>
      <c r="J55" s="234"/>
      <c r="K55" s="247"/>
      <c r="L55" s="30"/>
    </row>
    <row r="56" spans="1:12" s="94" customFormat="1" ht="15.75" thickBot="1" x14ac:dyDescent="0.3">
      <c r="D56" s="218"/>
      <c r="E56" s="206"/>
      <c r="F56" s="204"/>
      <c r="G56" s="220"/>
      <c r="H56" s="245"/>
      <c r="I56" s="341"/>
      <c r="J56" s="242"/>
      <c r="K56" s="249"/>
      <c r="L56" s="49"/>
    </row>
    <row r="57" spans="1:12" s="94" customFormat="1" ht="15.75" thickBot="1" x14ac:dyDescent="0.3">
      <c r="D57" s="236" t="s">
        <v>273</v>
      </c>
      <c r="E57" s="237">
        <f>SUM(E35:E54)</f>
        <v>723634.83333333337</v>
      </c>
      <c r="F57" s="238">
        <f>E57/E80</f>
        <v>0.89340501464656075</v>
      </c>
      <c r="G57" s="239"/>
      <c r="H57" s="240"/>
      <c r="I57" s="243"/>
      <c r="J57" s="346">
        <f>SUM(J35:J54)</f>
        <v>733423.07583333342</v>
      </c>
      <c r="K57" s="244"/>
      <c r="L57" s="244">
        <f>J57/J80</f>
        <v>0.9054896525485181</v>
      </c>
    </row>
    <row r="58" spans="1:12" s="94" customFormat="1" ht="15.75" thickBot="1" x14ac:dyDescent="0.3">
      <c r="D58" s="218"/>
      <c r="E58" s="208"/>
      <c r="F58" s="204"/>
      <c r="G58" s="143"/>
      <c r="H58" s="209"/>
      <c r="I58" s="197"/>
      <c r="J58" s="348"/>
      <c r="K58" s="251"/>
      <c r="L58" s="30"/>
    </row>
    <row r="59" spans="1:12" s="94" customFormat="1" x14ac:dyDescent="0.25">
      <c r="D59" s="218"/>
      <c r="E59" s="208"/>
      <c r="F59" s="204"/>
      <c r="G59" s="143"/>
      <c r="H59" s="212" t="s">
        <v>269</v>
      </c>
      <c r="I59" s="342"/>
      <c r="J59" s="349"/>
      <c r="K59" s="250"/>
      <c r="L59" s="14"/>
    </row>
    <row r="60" spans="1:12" s="94" customFormat="1" ht="15.75" thickBot="1" x14ac:dyDescent="0.3">
      <c r="D60" s="218"/>
      <c r="E60" s="206"/>
      <c r="F60" s="204"/>
      <c r="G60" s="143"/>
      <c r="H60" s="362">
        <v>0.25</v>
      </c>
      <c r="I60" s="197"/>
      <c r="J60" s="350"/>
      <c r="K60" s="251"/>
      <c r="L60" s="30"/>
    </row>
    <row r="61" spans="1:12" s="94" customFormat="1" ht="19.5" thickBot="1" x14ac:dyDescent="0.35">
      <c r="A61" s="320" t="s">
        <v>30</v>
      </c>
      <c r="B61" s="19" t="s">
        <v>41</v>
      </c>
      <c r="D61" s="6"/>
      <c r="E61" s="206"/>
      <c r="F61" s="204"/>
      <c r="G61" s="143"/>
      <c r="H61" s="205">
        <f>H60*G9</f>
        <v>16313.737499999999</v>
      </c>
      <c r="I61" s="27"/>
      <c r="J61" s="234"/>
      <c r="K61" s="204"/>
      <c r="L61" s="30"/>
    </row>
    <row r="62" spans="1:12" s="94" customFormat="1" x14ac:dyDescent="0.25">
      <c r="D62" s="6"/>
      <c r="E62" s="211"/>
      <c r="F62" s="210"/>
      <c r="G62" s="143"/>
      <c r="H62" s="6"/>
      <c r="I62" s="27"/>
      <c r="J62" s="234"/>
      <c r="K62" s="204"/>
      <c r="L62" s="30"/>
    </row>
    <row r="63" spans="1:12" s="94" customFormat="1" x14ac:dyDescent="0.25">
      <c r="A63" s="296" t="s">
        <v>137</v>
      </c>
      <c r="B63" s="283" t="s">
        <v>13</v>
      </c>
      <c r="C63" s="283" t="s">
        <v>14</v>
      </c>
      <c r="D63" s="280"/>
      <c r="E63" s="281">
        <v>0</v>
      </c>
      <c r="F63" s="282">
        <f t="shared" ref="F63:F71" si="9">E63/$E$80</f>
        <v>0</v>
      </c>
      <c r="G63" s="297"/>
      <c r="H63" s="314">
        <v>0.3</v>
      </c>
      <c r="I63" s="298">
        <f t="shared" ref="I63:I71" si="10">H63*$H$60*$G$9</f>
        <v>4894.1212499999992</v>
      </c>
      <c r="J63" s="311">
        <f t="shared" ref="J63:J71" si="11">E63+I63</f>
        <v>4894.1212499999992</v>
      </c>
      <c r="K63" s="285">
        <f t="shared" ref="K63:K71" si="12">J63/$J$80</f>
        <v>6.0423189509786722E-3</v>
      </c>
      <c r="L63" s="315"/>
    </row>
    <row r="64" spans="1:12" s="94" customFormat="1" x14ac:dyDescent="0.25">
      <c r="A64" s="300" t="s">
        <v>138</v>
      </c>
      <c r="B64" s="27" t="s">
        <v>65</v>
      </c>
      <c r="C64" s="27" t="s">
        <v>64</v>
      </c>
      <c r="D64" s="6"/>
      <c r="E64" s="203">
        <v>0</v>
      </c>
      <c r="F64" s="204">
        <f t="shared" si="9"/>
        <v>0</v>
      </c>
      <c r="G64" s="143"/>
      <c r="H64" s="213">
        <v>0</v>
      </c>
      <c r="I64" s="232">
        <f t="shared" si="10"/>
        <v>0</v>
      </c>
      <c r="J64" s="235">
        <f t="shared" si="11"/>
        <v>0</v>
      </c>
      <c r="K64" s="247">
        <f t="shared" si="12"/>
        <v>0</v>
      </c>
      <c r="L64" s="30"/>
    </row>
    <row r="65" spans="1:12" s="94" customFormat="1" x14ac:dyDescent="0.25">
      <c r="A65" s="300" t="s">
        <v>139</v>
      </c>
      <c r="B65" s="27" t="s">
        <v>66</v>
      </c>
      <c r="C65" s="27" t="s">
        <v>63</v>
      </c>
      <c r="D65" s="6"/>
      <c r="E65" s="203">
        <v>0</v>
      </c>
      <c r="F65" s="204">
        <f t="shared" si="9"/>
        <v>0</v>
      </c>
      <c r="G65" s="143"/>
      <c r="H65" s="213">
        <v>0</v>
      </c>
      <c r="I65" s="232">
        <f t="shared" si="10"/>
        <v>0</v>
      </c>
      <c r="J65" s="235">
        <f t="shared" si="11"/>
        <v>0</v>
      </c>
      <c r="K65" s="247">
        <f t="shared" si="12"/>
        <v>0</v>
      </c>
      <c r="L65" s="30"/>
    </row>
    <row r="66" spans="1:12" s="94" customFormat="1" x14ac:dyDescent="0.25">
      <c r="A66" s="300" t="s">
        <v>140</v>
      </c>
      <c r="B66" s="27" t="s">
        <v>68</v>
      </c>
      <c r="C66" s="27" t="s">
        <v>67</v>
      </c>
      <c r="D66" s="6"/>
      <c r="E66" s="203">
        <v>0</v>
      </c>
      <c r="F66" s="204">
        <f t="shared" si="9"/>
        <v>0</v>
      </c>
      <c r="G66" s="143"/>
      <c r="H66" s="213">
        <v>0.3</v>
      </c>
      <c r="I66" s="232">
        <f t="shared" si="10"/>
        <v>4894.1212499999992</v>
      </c>
      <c r="J66" s="235">
        <f t="shared" si="11"/>
        <v>4894.1212499999992</v>
      </c>
      <c r="K66" s="247">
        <f t="shared" si="12"/>
        <v>6.0423189509786722E-3</v>
      </c>
      <c r="L66" s="30"/>
    </row>
    <row r="67" spans="1:12" s="94" customFormat="1" x14ac:dyDescent="0.25">
      <c r="A67" s="300" t="s">
        <v>141</v>
      </c>
      <c r="B67" s="27" t="s">
        <v>16</v>
      </c>
      <c r="C67" s="27" t="s">
        <v>8</v>
      </c>
      <c r="D67" s="6"/>
      <c r="E67" s="203">
        <v>0</v>
      </c>
      <c r="F67" s="204">
        <f t="shared" si="9"/>
        <v>0</v>
      </c>
      <c r="G67" s="143"/>
      <c r="H67" s="213">
        <v>0</v>
      </c>
      <c r="I67" s="232">
        <f t="shared" si="10"/>
        <v>0</v>
      </c>
      <c r="J67" s="235">
        <f t="shared" si="11"/>
        <v>0</v>
      </c>
      <c r="K67" s="247">
        <f t="shared" si="12"/>
        <v>0</v>
      </c>
      <c r="L67" s="30"/>
    </row>
    <row r="68" spans="1:12" s="94" customFormat="1" x14ac:dyDescent="0.25">
      <c r="A68" s="300" t="s">
        <v>142</v>
      </c>
      <c r="B68" s="27" t="s">
        <v>70</v>
      </c>
      <c r="C68" s="27" t="s">
        <v>69</v>
      </c>
      <c r="D68" s="6"/>
      <c r="E68" s="203">
        <v>0</v>
      </c>
      <c r="F68" s="204">
        <f t="shared" si="9"/>
        <v>0</v>
      </c>
      <c r="G68" s="143"/>
      <c r="H68" s="213">
        <v>0</v>
      </c>
      <c r="I68" s="232">
        <f t="shared" si="10"/>
        <v>0</v>
      </c>
      <c r="J68" s="235">
        <f t="shared" si="11"/>
        <v>0</v>
      </c>
      <c r="K68" s="247">
        <f t="shared" si="12"/>
        <v>0</v>
      </c>
      <c r="L68" s="30"/>
    </row>
    <row r="69" spans="1:12" s="94" customFormat="1" x14ac:dyDescent="0.25">
      <c r="A69" s="300" t="s">
        <v>143</v>
      </c>
      <c r="B69" s="27" t="s">
        <v>11</v>
      </c>
      <c r="C69" s="27" t="s">
        <v>9</v>
      </c>
      <c r="D69" s="6"/>
      <c r="E69" s="203">
        <v>0</v>
      </c>
      <c r="F69" s="204">
        <f t="shared" si="9"/>
        <v>0</v>
      </c>
      <c r="G69" s="143"/>
      <c r="H69" s="213">
        <v>0.1</v>
      </c>
      <c r="I69" s="232">
        <f t="shared" si="10"/>
        <v>1631.37375</v>
      </c>
      <c r="J69" s="235">
        <f t="shared" si="11"/>
        <v>1631.37375</v>
      </c>
      <c r="K69" s="247">
        <f t="shared" si="12"/>
        <v>2.014106316992891E-3</v>
      </c>
      <c r="L69" s="30"/>
    </row>
    <row r="70" spans="1:12" s="94" customFormat="1" x14ac:dyDescent="0.25">
      <c r="A70" s="300" t="s">
        <v>144</v>
      </c>
      <c r="B70" s="27" t="s">
        <v>17</v>
      </c>
      <c r="C70" s="27" t="s">
        <v>10</v>
      </c>
      <c r="D70" s="6"/>
      <c r="E70" s="203">
        <v>0</v>
      </c>
      <c r="F70" s="204">
        <f t="shared" si="9"/>
        <v>0</v>
      </c>
      <c r="G70" s="143"/>
      <c r="H70" s="213">
        <v>0.3</v>
      </c>
      <c r="I70" s="232">
        <f t="shared" si="10"/>
        <v>4894.1212499999992</v>
      </c>
      <c r="J70" s="235">
        <f t="shared" si="11"/>
        <v>4894.1212499999992</v>
      </c>
      <c r="K70" s="247">
        <f t="shared" si="12"/>
        <v>6.0423189509786722E-3</v>
      </c>
      <c r="L70" s="30"/>
    </row>
    <row r="71" spans="1:12" s="94" customFormat="1" x14ac:dyDescent="0.25">
      <c r="A71" s="301" t="s">
        <v>145</v>
      </c>
      <c r="B71" s="230" t="s">
        <v>18</v>
      </c>
      <c r="C71" s="230" t="s">
        <v>19</v>
      </c>
      <c r="D71" s="289"/>
      <c r="E71" s="290">
        <v>0</v>
      </c>
      <c r="F71" s="291">
        <f t="shared" si="9"/>
        <v>0</v>
      </c>
      <c r="G71" s="292"/>
      <c r="H71" s="312">
        <v>0</v>
      </c>
      <c r="I71" s="231">
        <f t="shared" si="10"/>
        <v>0</v>
      </c>
      <c r="J71" s="313">
        <f t="shared" si="11"/>
        <v>0</v>
      </c>
      <c r="K71" s="295">
        <f t="shared" si="12"/>
        <v>0</v>
      </c>
      <c r="L71" s="316"/>
    </row>
    <row r="72" spans="1:12" s="94" customFormat="1" x14ac:dyDescent="0.25">
      <c r="D72" s="6"/>
      <c r="E72" s="206"/>
      <c r="F72" s="204"/>
      <c r="G72" s="143"/>
      <c r="H72" s="214">
        <f>SUM(H63:H71)</f>
        <v>1</v>
      </c>
      <c r="I72" s="27"/>
      <c r="J72" s="234"/>
      <c r="K72" s="204"/>
      <c r="L72" s="30"/>
    </row>
    <row r="73" spans="1:12" s="94" customFormat="1" ht="15.75" thickBot="1" x14ac:dyDescent="0.3">
      <c r="D73" s="6"/>
      <c r="E73" s="206"/>
      <c r="F73" s="204"/>
      <c r="G73" s="143"/>
      <c r="H73" s="214"/>
      <c r="I73" s="27"/>
      <c r="J73" s="234"/>
      <c r="K73" s="204"/>
      <c r="L73" s="30"/>
    </row>
    <row r="74" spans="1:12" s="94" customFormat="1" ht="15.75" thickBot="1" x14ac:dyDescent="0.3">
      <c r="D74" s="236" t="s">
        <v>274</v>
      </c>
      <c r="E74" s="237">
        <f>SUM(E63:E71)</f>
        <v>0</v>
      </c>
      <c r="F74" s="238">
        <f>E74/E80</f>
        <v>0</v>
      </c>
      <c r="G74" s="239"/>
      <c r="H74" s="327">
        <f>H60+H33+H22+H12</f>
        <v>1</v>
      </c>
      <c r="I74" s="246"/>
      <c r="J74" s="346">
        <f>SUM(J63:J71)</f>
        <v>16313.737499999999</v>
      </c>
      <c r="K74" s="351"/>
      <c r="L74" s="244">
        <f>J74/J80</f>
        <v>2.0141063169928912E-2</v>
      </c>
    </row>
    <row r="75" spans="1:12" s="94" customFormat="1" ht="15.75" thickBot="1" x14ac:dyDescent="0.3">
      <c r="D75" s="6"/>
      <c r="E75" s="27"/>
      <c r="F75" s="27"/>
      <c r="G75" s="143"/>
      <c r="H75" s="328" t="s">
        <v>293</v>
      </c>
      <c r="I75" s="27"/>
      <c r="J75" s="6"/>
      <c r="K75" s="30"/>
      <c r="L75" s="30"/>
    </row>
    <row r="76" spans="1:12" s="94" customFormat="1" x14ac:dyDescent="0.25">
      <c r="D76" s="265"/>
      <c r="E76" s="357" t="s">
        <v>164</v>
      </c>
      <c r="F76" s="266">
        <f>F30</f>
        <v>0.10659532281283103</v>
      </c>
      <c r="G76" s="266"/>
      <c r="H76" s="266"/>
      <c r="I76" s="267"/>
      <c r="J76" s="352" t="s">
        <v>164</v>
      </c>
      <c r="K76" s="343">
        <f>L30</f>
        <v>7.4369782494430589E-2</v>
      </c>
      <c r="L76" s="30"/>
    </row>
    <row r="77" spans="1:12" s="94" customFormat="1" x14ac:dyDescent="0.25">
      <c r="D77" s="268"/>
      <c r="E77" s="358" t="s">
        <v>305</v>
      </c>
      <c r="F77" s="269">
        <f>F57</f>
        <v>0.89340501464656075</v>
      </c>
      <c r="G77" s="269"/>
      <c r="H77" s="269"/>
      <c r="I77" s="270"/>
      <c r="J77" s="353" t="s">
        <v>305</v>
      </c>
      <c r="K77" s="344">
        <f>L57</f>
        <v>0.9054896525485181</v>
      </c>
      <c r="L77" s="30"/>
    </row>
    <row r="78" spans="1:12" s="94" customFormat="1" ht="15.75" thickBot="1" x14ac:dyDescent="0.3">
      <c r="D78" s="271"/>
      <c r="E78" s="359" t="s">
        <v>7</v>
      </c>
      <c r="F78" s="272">
        <f>F74</f>
        <v>0</v>
      </c>
      <c r="G78" s="272"/>
      <c r="H78" s="272"/>
      <c r="I78" s="273"/>
      <c r="J78" s="354" t="s">
        <v>7</v>
      </c>
      <c r="K78" s="345">
        <f>L74</f>
        <v>2.0141063169928912E-2</v>
      </c>
      <c r="L78" s="30"/>
    </row>
    <row r="79" spans="1:12" s="94" customFormat="1" x14ac:dyDescent="0.25">
      <c r="D79" s="6"/>
      <c r="E79" s="143"/>
      <c r="F79" s="143"/>
      <c r="G79" s="143"/>
      <c r="H79" s="143"/>
      <c r="I79" s="27"/>
      <c r="J79" s="6"/>
      <c r="K79" s="30"/>
      <c r="L79" s="30"/>
    </row>
    <row r="80" spans="1:12" s="94" customFormat="1" ht="16.5" thickBot="1" x14ac:dyDescent="0.3">
      <c r="D80" s="227" t="s">
        <v>275</v>
      </c>
      <c r="E80" s="228">
        <f>ROUND(E30+E57+E74,0)</f>
        <v>809974</v>
      </c>
      <c r="F80" s="228"/>
      <c r="G80" s="228"/>
      <c r="H80" s="228"/>
      <c r="I80" s="228"/>
      <c r="J80" s="355">
        <f>ROUND(J30+J57+J74,0)</f>
        <v>809974</v>
      </c>
      <c r="K80" s="356"/>
      <c r="L80" s="229"/>
    </row>
    <row r="81" spans="1:14" s="94" customFormat="1" ht="16.5" thickTop="1" thickBot="1" x14ac:dyDescent="0.3">
      <c r="D81" s="7"/>
      <c r="E81" s="142"/>
      <c r="F81" s="225">
        <f>F30+F57+F74</f>
        <v>1.0000003374593918</v>
      </c>
      <c r="G81" s="142"/>
      <c r="H81" s="142"/>
      <c r="I81" s="31"/>
      <c r="J81" s="31"/>
      <c r="K81" s="31"/>
      <c r="L81" s="226">
        <f>L30+L57+L74</f>
        <v>1.0000004982128776</v>
      </c>
    </row>
    <row r="82" spans="1:14" s="94" customFormat="1" x14ac:dyDescent="0.25">
      <c r="E82" s="23"/>
      <c r="F82" s="23"/>
      <c r="G82" s="23"/>
      <c r="H82" s="23"/>
    </row>
    <row r="83" spans="1:14" s="94" customFormat="1" x14ac:dyDescent="0.25">
      <c r="E83" s="23"/>
      <c r="F83" s="23"/>
      <c r="G83" s="23"/>
      <c r="H83" s="23"/>
      <c r="J83" s="390" t="s">
        <v>304</v>
      </c>
      <c r="K83" s="390"/>
    </row>
    <row r="84" spans="1:14" s="94" customFormat="1" x14ac:dyDescent="0.25">
      <c r="E84" s="23"/>
      <c r="F84" s="23"/>
      <c r="G84" s="23"/>
      <c r="H84" s="23"/>
      <c r="I84" s="28"/>
      <c r="J84" s="390"/>
      <c r="K84" s="390"/>
    </row>
    <row r="85" spans="1:14" s="94" customFormat="1" x14ac:dyDescent="0.25">
      <c r="E85" s="23"/>
      <c r="F85" s="23"/>
      <c r="G85" s="23"/>
      <c r="H85" s="23"/>
    </row>
    <row r="86" spans="1:14" s="94" customFormat="1" x14ac:dyDescent="0.25">
      <c r="E86" s="23"/>
      <c r="F86" s="23"/>
      <c r="G86" s="23"/>
      <c r="H86" s="23"/>
    </row>
    <row r="87" spans="1:14" s="94" customFormat="1" x14ac:dyDescent="0.25"/>
    <row r="88" spans="1:14" s="94" customFormat="1" x14ac:dyDescent="0.25"/>
    <row r="89" spans="1:14" s="94" customFormat="1" x14ac:dyDescent="0.25"/>
    <row r="90" spans="1:14" x14ac:dyDescent="0.25">
      <c r="A90" s="94"/>
      <c r="D90" s="94"/>
      <c r="E90" s="94"/>
      <c r="G90" s="94"/>
      <c r="I90" s="94"/>
      <c r="L90" s="94"/>
      <c r="M90" s="94"/>
      <c r="N90" s="94"/>
    </row>
    <row r="91" spans="1:14" ht="26.25" customHeight="1" x14ac:dyDescent="0.25">
      <c r="A91" s="94"/>
      <c r="D91" s="94"/>
      <c r="E91" s="94"/>
      <c r="G91" s="94"/>
      <c r="I91" s="94"/>
      <c r="L91" s="94"/>
      <c r="M91" s="94"/>
      <c r="N91" s="94"/>
    </row>
    <row r="92" spans="1:14" x14ac:dyDescent="0.25">
      <c r="A92" s="94"/>
      <c r="D92" s="94"/>
      <c r="E92" s="94"/>
      <c r="G92" s="94"/>
      <c r="I92" s="94"/>
      <c r="L92" s="94"/>
      <c r="M92" s="94"/>
      <c r="N92" s="94"/>
    </row>
    <row r="93" spans="1:14" x14ac:dyDescent="0.25">
      <c r="A93" s="94"/>
      <c r="D93" s="94"/>
      <c r="E93" s="94"/>
      <c r="G93" s="94"/>
      <c r="I93" s="94"/>
      <c r="L93" s="94"/>
      <c r="M93" s="94"/>
      <c r="N93" s="94"/>
    </row>
    <row r="94" spans="1:14" x14ac:dyDescent="0.25">
      <c r="A94" s="94"/>
      <c r="D94" s="94"/>
      <c r="E94" s="94"/>
      <c r="G94" s="94"/>
      <c r="I94" s="94"/>
      <c r="L94" s="94"/>
      <c r="M94" s="94"/>
      <c r="N94" s="94"/>
    </row>
    <row r="95" spans="1:14" x14ac:dyDescent="0.25">
      <c r="A95" s="94"/>
      <c r="D95" s="94"/>
      <c r="E95" s="94"/>
      <c r="G95" s="94"/>
      <c r="I95" s="94"/>
      <c r="L95" s="94"/>
      <c r="M95" s="94"/>
      <c r="N95" s="94"/>
    </row>
    <row r="96" spans="1:14" x14ac:dyDescent="0.25">
      <c r="A96" s="94"/>
      <c r="D96" s="94"/>
      <c r="E96" s="94"/>
      <c r="G96" s="94"/>
      <c r="I96" s="94"/>
      <c r="L96" s="94"/>
      <c r="M96" s="94"/>
      <c r="N96" s="94"/>
    </row>
    <row r="97" spans="1:16" x14ac:dyDescent="0.25">
      <c r="A97" s="94"/>
      <c r="D97" s="94"/>
      <c r="E97" s="94"/>
      <c r="G97" s="94"/>
      <c r="I97" s="94"/>
      <c r="L97" s="94"/>
      <c r="M97" s="94"/>
      <c r="N97" s="94"/>
    </row>
    <row r="98" spans="1:16" x14ac:dyDescent="0.25">
      <c r="A98" s="94"/>
      <c r="D98" s="94"/>
      <c r="E98" s="94"/>
      <c r="G98" s="94"/>
      <c r="I98" s="94"/>
      <c r="L98" s="94"/>
      <c r="M98" s="94"/>
      <c r="N98" s="94"/>
    </row>
    <row r="99" spans="1:16" x14ac:dyDescent="0.25">
      <c r="A99" s="94"/>
      <c r="D99" s="94"/>
      <c r="E99" s="94"/>
      <c r="G99" s="94"/>
      <c r="I99" s="94"/>
      <c r="L99" s="94"/>
      <c r="M99" s="94"/>
      <c r="N99" s="94"/>
    </row>
    <row r="100" spans="1:16" s="94" customFormat="1" x14ac:dyDescent="0.25"/>
    <row r="101" spans="1:16" s="94" customFormat="1" x14ac:dyDescent="0.25"/>
    <row r="102" spans="1:16" x14ac:dyDescent="0.25">
      <c r="A102" s="94"/>
      <c r="D102" s="94"/>
      <c r="E102" s="94"/>
      <c r="G102" s="94"/>
      <c r="I102" s="94"/>
      <c r="L102" s="94"/>
      <c r="M102" s="94"/>
      <c r="N102" s="94"/>
      <c r="P102" s="196"/>
    </row>
    <row r="103" spans="1:16" x14ac:dyDescent="0.25">
      <c r="A103" s="94"/>
      <c r="D103" s="94"/>
      <c r="E103" s="94"/>
      <c r="G103" s="94"/>
      <c r="I103" s="94"/>
      <c r="L103" s="94"/>
      <c r="M103" s="94"/>
      <c r="N103" s="94"/>
      <c r="P103" s="196"/>
    </row>
    <row r="104" spans="1:16" x14ac:dyDescent="0.25">
      <c r="A104" s="94"/>
      <c r="D104" s="94"/>
      <c r="E104" s="94"/>
      <c r="G104" s="94"/>
      <c r="I104" s="94"/>
      <c r="L104" s="94"/>
      <c r="M104" s="94"/>
      <c r="N104" s="94"/>
      <c r="P104" s="196"/>
    </row>
    <row r="105" spans="1:16" x14ac:dyDescent="0.25">
      <c r="A105" s="94"/>
      <c r="D105" s="94"/>
      <c r="E105" s="94"/>
      <c r="G105" s="94"/>
      <c r="I105" s="94"/>
      <c r="L105" s="94"/>
      <c r="M105" s="94"/>
      <c r="N105" s="94"/>
    </row>
    <row r="106" spans="1:16" x14ac:dyDescent="0.25">
      <c r="A106" s="94"/>
      <c r="D106" s="94"/>
      <c r="E106" s="94"/>
      <c r="G106" s="94"/>
      <c r="I106" s="94"/>
      <c r="L106" s="94"/>
      <c r="M106" s="94"/>
      <c r="N106" s="94"/>
    </row>
    <row r="107" spans="1:16" x14ac:dyDescent="0.25">
      <c r="A107" s="94"/>
      <c r="D107" s="94"/>
      <c r="E107" s="94"/>
      <c r="G107" s="94"/>
      <c r="I107" s="94"/>
      <c r="L107" s="94"/>
      <c r="M107" s="94"/>
      <c r="N107" s="94"/>
    </row>
    <row r="108" spans="1:16" x14ac:dyDescent="0.25">
      <c r="A108" s="94"/>
      <c r="D108" s="94"/>
      <c r="E108" s="94"/>
      <c r="G108" s="94"/>
      <c r="I108" s="94"/>
      <c r="L108" s="94"/>
      <c r="M108" s="94"/>
      <c r="N108" s="94"/>
    </row>
    <row r="109" spans="1:16" x14ac:dyDescent="0.25">
      <c r="A109" s="94"/>
      <c r="D109" s="94"/>
      <c r="E109" s="94"/>
      <c r="G109" s="94"/>
      <c r="I109" s="94"/>
      <c r="L109" s="94"/>
      <c r="M109" s="94"/>
      <c r="N109" s="94"/>
    </row>
    <row r="110" spans="1:16" x14ac:dyDescent="0.25">
      <c r="A110" s="94"/>
      <c r="D110" s="94"/>
      <c r="E110" s="94"/>
      <c r="G110" s="94"/>
      <c r="I110" s="94"/>
      <c r="L110" s="94"/>
      <c r="M110" s="94"/>
    </row>
    <row r="111" spans="1:16" x14ac:dyDescent="0.25">
      <c r="A111" s="94"/>
      <c r="D111" s="94"/>
      <c r="E111" s="94"/>
      <c r="G111" s="94"/>
      <c r="I111" s="94"/>
      <c r="L111" s="94"/>
      <c r="M111" s="94"/>
    </row>
    <row r="112" spans="1:16" x14ac:dyDescent="0.25">
      <c r="A112" s="94"/>
      <c r="D112" s="94"/>
      <c r="E112" s="94"/>
      <c r="G112" s="94"/>
      <c r="I112" s="94"/>
      <c r="L112" s="94"/>
      <c r="M112" s="94"/>
    </row>
    <row r="113" spans="1:13" x14ac:dyDescent="0.25">
      <c r="A113" s="94"/>
      <c r="D113" s="94"/>
      <c r="E113" s="94"/>
      <c r="G113" s="94"/>
      <c r="I113" s="94"/>
      <c r="L113" s="94"/>
      <c r="M113" s="94"/>
    </row>
  </sheetData>
  <mergeCells count="9">
    <mergeCell ref="E1:F1"/>
    <mergeCell ref="H1:I1"/>
    <mergeCell ref="G7:H8"/>
    <mergeCell ref="J83:K84"/>
    <mergeCell ref="G6:H6"/>
    <mergeCell ref="E4:F5"/>
    <mergeCell ref="H4:I5"/>
    <mergeCell ref="G9:H10"/>
    <mergeCell ref="J5:K5"/>
  </mergeCells>
  <conditionalFormatting sqref="H55 H72:H73">
    <cfRule type="cellIs" dxfId="10" priority="5" operator="equal">
      <formula>100%</formula>
    </cfRule>
  </conditionalFormatting>
  <conditionalFormatting sqref="H74">
    <cfRule type="cellIs" dxfId="9" priority="1" operator="lessThan">
      <formula>1</formula>
    </cfRule>
    <cfRule type="cellIs" dxfId="8" priority="2" operator="equal">
      <formula>1</formula>
    </cfRule>
  </conditionalFormatting>
  <hyperlinks>
    <hyperlink ref="H13" location="Festzinsanlagen!A1" display="Festzinsanlagen!A1"/>
    <hyperlink ref="A8" location="Tagesgeld!A1" display="Tagesgeld"/>
    <hyperlink ref="J83:K84" location="Portfolio!A1" display="Weiter"/>
    <hyperlink ref="B33" r:id="rId1"/>
    <hyperlink ref="B61" r:id="rId2"/>
  </hyperlinks>
  <pageMargins left="0.70866141732283472" right="0.70866141732283472" top="0.78740157480314965" bottom="0.78740157480314965" header="0.31496062992125984" footer="0.31496062992125984"/>
  <pageSetup paperSize="9" fitToHeight="0" orientation="landscape" verticalDpi="0" r:id="rId3"/>
  <headerFooter>
    <oddFooter>&amp;L&amp;D&amp;C&amp;A&amp;R&amp;P / &amp;N</oddFooter>
  </headerFooter>
  <legacy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6">
    <pageSetUpPr fitToPage="1"/>
  </sheetPr>
  <dimension ref="A1:T101"/>
  <sheetViews>
    <sheetView topLeftCell="A17" zoomScale="85" zoomScaleNormal="85" workbookViewId="0">
      <selection activeCell="G34" sqref="G34"/>
    </sheetView>
  </sheetViews>
  <sheetFormatPr baseColWidth="10" defaultColWidth="13" defaultRowHeight="15" x14ac:dyDescent="0.25"/>
  <cols>
    <col min="1" max="1" width="11.85546875" customWidth="1"/>
    <col min="2" max="2" width="6.7109375" customWidth="1"/>
    <col min="3" max="3" width="41.140625" customWidth="1"/>
    <col min="4" max="6" width="13.140625" style="94" customWidth="1"/>
    <col min="7" max="7" width="14.42578125" bestFit="1" customWidth="1"/>
    <col min="8" max="8" width="59.28515625" bestFit="1" customWidth="1"/>
    <col min="9" max="9" width="5.42578125" customWidth="1"/>
    <col min="10" max="10" width="10.28515625" customWidth="1"/>
    <col min="11" max="11" width="6.28515625" customWidth="1"/>
    <col min="12" max="12" width="5.7109375" customWidth="1"/>
    <col min="13" max="13" width="8.140625" customWidth="1"/>
    <col min="14" max="14" width="10.7109375" customWidth="1"/>
    <col min="15" max="15" width="27.42578125" customWidth="1"/>
    <col min="16" max="16" width="17.42578125" customWidth="1"/>
    <col min="17" max="17" width="16" bestFit="1" customWidth="1"/>
    <col min="18" max="18" width="56" customWidth="1"/>
  </cols>
  <sheetData>
    <row r="1" spans="1:19" ht="15" customHeight="1" x14ac:dyDescent="0.25">
      <c r="A1" s="326"/>
      <c r="B1" s="277"/>
      <c r="G1" s="8"/>
      <c r="H1" s="9"/>
      <c r="I1" s="9"/>
      <c r="J1" s="8"/>
      <c r="K1" s="8"/>
      <c r="L1" s="9"/>
      <c r="M1" s="9"/>
      <c r="N1" s="8"/>
      <c r="O1" s="8"/>
      <c r="P1" s="8"/>
      <c r="Q1" s="8"/>
      <c r="R1" s="57"/>
      <c r="S1" s="57"/>
    </row>
    <row r="2" spans="1:19" ht="15" customHeight="1" x14ac:dyDescent="0.25">
      <c r="A2" s="15"/>
      <c r="G2" s="8"/>
      <c r="H2" s="9"/>
      <c r="I2" s="9"/>
      <c r="J2" s="8"/>
      <c r="K2" s="8"/>
      <c r="L2" s="9"/>
      <c r="M2" s="9"/>
      <c r="N2" s="8"/>
      <c r="O2" s="8"/>
      <c r="P2" s="8"/>
      <c r="Q2" s="8"/>
      <c r="R2" s="57"/>
      <c r="S2" s="57"/>
    </row>
    <row r="3" spans="1:19" ht="15.75" thickBot="1" x14ac:dyDescent="0.3">
      <c r="A3" s="1"/>
      <c r="B3" s="1"/>
      <c r="G3" s="10"/>
      <c r="H3" s="11"/>
      <c r="I3" s="11"/>
      <c r="J3" s="8"/>
      <c r="K3" s="8"/>
      <c r="L3" s="12"/>
      <c r="M3" s="12"/>
      <c r="N3" s="8"/>
      <c r="O3" s="8"/>
      <c r="P3" s="8"/>
      <c r="Q3" s="8"/>
    </row>
    <row r="4" spans="1:19" ht="45" x14ac:dyDescent="0.25">
      <c r="B4" s="93"/>
      <c r="C4" s="60" t="s">
        <v>0</v>
      </c>
      <c r="D4" s="415" t="s">
        <v>285</v>
      </c>
      <c r="E4" s="422" t="s">
        <v>286</v>
      </c>
      <c r="F4" s="415" t="s">
        <v>292</v>
      </c>
      <c r="G4" s="423" t="s">
        <v>1</v>
      </c>
      <c r="H4" s="2" t="s">
        <v>2</v>
      </c>
      <c r="I4" s="2" t="s">
        <v>3</v>
      </c>
      <c r="J4" s="2" t="s">
        <v>5</v>
      </c>
      <c r="K4" s="2" t="s">
        <v>6</v>
      </c>
      <c r="L4" s="2" t="s">
        <v>4</v>
      </c>
      <c r="M4" s="2" t="s">
        <v>50</v>
      </c>
      <c r="N4" s="2" t="s">
        <v>44</v>
      </c>
      <c r="O4" s="2" t="s">
        <v>56</v>
      </c>
      <c r="P4" s="2" t="s">
        <v>55</v>
      </c>
      <c r="Q4" s="2" t="s">
        <v>12</v>
      </c>
      <c r="R4" s="2" t="s">
        <v>24</v>
      </c>
    </row>
    <row r="5" spans="1:19" x14ac:dyDescent="0.25">
      <c r="B5" s="407" t="s">
        <v>7</v>
      </c>
      <c r="C5" s="256" t="s">
        <v>137</v>
      </c>
      <c r="D5" s="416">
        <f>'Vermögen-Umschichtung'!F63</f>
        <v>0</v>
      </c>
      <c r="E5" s="255">
        <f>'Vermögen-Umschichtung'!I63</f>
        <v>4894.1212499999992</v>
      </c>
      <c r="F5" s="247">
        <f>'Vermögen-Umschichtung'!K63</f>
        <v>6.0423189509786722E-3</v>
      </c>
      <c r="G5" s="260" t="str">
        <f>'Vermögen-Umschichtung'!C63</f>
        <v>DE000A1C22M3</v>
      </c>
      <c r="H5" s="17" t="str">
        <f>'Vermögen-Umschichtung'!B63</f>
        <v>HSBC S&amp;P 500 ETF</v>
      </c>
      <c r="I5" s="17"/>
      <c r="J5" s="45">
        <v>8.9999999999999998E-4</v>
      </c>
      <c r="K5" s="17" t="s">
        <v>15</v>
      </c>
      <c r="L5" s="17" t="s">
        <v>20</v>
      </c>
      <c r="M5" s="17" t="s">
        <v>51</v>
      </c>
      <c r="N5" s="17" t="s">
        <v>45</v>
      </c>
      <c r="O5" s="35" t="s">
        <v>22</v>
      </c>
      <c r="P5" s="17" t="s">
        <v>22</v>
      </c>
      <c r="Q5" s="34" t="s">
        <v>48</v>
      </c>
      <c r="R5" s="17" t="s">
        <v>102</v>
      </c>
    </row>
    <row r="6" spans="1:19" x14ac:dyDescent="0.25">
      <c r="B6" s="408"/>
      <c r="C6" s="256" t="s">
        <v>138</v>
      </c>
      <c r="D6" s="416">
        <f>'Vermögen-Umschichtung'!F64</f>
        <v>0</v>
      </c>
      <c r="E6" s="255">
        <f>'Vermögen-Umschichtung'!I64</f>
        <v>0</v>
      </c>
      <c r="F6" s="247">
        <f>'Vermögen-Umschichtung'!K64</f>
        <v>0</v>
      </c>
      <c r="G6" s="260" t="str">
        <f>'Vermögen-Umschichtung'!C64</f>
        <v>LU0488316133</v>
      </c>
      <c r="H6" s="17" t="str">
        <f>'Vermögen-Umschichtung'!B64</f>
        <v>ComStage ETF S&amp;P 500 I</v>
      </c>
      <c r="I6" s="17"/>
      <c r="J6" s="45">
        <v>1.8E-3</v>
      </c>
      <c r="K6" s="17" t="s">
        <v>22</v>
      </c>
      <c r="L6" s="17" t="s">
        <v>21</v>
      </c>
      <c r="M6" s="17" t="s">
        <v>53</v>
      </c>
      <c r="N6" s="17" t="s">
        <v>47</v>
      </c>
      <c r="O6" s="35" t="s">
        <v>15</v>
      </c>
      <c r="P6" s="17" t="s">
        <v>15</v>
      </c>
      <c r="Q6" s="34" t="s">
        <v>48</v>
      </c>
      <c r="R6" s="17" t="s">
        <v>103</v>
      </c>
    </row>
    <row r="7" spans="1:19" x14ac:dyDescent="0.25">
      <c r="B7" s="408"/>
      <c r="C7" s="256" t="s">
        <v>139</v>
      </c>
      <c r="D7" s="416">
        <f>'Vermögen-Umschichtung'!F65</f>
        <v>0</v>
      </c>
      <c r="E7" s="255">
        <f>'Vermögen-Umschichtung'!I65</f>
        <v>0</v>
      </c>
      <c r="F7" s="247">
        <f>'Vermögen-Umschichtung'!K65</f>
        <v>0</v>
      </c>
      <c r="G7" s="260" t="str">
        <f>'Vermögen-Umschichtung'!C65</f>
        <v>FR0010892224</v>
      </c>
      <c r="H7" s="17" t="str">
        <f>'Vermögen-Umschichtung'!B65</f>
        <v>AMUNDI ETF S&amp;P 500</v>
      </c>
      <c r="I7" s="17"/>
      <c r="J7" s="45">
        <v>1.5E-3</v>
      </c>
      <c r="K7" s="17" t="s">
        <v>22</v>
      </c>
      <c r="L7" s="17" t="s">
        <v>21</v>
      </c>
      <c r="M7" s="17" t="s">
        <v>53</v>
      </c>
      <c r="N7" s="17" t="s">
        <v>23</v>
      </c>
      <c r="O7" s="35" t="s">
        <v>15</v>
      </c>
      <c r="P7" s="17" t="s">
        <v>15</v>
      </c>
      <c r="Q7" s="34" t="s">
        <v>48</v>
      </c>
      <c r="R7" s="17"/>
    </row>
    <row r="8" spans="1:19" x14ac:dyDescent="0.25">
      <c r="B8" s="408"/>
      <c r="C8" s="256" t="s">
        <v>140</v>
      </c>
      <c r="D8" s="416">
        <f>'Vermögen-Umschichtung'!F66</f>
        <v>0</v>
      </c>
      <c r="E8" s="255">
        <f>'Vermögen-Umschichtung'!I66</f>
        <v>4894.1212499999992</v>
      </c>
      <c r="F8" s="247">
        <f>'Vermögen-Umschichtung'!K66</f>
        <v>6.0423189509786722E-3</v>
      </c>
      <c r="G8" s="260" t="str">
        <f>'Vermögen-Umschichtung'!C66</f>
        <v>LU0328475792</v>
      </c>
      <c r="H8" s="17" t="str">
        <f>'Vermögen-Umschichtung'!B66</f>
        <v>db x-trackers DJ STOXX ® 600 ETF 1C</v>
      </c>
      <c r="I8" s="17"/>
      <c r="J8" s="45">
        <v>2E-3</v>
      </c>
      <c r="K8" s="17" t="s">
        <v>22</v>
      </c>
      <c r="L8" s="17" t="s">
        <v>21</v>
      </c>
      <c r="M8" s="17" t="s">
        <v>53</v>
      </c>
      <c r="N8" s="17" t="s">
        <v>47</v>
      </c>
      <c r="O8" s="35" t="s">
        <v>15</v>
      </c>
      <c r="P8" s="17" t="s">
        <v>15</v>
      </c>
      <c r="Q8" s="34" t="s">
        <v>48</v>
      </c>
      <c r="R8" s="17"/>
    </row>
    <row r="9" spans="1:19" ht="19.5" customHeight="1" x14ac:dyDescent="0.25">
      <c r="B9" s="408"/>
      <c r="C9" s="256" t="s">
        <v>141</v>
      </c>
      <c r="D9" s="416">
        <f>'Vermögen-Umschichtung'!F67</f>
        <v>0</v>
      </c>
      <c r="E9" s="255">
        <f>'Vermögen-Umschichtung'!I67</f>
        <v>0</v>
      </c>
      <c r="F9" s="247">
        <f>'Vermögen-Umschichtung'!K67</f>
        <v>0</v>
      </c>
      <c r="G9" s="260" t="str">
        <f>'Vermögen-Umschichtung'!C67</f>
        <v>DE0002635307</v>
      </c>
      <c r="H9" s="17" t="str">
        <f>'Vermögen-Umschichtung'!B67</f>
        <v>iShares STOXX Europe 600</v>
      </c>
      <c r="I9" s="17"/>
      <c r="J9" s="45">
        <v>2.0999999999999999E-3</v>
      </c>
      <c r="K9" s="17" t="s">
        <v>15</v>
      </c>
      <c r="L9" s="17" t="s">
        <v>20</v>
      </c>
      <c r="M9" s="17" t="s">
        <v>52</v>
      </c>
      <c r="N9" s="17" t="s">
        <v>46</v>
      </c>
      <c r="O9" s="35" t="s">
        <v>22</v>
      </c>
      <c r="P9" s="17" t="s">
        <v>22</v>
      </c>
      <c r="Q9" s="34" t="s">
        <v>48</v>
      </c>
      <c r="R9" s="17"/>
    </row>
    <row r="10" spans="1:19" x14ac:dyDescent="0.25">
      <c r="B10" s="408"/>
      <c r="C10" s="256" t="s">
        <v>142</v>
      </c>
      <c r="D10" s="416">
        <f>'Vermögen-Umschichtung'!F68</f>
        <v>0</v>
      </c>
      <c r="E10" s="255">
        <f>'Vermögen-Umschichtung'!I68</f>
        <v>0</v>
      </c>
      <c r="F10" s="247">
        <f>'Vermögen-Umschichtung'!K68</f>
        <v>0</v>
      </c>
      <c r="G10" s="260" t="str">
        <f>'Vermögen-Umschichtung'!C68</f>
        <v>LU0378434582</v>
      </c>
      <c r="H10" s="17" t="str">
        <f>'Vermögen-Umschichtung'!B68</f>
        <v>ComStage ETF Dow Jones STOXX ® 600 TR I</v>
      </c>
      <c r="I10" s="17"/>
      <c r="J10" s="45">
        <v>2E-3</v>
      </c>
      <c r="K10" s="17" t="s">
        <v>22</v>
      </c>
      <c r="L10" s="17" t="s">
        <v>21</v>
      </c>
      <c r="M10" s="17" t="s">
        <v>53</v>
      </c>
      <c r="N10" s="17" t="s">
        <v>47</v>
      </c>
      <c r="O10" s="35" t="s">
        <v>15</v>
      </c>
      <c r="P10" s="35" t="s">
        <v>15</v>
      </c>
      <c r="Q10" s="34" t="s">
        <v>48</v>
      </c>
      <c r="R10" s="17"/>
    </row>
    <row r="11" spans="1:19" x14ac:dyDescent="0.25">
      <c r="B11" s="408"/>
      <c r="C11" s="256" t="s">
        <v>143</v>
      </c>
      <c r="D11" s="416">
        <f>'Vermögen-Umschichtung'!F69</f>
        <v>0</v>
      </c>
      <c r="E11" s="255">
        <f>'Vermögen-Umschichtung'!I69</f>
        <v>1631.37375</v>
      </c>
      <c r="F11" s="247">
        <f>'Vermögen-Umschichtung'!K69</f>
        <v>2.014106316992891E-3</v>
      </c>
      <c r="G11" s="260" t="str">
        <f>'Vermögen-Umschichtung'!C69</f>
        <v>LU0392495023</v>
      </c>
      <c r="H11" s="17" t="str">
        <f>'Vermögen-Umschichtung'!B69</f>
        <v>ComStage ETF MSCI Pacific TRN I</v>
      </c>
      <c r="I11" s="17"/>
      <c r="J11" s="45">
        <v>4.4999999999999997E-3</v>
      </c>
      <c r="K11" s="17" t="s">
        <v>22</v>
      </c>
      <c r="L11" s="17" t="s">
        <v>21</v>
      </c>
      <c r="M11" s="17" t="s">
        <v>53</v>
      </c>
      <c r="N11" s="17" t="s">
        <v>47</v>
      </c>
      <c r="O11" s="35" t="s">
        <v>15</v>
      </c>
      <c r="P11" s="35" t="s">
        <v>15</v>
      </c>
      <c r="Q11" s="34" t="s">
        <v>48</v>
      </c>
      <c r="R11" s="17"/>
    </row>
    <row r="12" spans="1:19" x14ac:dyDescent="0.25">
      <c r="B12" s="408"/>
      <c r="C12" s="256" t="s">
        <v>144</v>
      </c>
      <c r="D12" s="416">
        <f>'Vermögen-Umschichtung'!F70</f>
        <v>0</v>
      </c>
      <c r="E12" s="255">
        <f>'Vermögen-Umschichtung'!I70</f>
        <v>4894.1212499999992</v>
      </c>
      <c r="F12" s="247">
        <f>'Vermögen-Umschichtung'!K70</f>
        <v>6.0423189509786722E-3</v>
      </c>
      <c r="G12" s="260" t="str">
        <f>'Vermögen-Umschichtung'!C70</f>
        <v>LU0292107645</v>
      </c>
      <c r="H12" s="17" t="str">
        <f>'Vermögen-Umschichtung'!B70</f>
        <v>db x-trackers MSCI Emerging Markets TRN Index ETF</v>
      </c>
      <c r="I12" s="17"/>
      <c r="J12" s="45">
        <v>6.4999999999999997E-3</v>
      </c>
      <c r="K12" s="17" t="s">
        <v>22</v>
      </c>
      <c r="L12" s="17" t="s">
        <v>21</v>
      </c>
      <c r="M12" s="17" t="s">
        <v>53</v>
      </c>
      <c r="N12" s="17" t="s">
        <v>47</v>
      </c>
      <c r="O12" s="35" t="s">
        <v>15</v>
      </c>
      <c r="P12" s="35" t="s">
        <v>15</v>
      </c>
      <c r="Q12" s="34" t="s">
        <v>48</v>
      </c>
      <c r="R12" s="17"/>
    </row>
    <row r="13" spans="1:19" ht="20.25" customHeight="1" x14ac:dyDescent="0.25">
      <c r="B13" s="408"/>
      <c r="C13" s="256" t="s">
        <v>145</v>
      </c>
      <c r="D13" s="416">
        <f>'Vermögen-Umschichtung'!F71</f>
        <v>0</v>
      </c>
      <c r="E13" s="255">
        <f>'Vermögen-Umschichtung'!I71</f>
        <v>0</v>
      </c>
      <c r="F13" s="247">
        <f>'Vermögen-Umschichtung'!K71</f>
        <v>0</v>
      </c>
      <c r="G13" s="262" t="str">
        <f>'Vermögen-Umschichtung'!C71</f>
        <v>LU0635178014</v>
      </c>
      <c r="H13" s="18" t="str">
        <f>'Vermögen-Umschichtung'!B71</f>
        <v>ComStage ETF MSCI Emerging Markets TRN</v>
      </c>
      <c r="I13" s="18"/>
      <c r="J13" s="257">
        <v>5.4999999999999997E-3</v>
      </c>
      <c r="K13" s="18" t="s">
        <v>22</v>
      </c>
      <c r="L13" s="18" t="s">
        <v>21</v>
      </c>
      <c r="M13" s="17" t="s">
        <v>53</v>
      </c>
      <c r="N13" s="17" t="s">
        <v>47</v>
      </c>
      <c r="O13" s="35" t="s">
        <v>15</v>
      </c>
      <c r="P13" s="35" t="s">
        <v>15</v>
      </c>
      <c r="Q13" s="34" t="s">
        <v>48</v>
      </c>
      <c r="R13" s="17"/>
    </row>
    <row r="14" spans="1:19" x14ac:dyDescent="0.25">
      <c r="C14" s="27"/>
      <c r="D14" s="417"/>
      <c r="E14" s="258"/>
      <c r="F14" s="417"/>
      <c r="G14" s="27"/>
      <c r="H14" s="27"/>
      <c r="I14" s="27"/>
      <c r="J14" s="27"/>
      <c r="K14" s="27"/>
      <c r="L14" s="27"/>
      <c r="M14" s="27"/>
      <c r="N14" s="27"/>
      <c r="O14" s="27"/>
      <c r="P14" s="27"/>
      <c r="Q14" s="27"/>
      <c r="R14" s="27"/>
    </row>
    <row r="15" spans="1:19" x14ac:dyDescent="0.25">
      <c r="C15" s="27"/>
      <c r="D15" s="234"/>
      <c r="E15" s="27"/>
      <c r="F15" s="234"/>
      <c r="G15" s="27"/>
      <c r="H15" s="27"/>
      <c r="I15" s="27"/>
      <c r="J15" s="27"/>
      <c r="K15" s="27"/>
      <c r="L15" s="27"/>
      <c r="M15" s="27"/>
      <c r="N15" s="27"/>
      <c r="O15" s="27"/>
      <c r="P15" s="27"/>
      <c r="Q15" s="27"/>
      <c r="R15" s="27"/>
    </row>
    <row r="16" spans="1:19" ht="16.5" thickBot="1" x14ac:dyDescent="0.3">
      <c r="A16" s="94"/>
      <c r="B16" s="94"/>
      <c r="C16" s="223" t="s">
        <v>291</v>
      </c>
      <c r="D16" s="418">
        <f>SUM(D5:D15)</f>
        <v>0</v>
      </c>
      <c r="E16" s="264"/>
      <c r="F16" s="418">
        <f>SUM(F5:F15)</f>
        <v>2.0141063169928908E-2</v>
      </c>
      <c r="G16" s="224"/>
      <c r="H16" s="224"/>
      <c r="I16" s="224"/>
      <c r="J16" s="224"/>
      <c r="K16" s="224"/>
      <c r="L16" s="224"/>
      <c r="M16" s="224"/>
      <c r="N16" s="224"/>
      <c r="O16" s="224"/>
      <c r="P16" s="224"/>
      <c r="Q16" s="224"/>
      <c r="R16" s="224"/>
    </row>
    <row r="17" spans="2:18" x14ac:dyDescent="0.25">
      <c r="C17" s="27"/>
      <c r="D17" s="234"/>
      <c r="E17" s="27"/>
      <c r="F17" s="234"/>
      <c r="G17" s="27"/>
      <c r="H17" s="27"/>
      <c r="I17" s="27"/>
      <c r="J17" s="27"/>
      <c r="K17" s="27"/>
      <c r="L17" s="27"/>
      <c r="M17" s="27"/>
      <c r="N17" s="27"/>
      <c r="O17" s="27"/>
      <c r="P17" s="27"/>
      <c r="Q17" s="27"/>
      <c r="R17" s="27"/>
    </row>
    <row r="18" spans="2:18" x14ac:dyDescent="0.25">
      <c r="C18" s="17"/>
      <c r="D18" s="234"/>
      <c r="E18" s="27"/>
      <c r="F18" s="234"/>
      <c r="G18" s="18"/>
      <c r="H18" s="18"/>
      <c r="I18" s="18"/>
      <c r="J18" s="257"/>
      <c r="K18" s="18"/>
      <c r="L18" s="18"/>
      <c r="M18" s="18"/>
      <c r="N18" s="18"/>
      <c r="O18" s="35"/>
      <c r="P18" s="18"/>
      <c r="Q18" s="34"/>
      <c r="R18" s="17"/>
    </row>
    <row r="19" spans="2:18" x14ac:dyDescent="0.25">
      <c r="C19" s="17"/>
      <c r="D19" s="234"/>
      <c r="E19" s="27"/>
      <c r="F19" s="234"/>
      <c r="G19" s="17"/>
      <c r="H19" s="17"/>
      <c r="I19" s="17"/>
      <c r="J19" s="33"/>
      <c r="K19" s="17"/>
      <c r="L19" s="17"/>
      <c r="M19" s="17"/>
      <c r="N19" s="17"/>
      <c r="O19" s="35"/>
      <c r="P19" s="17"/>
      <c r="Q19" s="34"/>
      <c r="R19" s="17"/>
    </row>
    <row r="20" spans="2:18" s="94" customFormat="1" x14ac:dyDescent="0.25">
      <c r="B20" s="407" t="s">
        <v>31</v>
      </c>
      <c r="C20" s="17" t="s">
        <v>260</v>
      </c>
      <c r="D20" s="417">
        <f>'Vermögen-Umschichtung'!F35</f>
        <v>0.89340501464656075</v>
      </c>
      <c r="E20" s="258"/>
      <c r="F20" s="247">
        <f>'Vermögen-Umschichtung'!K35</f>
        <v>0.89340501464656075</v>
      </c>
      <c r="G20" s="17"/>
      <c r="H20" s="17"/>
      <c r="I20" s="17"/>
      <c r="J20" s="33"/>
      <c r="K20" s="17"/>
      <c r="L20" s="17"/>
      <c r="M20" s="17"/>
      <c r="N20" s="17"/>
      <c r="O20" s="35"/>
      <c r="P20" s="17"/>
      <c r="Q20" s="34"/>
      <c r="R20" s="17"/>
    </row>
    <row r="21" spans="2:18" ht="15" customHeight="1" x14ac:dyDescent="0.25">
      <c r="B21" s="407"/>
      <c r="C21" s="259" t="s">
        <v>159</v>
      </c>
      <c r="D21" s="417">
        <f>'Vermögen-Umschichtung'!F36</f>
        <v>0</v>
      </c>
      <c r="E21" s="274">
        <f>'Vermögen-Umschichtung'!I36</f>
        <v>0</v>
      </c>
      <c r="F21" s="247">
        <f>'Vermögen-Umschichtung'!K36</f>
        <v>0</v>
      </c>
      <c r="G21" s="260" t="str">
        <f>'Vermögen-Umschichtung'!C36</f>
        <v>LU0360863863</v>
      </c>
      <c r="H21" s="17" t="str">
        <f>'Vermögen-Umschichtung'!B36</f>
        <v>DWS - ARERO -Der Weltfonds</v>
      </c>
      <c r="I21" s="17"/>
      <c r="J21" s="45">
        <v>5.1000000000000004E-3</v>
      </c>
      <c r="K21" s="17"/>
      <c r="L21" s="17" t="s">
        <v>21</v>
      </c>
      <c r="M21" s="17" t="s">
        <v>53</v>
      </c>
      <c r="N21" s="17" t="s">
        <v>47</v>
      </c>
      <c r="O21" s="17" t="s">
        <v>22</v>
      </c>
      <c r="P21" s="17" t="s">
        <v>15</v>
      </c>
      <c r="Q21" s="34" t="s">
        <v>48</v>
      </c>
      <c r="R21" s="17"/>
    </row>
    <row r="22" spans="2:18" x14ac:dyDescent="0.25">
      <c r="B22" s="407"/>
      <c r="C22" s="259" t="s">
        <v>160</v>
      </c>
      <c r="D22" s="417">
        <f>'Vermögen-Umschichtung'!F37</f>
        <v>0</v>
      </c>
      <c r="E22" s="274">
        <f>'Vermögen-Umschichtung'!I37</f>
        <v>0</v>
      </c>
      <c r="F22" s="247">
        <f>'Vermögen-Umschichtung'!K37</f>
        <v>0</v>
      </c>
      <c r="G22" s="260" t="str">
        <f>'Vermögen-Umschichtung'!C37</f>
        <v>LU0397221945</v>
      </c>
      <c r="H22" s="17" t="str">
        <f>'Vermögen-Umschichtung'!B37</f>
        <v>db x-trackers Portfolio Total Return Index ETF 1C</v>
      </c>
      <c r="I22" s="17"/>
      <c r="J22" s="45">
        <v>7.1999999999999998E-3</v>
      </c>
      <c r="K22" s="17" t="s">
        <v>22</v>
      </c>
      <c r="L22" s="17" t="s">
        <v>21</v>
      </c>
      <c r="M22" s="17" t="s">
        <v>53</v>
      </c>
      <c r="N22" s="17" t="s">
        <v>47</v>
      </c>
      <c r="O22" s="17" t="s">
        <v>15</v>
      </c>
      <c r="P22" s="17" t="s">
        <v>15</v>
      </c>
      <c r="Q22" s="34"/>
      <c r="R22" s="17"/>
    </row>
    <row r="23" spans="2:18" ht="17.25" customHeight="1" x14ac:dyDescent="0.25">
      <c r="B23" s="407"/>
      <c r="C23" s="259" t="s">
        <v>161</v>
      </c>
      <c r="D23" s="417">
        <f>'Vermögen-Umschichtung'!F38</f>
        <v>0</v>
      </c>
      <c r="E23" s="274">
        <f>'Vermögen-Umschichtung'!I38</f>
        <v>0</v>
      </c>
      <c r="F23" s="247">
        <f>'Vermögen-Umschichtung'!K38</f>
        <v>0</v>
      </c>
      <c r="G23" s="260" t="str">
        <f>'Vermögen-Umschichtung'!C38</f>
        <v>LU0279509904</v>
      </c>
      <c r="H23" s="17" t="str">
        <f>'Vermögen-Umschichtung'!B38</f>
        <v>Ethna-GLOBAL Defensiv A</v>
      </c>
      <c r="I23" s="17"/>
      <c r="J23" s="45">
        <v>1.01E-2</v>
      </c>
      <c r="K23" s="17"/>
      <c r="L23" s="17" t="s">
        <v>20</v>
      </c>
      <c r="M23" s="17" t="s">
        <v>53</v>
      </c>
      <c r="N23" s="17" t="s">
        <v>47</v>
      </c>
      <c r="O23" s="17"/>
      <c r="P23" s="17"/>
      <c r="Q23" s="34"/>
      <c r="R23" s="256" t="s">
        <v>181</v>
      </c>
    </row>
    <row r="24" spans="2:18" x14ac:dyDescent="0.25">
      <c r="B24" s="407"/>
      <c r="C24" s="259" t="s">
        <v>172</v>
      </c>
      <c r="D24" s="417">
        <f>'Vermögen-Umschichtung'!F39</f>
        <v>0</v>
      </c>
      <c r="E24" s="274">
        <f>'Vermögen-Umschichtung'!I39</f>
        <v>1957.6484999999998</v>
      </c>
      <c r="F24" s="247">
        <f>'Vermögen-Umschichtung'!K39</f>
        <v>2.416927580391469E-3</v>
      </c>
      <c r="G24" s="261" t="str">
        <f>'Vermögen-Umschichtung'!C39</f>
        <v>LU0137341789</v>
      </c>
      <c r="H24" s="17" t="str">
        <f>'Vermögen-Umschichtung'!B39</f>
        <v>StarCapital - Argos A-EUR</v>
      </c>
      <c r="I24" s="27"/>
      <c r="J24" s="257">
        <v>1.0700000000000001E-2</v>
      </c>
      <c r="K24" s="27"/>
      <c r="L24" s="27" t="s">
        <v>20</v>
      </c>
      <c r="M24" s="27" t="s">
        <v>53</v>
      </c>
      <c r="N24" s="27" t="s">
        <v>47</v>
      </c>
      <c r="O24" s="18" t="s">
        <v>22</v>
      </c>
      <c r="P24" s="18" t="s">
        <v>15</v>
      </c>
      <c r="Q24" s="34" t="s">
        <v>48</v>
      </c>
      <c r="R24" s="27" t="s">
        <v>175</v>
      </c>
    </row>
    <row r="25" spans="2:18" s="93" customFormat="1" x14ac:dyDescent="0.25">
      <c r="B25" s="407"/>
      <c r="C25" s="259" t="s">
        <v>178</v>
      </c>
      <c r="D25" s="417">
        <f>'Vermögen-Umschichtung'!F40</f>
        <v>0</v>
      </c>
      <c r="E25" s="274">
        <f>'Vermögen-Umschichtung'!I40</f>
        <v>1957.6484999999998</v>
      </c>
      <c r="F25" s="247">
        <f>'Vermögen-Umschichtung'!K40</f>
        <v>2.416927580391469E-3</v>
      </c>
      <c r="G25" s="261" t="str">
        <f>'Vermögen-Umschichtung'!C40</f>
        <v>LU0256567925</v>
      </c>
      <c r="H25" s="17" t="str">
        <f>'Vermögen-Umschichtung'!B40</f>
        <v>StarCap SICAV - Winbonds + A</v>
      </c>
      <c r="I25" s="27"/>
      <c r="J25" s="257">
        <v>1.49E-2</v>
      </c>
      <c r="K25" s="27"/>
      <c r="L25" s="27" t="s">
        <v>20</v>
      </c>
      <c r="M25" s="27" t="s">
        <v>53</v>
      </c>
      <c r="N25" s="27" t="s">
        <v>47</v>
      </c>
      <c r="O25" s="18"/>
      <c r="P25" s="18"/>
      <c r="Q25" s="34" t="s">
        <v>48</v>
      </c>
      <c r="R25" s="27" t="s">
        <v>185</v>
      </c>
    </row>
    <row r="26" spans="2:18" s="93" customFormat="1" x14ac:dyDescent="0.25">
      <c r="B26" s="407"/>
      <c r="C26" s="259" t="s">
        <v>179</v>
      </c>
      <c r="D26" s="417">
        <f>'Vermögen-Umschichtung'!F41</f>
        <v>0</v>
      </c>
      <c r="E26" s="274">
        <f>'Vermögen-Umschichtung'!I41</f>
        <v>0</v>
      </c>
      <c r="F26" s="247">
        <f>'Vermögen-Umschichtung'!K41</f>
        <v>0</v>
      </c>
      <c r="G26" s="94" t="str">
        <f>'Vermögen-Umschichtung'!C41</f>
        <v xml:space="preserve"> </v>
      </c>
      <c r="H26" s="17" t="str">
        <f>'Vermögen-Umschichtung'!B41</f>
        <v xml:space="preserve"> </v>
      </c>
      <c r="I26" s="27"/>
      <c r="J26" s="257"/>
      <c r="K26" s="27"/>
      <c r="L26" s="27"/>
      <c r="M26" s="27"/>
      <c r="N26" s="27"/>
      <c r="O26" s="18"/>
      <c r="P26" s="18"/>
      <c r="Q26" s="34" t="s">
        <v>48</v>
      </c>
      <c r="R26" s="27"/>
    </row>
    <row r="27" spans="2:18" x14ac:dyDescent="0.25">
      <c r="B27" s="407"/>
      <c r="C27" s="259" t="s">
        <v>146</v>
      </c>
      <c r="D27" s="417">
        <f>'Vermögen-Umschichtung'!F42</f>
        <v>0</v>
      </c>
      <c r="E27" s="274">
        <f>'Vermögen-Umschichtung'!I42</f>
        <v>1957.6484999999998</v>
      </c>
      <c r="F27" s="247">
        <f>'Vermögen-Umschichtung'!K42</f>
        <v>2.416927580391469E-3</v>
      </c>
      <c r="G27" s="260" t="str">
        <f>'Vermögen-Umschichtung'!C42</f>
        <v>DE0002511243</v>
      </c>
      <c r="H27" s="17" t="str">
        <f>'Vermögen-Umschichtung'!B42</f>
        <v>iShares Markit iBoxx Euro Corporate Bond</v>
      </c>
      <c r="I27" s="17"/>
      <c r="J27" s="33">
        <v>2E-3</v>
      </c>
      <c r="K27" s="17" t="s">
        <v>15</v>
      </c>
      <c r="L27" s="17" t="s">
        <v>20</v>
      </c>
      <c r="M27" s="17" t="s">
        <v>52</v>
      </c>
      <c r="N27" s="17" t="s">
        <v>45</v>
      </c>
      <c r="O27" s="35" t="s">
        <v>15</v>
      </c>
      <c r="P27" s="35" t="s">
        <v>22</v>
      </c>
      <c r="Q27" s="34"/>
      <c r="R27" s="17"/>
    </row>
    <row r="28" spans="2:18" x14ac:dyDescent="0.25">
      <c r="B28" s="407"/>
      <c r="C28" s="259" t="s">
        <v>147</v>
      </c>
      <c r="D28" s="417">
        <f>'Vermögen-Umschichtung'!F43</f>
        <v>0</v>
      </c>
      <c r="E28" s="274">
        <f>'Vermögen-Umschichtung'!I43</f>
        <v>0</v>
      </c>
      <c r="F28" s="247">
        <f>'Vermögen-Umschichtung'!K43</f>
        <v>0</v>
      </c>
      <c r="G28" s="260" t="str">
        <f>'Vermögen-Umschichtung'!C43</f>
        <v>DE000ETFL375</v>
      </c>
      <c r="H28" s="17" t="str">
        <f>'Vermögen-Umschichtung'!B43</f>
        <v>ETFlab iBoxx EUR Liquid Corporates Diversified</v>
      </c>
      <c r="I28" s="17"/>
      <c r="J28" s="33">
        <v>2E-3</v>
      </c>
      <c r="K28" s="17" t="s">
        <v>15</v>
      </c>
      <c r="L28" s="17" t="s">
        <v>20</v>
      </c>
      <c r="M28" s="17" t="s">
        <v>52</v>
      </c>
      <c r="N28" s="17" t="s">
        <v>46</v>
      </c>
      <c r="O28" s="17"/>
      <c r="P28" s="17"/>
      <c r="Q28" s="34"/>
      <c r="R28" s="17" t="s">
        <v>108</v>
      </c>
    </row>
    <row r="29" spans="2:18" x14ac:dyDescent="0.25">
      <c r="B29" s="407"/>
      <c r="C29" s="259" t="s">
        <v>148</v>
      </c>
      <c r="D29" s="417">
        <f>'Vermögen-Umschichtung'!F44</f>
        <v>0</v>
      </c>
      <c r="E29" s="274">
        <f>'Vermögen-Umschichtung'!I44</f>
        <v>0</v>
      </c>
      <c r="F29" s="247">
        <f>'Vermögen-Umschichtung'!K44</f>
        <v>0</v>
      </c>
      <c r="G29" s="260" t="str">
        <f>'Vermögen-Umschichtung'!C44</f>
        <v>IE00B66F4759</v>
      </c>
      <c r="H29" s="17" t="str">
        <f>'Vermögen-Umschichtung'!B44</f>
        <v>iShares Markit iBoxx Euro High Yield</v>
      </c>
      <c r="I29" s="17"/>
      <c r="J29" s="33">
        <v>5.0000000000000001E-3</v>
      </c>
      <c r="K29" s="17" t="s">
        <v>15</v>
      </c>
      <c r="L29" s="17" t="s">
        <v>20</v>
      </c>
      <c r="M29" s="17" t="s">
        <v>51</v>
      </c>
      <c r="N29" s="17" t="s">
        <v>45</v>
      </c>
      <c r="O29" s="35" t="s">
        <v>22</v>
      </c>
      <c r="P29" s="35" t="s">
        <v>22</v>
      </c>
      <c r="Q29" s="34"/>
      <c r="R29" s="17"/>
    </row>
    <row r="30" spans="2:18" x14ac:dyDescent="0.25">
      <c r="B30" s="407"/>
      <c r="C30" s="17" t="s">
        <v>149</v>
      </c>
      <c r="D30" s="417">
        <f>'Vermögen-Umschichtung'!F45</f>
        <v>0</v>
      </c>
      <c r="E30" s="274">
        <f>'Vermögen-Umschichtung'!I45</f>
        <v>1957.6484999999998</v>
      </c>
      <c r="F30" s="247">
        <f>'Vermögen-Umschichtung'!K45</f>
        <v>2.416927580391469E-3</v>
      </c>
      <c r="G30" s="260" t="str">
        <f>'Vermögen-Umschichtung'!C45</f>
        <v>LU0321462953</v>
      </c>
      <c r="H30" s="17" t="str">
        <f>'Vermögen-Umschichtung'!B45</f>
        <v>db x-trackers II Emerg. Markets Liquid Eurobond Index ETF 1C</v>
      </c>
      <c r="I30" s="17"/>
      <c r="J30" s="33">
        <v>5.4999999999999997E-3</v>
      </c>
      <c r="K30" s="17" t="s">
        <v>33</v>
      </c>
      <c r="L30" s="17" t="s">
        <v>21</v>
      </c>
      <c r="M30" s="17" t="s">
        <v>53</v>
      </c>
      <c r="N30" s="17" t="s">
        <v>47</v>
      </c>
      <c r="O30" s="35" t="s">
        <v>22</v>
      </c>
      <c r="P30" s="35" t="s">
        <v>15</v>
      </c>
      <c r="Q30" s="34" t="s">
        <v>48</v>
      </c>
      <c r="R30" s="17" t="s">
        <v>111</v>
      </c>
    </row>
    <row r="31" spans="2:18" x14ac:dyDescent="0.25">
      <c r="B31" s="407"/>
      <c r="C31" s="17" t="s">
        <v>150</v>
      </c>
      <c r="D31" s="417">
        <f>'Vermögen-Umschichtung'!F46</f>
        <v>0</v>
      </c>
      <c r="E31" s="274">
        <f>'Vermögen-Umschichtung'!I46</f>
        <v>0</v>
      </c>
      <c r="F31" s="247">
        <f>'Vermögen-Umschichtung'!K46</f>
        <v>0</v>
      </c>
      <c r="G31" s="260" t="str">
        <f>'Vermögen-Umschichtung'!C46</f>
        <v>DE000A1JB4Q0</v>
      </c>
      <c r="H31" s="17" t="str">
        <f>'Vermögen-Umschichtung'!B46</f>
        <v>iShares Barclays Capital Emerging Market Local Govt Bond</v>
      </c>
      <c r="I31" s="17"/>
      <c r="J31" s="33">
        <v>5.0000000000000001E-3</v>
      </c>
      <c r="K31" s="17" t="s">
        <v>15</v>
      </c>
      <c r="L31" s="17" t="s">
        <v>20</v>
      </c>
      <c r="M31" s="17" t="s">
        <v>51</v>
      </c>
      <c r="N31" s="17" t="s">
        <v>45</v>
      </c>
      <c r="O31" s="35" t="s">
        <v>22</v>
      </c>
      <c r="P31" s="35" t="s">
        <v>22</v>
      </c>
      <c r="Q31" s="34" t="s">
        <v>48</v>
      </c>
      <c r="R31" s="17"/>
    </row>
    <row r="32" spans="2:18" x14ac:dyDescent="0.25">
      <c r="B32" s="407"/>
      <c r="C32" s="17" t="s">
        <v>151</v>
      </c>
      <c r="D32" s="417">
        <f>'Vermögen-Umschichtung'!F47</f>
        <v>0</v>
      </c>
      <c r="E32" s="274">
        <f>'Vermögen-Umschichtung'!I47</f>
        <v>0</v>
      </c>
      <c r="F32" s="247">
        <f>'Vermögen-Umschichtung'!K47</f>
        <v>0</v>
      </c>
      <c r="G32" s="260" t="str">
        <f>'Vermögen-Umschichtung'!C47</f>
        <v>DE000A0RFFT0</v>
      </c>
      <c r="H32" s="17" t="str">
        <f>'Vermögen-Umschichtung'!B47</f>
        <v>iShares JPMorgan USD Emerging Markets Bond Fund (DE)</v>
      </c>
      <c r="I32" s="17"/>
      <c r="J32" s="33">
        <v>4.4999999999999997E-3</v>
      </c>
      <c r="K32" s="17" t="s">
        <v>15</v>
      </c>
      <c r="L32" s="17" t="s">
        <v>20</v>
      </c>
      <c r="M32" s="17" t="s">
        <v>54</v>
      </c>
      <c r="N32" s="17" t="s">
        <v>45</v>
      </c>
      <c r="O32" s="35" t="s">
        <v>22</v>
      </c>
      <c r="P32" s="35" t="s">
        <v>22</v>
      </c>
      <c r="Q32" s="34" t="s">
        <v>48</v>
      </c>
      <c r="R32" s="17"/>
    </row>
    <row r="33" spans="1:20" x14ac:dyDescent="0.25">
      <c r="B33" s="407"/>
      <c r="C33" s="17" t="s">
        <v>152</v>
      </c>
      <c r="D33" s="417">
        <f>'Vermögen-Umschichtung'!F48</f>
        <v>0</v>
      </c>
      <c r="E33" s="274">
        <f>'Vermögen-Umschichtung'!I48</f>
        <v>1957.6484999999998</v>
      </c>
      <c r="F33" s="247">
        <f>'Vermögen-Umschichtung'!K48</f>
        <v>2.416927580391469E-3</v>
      </c>
      <c r="G33" s="260" t="str">
        <f>'Vermögen-Umschichtung'!C48</f>
        <v>DE000A0H0785</v>
      </c>
      <c r="H33" s="17" t="str">
        <f>'Vermögen-Umschichtung'!B48</f>
        <v>iShares Markit iBoxx ® EUR Liquid Sovereigns Capped 1.5-10.5</v>
      </c>
      <c r="I33" s="17"/>
      <c r="J33" s="33">
        <v>1.6000000000000001E-3</v>
      </c>
      <c r="K33" s="17" t="s">
        <v>15</v>
      </c>
      <c r="L33" s="17" t="s">
        <v>20</v>
      </c>
      <c r="M33" s="17" t="s">
        <v>52</v>
      </c>
      <c r="N33" s="17" t="s">
        <v>46</v>
      </c>
      <c r="O33" s="35"/>
      <c r="P33" s="35"/>
      <c r="Q33" s="34"/>
      <c r="R33" s="17"/>
    </row>
    <row r="34" spans="1:20" x14ac:dyDescent="0.25">
      <c r="B34" s="407"/>
      <c r="C34" s="17" t="s">
        <v>153</v>
      </c>
      <c r="D34" s="417">
        <f>'Vermögen-Umschichtung'!F49</f>
        <v>0</v>
      </c>
      <c r="E34" s="274">
        <f>'Vermögen-Umschichtung'!I49</f>
        <v>0</v>
      </c>
      <c r="F34" s="247">
        <f>'Vermögen-Umschichtung'!K49</f>
        <v>0</v>
      </c>
      <c r="G34" s="260" t="str">
        <f>'Vermögen-Umschichtung'!C49</f>
        <v>FR0010820258</v>
      </c>
      <c r="H34" s="17" t="str">
        <f>'Vermögen-Umschichtung'!B49</f>
        <v>LYXOR ETF EUROMTS AAA GOVERNMENT BOND</v>
      </c>
      <c r="I34" s="17"/>
      <c r="J34" s="33">
        <v>1.6999999999999999E-3</v>
      </c>
      <c r="K34" s="17" t="s">
        <v>22</v>
      </c>
      <c r="L34" s="17" t="s">
        <v>21</v>
      </c>
      <c r="M34" s="17" t="s">
        <v>53</v>
      </c>
      <c r="N34" s="17" t="s">
        <v>23</v>
      </c>
      <c r="O34" s="35" t="s">
        <v>15</v>
      </c>
      <c r="P34" s="35" t="s">
        <v>15</v>
      </c>
      <c r="Q34" s="34" t="s">
        <v>48</v>
      </c>
      <c r="R34" s="17"/>
    </row>
    <row r="35" spans="1:20" x14ac:dyDescent="0.25">
      <c r="B35" s="407"/>
      <c r="C35" s="17" t="s">
        <v>154</v>
      </c>
      <c r="D35" s="417">
        <f>'Vermögen-Umschichtung'!F50</f>
        <v>0</v>
      </c>
      <c r="E35" s="274">
        <f>'Vermögen-Umschichtung'!I50</f>
        <v>0</v>
      </c>
      <c r="F35" s="247">
        <f>'Vermögen-Umschichtung'!K50</f>
        <v>0</v>
      </c>
      <c r="G35" s="260" t="str">
        <f>'Vermögen-Umschichtung'!C50</f>
        <v>FR0010930636</v>
      </c>
      <c r="H35" s="17" t="str">
        <f>'Vermögen-Umschichtung'!B50</f>
        <v>AMUNDI ETF AAA GOVT BOND EUROMTS</v>
      </c>
      <c r="I35" s="17"/>
      <c r="J35" s="33">
        <v>1.4E-3</v>
      </c>
      <c r="K35" s="17" t="s">
        <v>22</v>
      </c>
      <c r="L35" s="17" t="s">
        <v>21</v>
      </c>
      <c r="M35" s="17" t="s">
        <v>61</v>
      </c>
      <c r="N35" s="17" t="s">
        <v>23</v>
      </c>
      <c r="O35" s="35"/>
      <c r="P35" s="35"/>
      <c r="Q35" s="34"/>
      <c r="R35" s="17"/>
    </row>
    <row r="36" spans="1:20" x14ac:dyDescent="0.25">
      <c r="B36" s="407"/>
      <c r="C36" s="17" t="s">
        <v>155</v>
      </c>
      <c r="D36" s="417">
        <f>'Vermögen-Umschichtung'!F51</f>
        <v>0</v>
      </c>
      <c r="E36" s="274">
        <f>'Vermögen-Umschichtung'!I51</f>
        <v>0</v>
      </c>
      <c r="F36" s="247">
        <f>'Vermögen-Umschichtung'!K51</f>
        <v>0</v>
      </c>
      <c r="G36" s="260" t="str">
        <f>'Vermögen-Umschichtung'!C51</f>
        <v xml:space="preserve"> </v>
      </c>
      <c r="H36" s="17" t="str">
        <f>'Vermögen-Umschichtung'!B51</f>
        <v xml:space="preserve"> </v>
      </c>
      <c r="I36" s="17"/>
      <c r="J36" s="33"/>
      <c r="K36" s="17"/>
      <c r="L36" s="17"/>
      <c r="M36" s="17"/>
      <c r="N36" s="17"/>
      <c r="O36" s="35"/>
      <c r="P36" s="35"/>
      <c r="Q36" s="34"/>
      <c r="R36" s="17"/>
    </row>
    <row r="37" spans="1:20" x14ac:dyDescent="0.25">
      <c r="B37" s="407"/>
      <c r="C37" s="17" t="s">
        <v>156</v>
      </c>
      <c r="D37" s="417">
        <f>'Vermögen-Umschichtung'!F52</f>
        <v>0</v>
      </c>
      <c r="E37" s="274">
        <f>'Vermögen-Umschichtung'!I52</f>
        <v>0</v>
      </c>
      <c r="F37" s="247">
        <f>'Vermögen-Umschichtung'!K52</f>
        <v>0</v>
      </c>
      <c r="G37" s="260" t="str">
        <f>'Vermögen-Umschichtung'!C52</f>
        <v>DE000ETFL177</v>
      </c>
      <c r="H37" s="17" t="str">
        <f>'Vermögen-Umschichtung'!B52</f>
        <v>ETFlab Deutsche Börse EUROGOV ® Germany</v>
      </c>
      <c r="I37" s="17"/>
      <c r="J37" s="33">
        <v>1.5E-3</v>
      </c>
      <c r="K37" s="17" t="s">
        <v>15</v>
      </c>
      <c r="L37" s="17" t="s">
        <v>20</v>
      </c>
      <c r="M37" s="17" t="s">
        <v>52</v>
      </c>
      <c r="N37" s="17" t="s">
        <v>46</v>
      </c>
      <c r="O37" s="35" t="s">
        <v>22</v>
      </c>
      <c r="P37" s="35" t="s">
        <v>15</v>
      </c>
      <c r="Q37" s="34" t="s">
        <v>48</v>
      </c>
      <c r="R37" s="17"/>
    </row>
    <row r="38" spans="1:20" x14ac:dyDescent="0.25">
      <c r="B38" s="407"/>
      <c r="C38" s="17" t="s">
        <v>157</v>
      </c>
      <c r="D38" s="417">
        <f>'Vermögen-Umschichtung'!F53</f>
        <v>0</v>
      </c>
      <c r="E38" s="274">
        <f>'Vermögen-Umschichtung'!I53</f>
        <v>0</v>
      </c>
      <c r="F38" s="247">
        <f>'Vermögen-Umschichtung'!K53</f>
        <v>0</v>
      </c>
      <c r="G38" s="260" t="str">
        <f>'Vermögen-Umschichtung'!C53</f>
        <v>LU0690964092</v>
      </c>
      <c r="H38" s="17" t="str">
        <f>'Vermögen-Umschichtung'!B53</f>
        <v>db x-trackers II GLOBAL SOVEREIGN INDEX ETF 1D</v>
      </c>
      <c r="I38" s="17"/>
      <c r="J38" s="33">
        <v>2.5000000000000001E-3</v>
      </c>
      <c r="K38" s="17" t="s">
        <v>33</v>
      </c>
      <c r="L38" s="17" t="s">
        <v>20</v>
      </c>
      <c r="M38" s="17" t="s">
        <v>53</v>
      </c>
      <c r="N38" s="17" t="s">
        <v>47</v>
      </c>
      <c r="O38" s="35"/>
      <c r="P38" s="17"/>
      <c r="Q38" s="34" t="s">
        <v>48</v>
      </c>
      <c r="R38" s="17"/>
    </row>
    <row r="39" spans="1:20" x14ac:dyDescent="0.25">
      <c r="B39" s="407"/>
      <c r="C39" s="17" t="s">
        <v>158</v>
      </c>
      <c r="D39" s="417">
        <f>'Vermögen-Umschichtung'!F54</f>
        <v>0</v>
      </c>
      <c r="E39" s="274">
        <f>'Vermögen-Umschichtung'!I54</f>
        <v>0</v>
      </c>
      <c r="F39" s="247">
        <f>'Vermögen-Umschichtung'!K54</f>
        <v>0</v>
      </c>
      <c r="G39" s="260" t="str">
        <f>'Vermögen-Umschichtung'!C54</f>
        <v>LU0378818131</v>
      </c>
      <c r="H39" s="17" t="str">
        <f>'Vermögen-Umschichtung'!B54</f>
        <v>db x-trackers II GLOBAL SOVEREIGN INDEX ETF 1C</v>
      </c>
      <c r="I39" s="17"/>
      <c r="J39" s="33">
        <v>2.5000000000000001E-3</v>
      </c>
      <c r="K39" s="17" t="s">
        <v>33</v>
      </c>
      <c r="L39" s="17" t="s">
        <v>21</v>
      </c>
      <c r="M39" s="17" t="s">
        <v>53</v>
      </c>
      <c r="N39" s="17" t="s">
        <v>47</v>
      </c>
      <c r="O39" s="35" t="s">
        <v>22</v>
      </c>
      <c r="P39" s="17" t="s">
        <v>15</v>
      </c>
      <c r="Q39" s="34" t="s">
        <v>48</v>
      </c>
      <c r="R39" s="17"/>
    </row>
    <row r="40" spans="1:20" s="94" customFormat="1" x14ac:dyDescent="0.25">
      <c r="C40" s="17"/>
      <c r="D40" s="417"/>
      <c r="E40" s="258"/>
      <c r="F40" s="417"/>
      <c r="G40" s="17"/>
      <c r="H40" s="17"/>
      <c r="I40" s="17"/>
      <c r="J40" s="33"/>
      <c r="K40" s="17"/>
      <c r="L40" s="17"/>
      <c r="M40" s="17"/>
      <c r="N40" s="17"/>
      <c r="O40" s="35"/>
      <c r="P40" s="17"/>
      <c r="Q40" s="34"/>
      <c r="R40" s="17"/>
    </row>
    <row r="41" spans="1:20" ht="16.5" thickBot="1" x14ac:dyDescent="0.3">
      <c r="A41" s="94"/>
      <c r="B41" s="94"/>
      <c r="C41" s="223" t="s">
        <v>290</v>
      </c>
      <c r="D41" s="418">
        <f>SUM(D20:D39)</f>
        <v>0.89340501464656075</v>
      </c>
      <c r="E41" s="264"/>
      <c r="F41" s="418">
        <f>SUM(F20:F39)</f>
        <v>0.9054896525485181</v>
      </c>
      <c r="G41" s="224"/>
      <c r="H41" s="224"/>
      <c r="I41" s="224"/>
      <c r="J41" s="224"/>
      <c r="K41" s="224"/>
      <c r="L41" s="224"/>
      <c r="M41" s="224"/>
      <c r="N41" s="224"/>
      <c r="O41" s="224"/>
      <c r="P41" s="224"/>
      <c r="Q41" s="224"/>
      <c r="R41" s="224"/>
    </row>
    <row r="42" spans="1:20" x14ac:dyDescent="0.25">
      <c r="C42" s="27"/>
      <c r="D42" s="234"/>
      <c r="E42" s="27"/>
      <c r="F42" s="234"/>
      <c r="G42" s="27"/>
      <c r="H42" s="27"/>
      <c r="I42" s="27"/>
      <c r="J42" s="27"/>
      <c r="K42" s="27"/>
      <c r="L42" s="27"/>
      <c r="M42" s="27"/>
      <c r="N42" s="27"/>
      <c r="O42" s="27"/>
      <c r="P42" s="27"/>
      <c r="Q42" s="27"/>
      <c r="R42" s="27"/>
    </row>
    <row r="43" spans="1:20" x14ac:dyDescent="0.25">
      <c r="C43" s="27"/>
      <c r="D43" s="234"/>
      <c r="E43" s="27"/>
      <c r="F43" s="234"/>
      <c r="G43" s="27"/>
      <c r="H43" s="27"/>
      <c r="I43" s="27"/>
      <c r="J43" s="27"/>
      <c r="K43" s="27"/>
      <c r="L43" s="27"/>
      <c r="M43" s="27"/>
      <c r="N43" s="27"/>
      <c r="O43" s="27"/>
      <c r="P43" s="27"/>
      <c r="Q43" s="27"/>
      <c r="R43" s="27"/>
    </row>
    <row r="44" spans="1:20" ht="15.75" thickBot="1" x14ac:dyDescent="0.3">
      <c r="D44" s="234"/>
      <c r="F44" s="234"/>
    </row>
    <row r="45" spans="1:20" ht="19.5" customHeight="1" x14ac:dyDescent="0.25">
      <c r="B45" s="409" t="s">
        <v>164</v>
      </c>
      <c r="C45" s="59" t="str">
        <f>'Vermögen-Umschichtung'!A24</f>
        <v>Sonstige 1</v>
      </c>
      <c r="D45" s="419">
        <f>'Vermögen-Umschichtung'!F24</f>
        <v>0</v>
      </c>
      <c r="E45" s="275">
        <f>'Vermögen-Umschichtung'!I24</f>
        <v>0</v>
      </c>
      <c r="F45" s="424"/>
      <c r="G45" s="263" t="str">
        <f>'Vermögen-Umschichtung'!C24</f>
        <v xml:space="preserve"> </v>
      </c>
      <c r="H45" s="58" t="str">
        <f>'Vermögen-Umschichtung'!B24</f>
        <v xml:space="preserve"> </v>
      </c>
      <c r="I45" s="17"/>
      <c r="J45" s="33"/>
      <c r="K45" s="17"/>
      <c r="L45" s="17"/>
      <c r="M45" s="17"/>
      <c r="N45" s="17"/>
      <c r="O45" s="35"/>
      <c r="P45" s="17"/>
      <c r="Q45" s="34"/>
      <c r="R45" s="17"/>
      <c r="S45" s="27"/>
      <c r="T45" s="27"/>
    </row>
    <row r="46" spans="1:20" x14ac:dyDescent="0.25">
      <c r="B46" s="409"/>
      <c r="C46" s="55" t="str">
        <f>'Vermögen-Umschichtung'!A25</f>
        <v>Sonstige 2</v>
      </c>
      <c r="D46" s="420">
        <f>'Vermögen-Umschichtung'!F25</f>
        <v>0</v>
      </c>
      <c r="E46" s="276">
        <f>'Vermögen-Umschichtung'!I25</f>
        <v>0</v>
      </c>
      <c r="F46" s="425"/>
      <c r="G46" s="260" t="str">
        <f>'Vermögen-Umschichtung'!C25</f>
        <v xml:space="preserve"> </v>
      </c>
      <c r="H46" s="16" t="str">
        <f>'Vermögen-Umschichtung'!B25</f>
        <v xml:space="preserve"> </v>
      </c>
      <c r="I46" s="17"/>
      <c r="J46" s="33"/>
      <c r="K46" s="17"/>
      <c r="L46" s="17"/>
      <c r="M46" s="17"/>
      <c r="N46" s="17"/>
      <c r="O46" s="35"/>
      <c r="P46" s="17"/>
      <c r="Q46" s="34"/>
      <c r="R46" s="17"/>
      <c r="S46" s="27"/>
      <c r="T46" s="27"/>
    </row>
    <row r="47" spans="1:20" ht="15.75" customHeight="1" x14ac:dyDescent="0.25">
      <c r="B47" s="409"/>
      <c r="C47" s="55" t="str">
        <f>'Vermögen-Umschichtung'!A26</f>
        <v>Sonstige 3</v>
      </c>
      <c r="D47" s="420">
        <f>'Vermögen-Umschichtung'!F26</f>
        <v>0</v>
      </c>
      <c r="E47" s="276">
        <f>'Vermögen-Umschichtung'!I26</f>
        <v>0</v>
      </c>
      <c r="F47" s="425"/>
      <c r="G47" s="261" t="str">
        <f>'Vermögen-Umschichtung'!C26</f>
        <v xml:space="preserve"> </v>
      </c>
      <c r="H47" s="367" t="str">
        <f>'Vermögen-Umschichtung'!B26</f>
        <v xml:space="preserve"> </v>
      </c>
      <c r="I47" s="27"/>
      <c r="J47" s="27"/>
      <c r="K47" s="27"/>
      <c r="L47" s="27"/>
      <c r="M47" s="27"/>
      <c r="N47" s="27"/>
      <c r="O47" s="27"/>
      <c r="P47" s="27"/>
      <c r="Q47" s="27"/>
      <c r="R47" s="27"/>
      <c r="S47" s="27"/>
      <c r="T47" s="27"/>
    </row>
    <row r="48" spans="1:20" s="94" customFormat="1" ht="15.75" customHeight="1" x14ac:dyDescent="0.25">
      <c r="B48" s="409"/>
      <c r="C48" s="6" t="s">
        <v>279</v>
      </c>
      <c r="D48" s="247">
        <f>'Vermögen-Umschichtung'!F28</f>
        <v>4.3211263571423277E-3</v>
      </c>
      <c r="E48" s="27"/>
      <c r="F48" s="426">
        <f>'Vermögen-Umschichtung'!K28</f>
        <v>4.3211263571423277E-3</v>
      </c>
      <c r="G48" s="27"/>
      <c r="H48" s="30"/>
      <c r="I48" s="27"/>
      <c r="J48" s="27"/>
      <c r="K48" s="27"/>
      <c r="L48" s="27"/>
      <c r="M48" s="27"/>
      <c r="N48" s="27"/>
      <c r="O48" s="27"/>
      <c r="P48" s="27"/>
      <c r="Q48" s="27"/>
      <c r="R48" s="27"/>
      <c r="S48" s="27"/>
      <c r="T48" s="27"/>
    </row>
    <row r="49" spans="1:20" ht="15.75" customHeight="1" x14ac:dyDescent="0.25">
      <c r="B49" s="409"/>
      <c r="C49" s="6" t="s">
        <v>306</v>
      </c>
      <c r="D49" s="247">
        <f>'Vermögen-Umschichtung'!F8+'Vermögen-Umschichtung'!F7</f>
        <v>0.10227419645568869</v>
      </c>
      <c r="E49" s="27"/>
      <c r="F49" s="427">
        <f>'Vermögen-Umschichtung'!$K$8+'Vermögen-Umschichtung'!K7</f>
        <v>2.1709943775973062E-2</v>
      </c>
      <c r="G49" s="17"/>
      <c r="H49" s="16"/>
      <c r="I49" s="17"/>
      <c r="J49" s="253"/>
      <c r="K49" s="17"/>
      <c r="L49" s="17"/>
      <c r="M49" s="17"/>
      <c r="N49" s="17"/>
      <c r="O49" s="35"/>
      <c r="P49" s="17"/>
      <c r="Q49" s="34"/>
      <c r="R49" s="17"/>
      <c r="S49" s="27"/>
      <c r="T49" s="27"/>
    </row>
    <row r="50" spans="1:20" ht="15.75" thickBot="1" x14ac:dyDescent="0.3">
      <c r="B50" s="409"/>
      <c r="C50" s="7" t="s">
        <v>288</v>
      </c>
      <c r="D50" s="248">
        <f>SUM('Vermögen-Umschichtung'!F14:F19)</f>
        <v>0</v>
      </c>
      <c r="E50" s="31"/>
      <c r="F50" s="428">
        <f>SUM('Vermögen-Umschichtung'!J14:J19)/'Vermögen-Umschichtung'!J80</f>
        <v>4.8338712361315192E-2</v>
      </c>
      <c r="G50" s="56"/>
      <c r="H50" s="368" t="s">
        <v>62</v>
      </c>
      <c r="I50" s="17"/>
      <c r="J50" s="366"/>
      <c r="K50" s="17"/>
      <c r="L50" s="17"/>
      <c r="M50" s="17"/>
      <c r="N50" s="17"/>
      <c r="O50" s="17"/>
      <c r="P50" s="17"/>
      <c r="Q50" s="17"/>
      <c r="R50" s="17"/>
      <c r="S50" s="27"/>
      <c r="T50" s="27"/>
    </row>
    <row r="51" spans="1:20" ht="19.5" customHeight="1" thickBot="1" x14ac:dyDescent="0.3">
      <c r="C51" s="364" t="s">
        <v>289</v>
      </c>
      <c r="D51" s="421">
        <f>SUM(D45:D50)</f>
        <v>0.10659532281283102</v>
      </c>
      <c r="E51" s="365"/>
      <c r="F51" s="429">
        <f>SUM(F45:F50)</f>
        <v>7.4369782494430575E-2</v>
      </c>
      <c r="G51" s="27"/>
      <c r="H51" s="27"/>
      <c r="I51" s="27"/>
      <c r="J51" s="27"/>
      <c r="K51" s="27"/>
      <c r="L51" s="27"/>
      <c r="M51" s="27"/>
      <c r="N51" s="27"/>
      <c r="O51" s="27"/>
      <c r="P51" s="27"/>
      <c r="Q51" s="27"/>
      <c r="R51" s="27"/>
      <c r="S51" s="27"/>
      <c r="T51" s="27"/>
    </row>
    <row r="52" spans="1:20" x14ac:dyDescent="0.25">
      <c r="A52" s="94"/>
      <c r="B52" s="94"/>
      <c r="C52" s="94"/>
      <c r="G52" s="94"/>
      <c r="H52" s="94"/>
    </row>
    <row r="53" spans="1:20" x14ac:dyDescent="0.25">
      <c r="A53" s="94"/>
      <c r="B53" s="94"/>
      <c r="C53" s="94"/>
      <c r="G53" s="94"/>
      <c r="H53" s="94"/>
    </row>
    <row r="54" spans="1:20" x14ac:dyDescent="0.25">
      <c r="A54" s="94"/>
      <c r="B54" s="94"/>
      <c r="C54" s="94"/>
      <c r="D54" s="360">
        <f>D51+D41+D16</f>
        <v>1.0000003374593918</v>
      </c>
      <c r="E54" s="360"/>
      <c r="F54" s="360">
        <f>F51+F41+F16</f>
        <v>1.0000004982128776</v>
      </c>
      <c r="G54" s="94"/>
      <c r="H54" s="94"/>
      <c r="I54" s="93"/>
      <c r="J54" s="93"/>
      <c r="K54" s="93"/>
      <c r="L54" s="93"/>
      <c r="M54" s="93"/>
      <c r="N54" s="93"/>
      <c r="O54" s="93"/>
      <c r="P54" s="93"/>
      <c r="Q54" s="93"/>
    </row>
    <row r="55" spans="1:20" x14ac:dyDescent="0.25">
      <c r="A55" s="94"/>
      <c r="B55" s="94"/>
      <c r="C55" s="94"/>
      <c r="G55" s="94"/>
      <c r="H55" s="94"/>
      <c r="I55" s="4"/>
      <c r="J55" s="93"/>
      <c r="K55" s="4"/>
      <c r="L55" s="4"/>
      <c r="M55" s="4"/>
      <c r="N55" s="4"/>
      <c r="O55" s="4"/>
      <c r="P55" s="4"/>
      <c r="Q55" s="4"/>
    </row>
    <row r="56" spans="1:20" x14ac:dyDescent="0.25">
      <c r="A56" s="94"/>
      <c r="B56" s="94"/>
      <c r="C56" s="94"/>
      <c r="G56" s="94"/>
      <c r="H56" s="94"/>
      <c r="I56" s="4"/>
      <c r="J56" s="3"/>
      <c r="K56" s="4"/>
      <c r="L56" s="4"/>
      <c r="M56" s="4"/>
      <c r="N56" s="4"/>
      <c r="O56" s="4"/>
      <c r="P56" s="4"/>
      <c r="Q56" s="4"/>
    </row>
    <row r="57" spans="1:20" x14ac:dyDescent="0.25">
      <c r="A57" s="94"/>
      <c r="B57" s="94"/>
      <c r="C57" s="94"/>
      <c r="G57" s="94"/>
      <c r="H57" s="94"/>
      <c r="I57" s="4"/>
      <c r="J57" s="3"/>
      <c r="K57" s="4"/>
      <c r="L57" s="4"/>
      <c r="M57" s="4"/>
      <c r="N57" s="4"/>
      <c r="O57" s="4"/>
      <c r="P57" s="4"/>
      <c r="Q57" s="4"/>
    </row>
    <row r="58" spans="1:20" x14ac:dyDescent="0.25">
      <c r="A58" s="94"/>
      <c r="B58" s="94"/>
      <c r="C58" s="94"/>
      <c r="G58" s="94"/>
      <c r="H58" s="94"/>
      <c r="I58" s="4"/>
      <c r="J58" s="3"/>
      <c r="K58" s="4"/>
      <c r="L58" s="4"/>
      <c r="M58" s="4"/>
      <c r="N58" s="4"/>
      <c r="O58" s="4"/>
      <c r="P58" s="4"/>
      <c r="Q58" s="4"/>
    </row>
    <row r="62" spans="1:20" ht="19.5" customHeight="1" x14ac:dyDescent="0.25"/>
    <row r="63" spans="1:20" ht="19.5" customHeight="1" x14ac:dyDescent="0.25"/>
    <row r="64" spans="1:20" ht="19.5" customHeight="1" x14ac:dyDescent="0.25"/>
    <row r="65" spans="1:1" ht="19.5" customHeight="1" x14ac:dyDescent="0.25"/>
    <row r="68" spans="1:1" x14ac:dyDescent="0.25">
      <c r="A68" s="13"/>
    </row>
    <row r="76" spans="1:1" ht="19.5" customHeight="1" x14ac:dyDescent="0.25"/>
    <row r="86" spans="4:17" ht="18.75" customHeight="1" x14ac:dyDescent="0.25"/>
    <row r="89" spans="4:17" x14ac:dyDescent="0.25">
      <c r="D89" s="13"/>
      <c r="E89" s="13"/>
      <c r="F89" s="13"/>
      <c r="G89" s="4"/>
      <c r="H89" s="4"/>
      <c r="I89" s="4"/>
      <c r="J89" s="3"/>
      <c r="K89" s="4"/>
      <c r="L89" s="4"/>
      <c r="M89" s="4"/>
      <c r="N89" s="4"/>
      <c r="O89" s="4"/>
      <c r="P89" s="4"/>
      <c r="Q89" s="4"/>
    </row>
    <row r="90" spans="4:17" x14ac:dyDescent="0.25">
      <c r="G90" s="4"/>
      <c r="H90" s="4"/>
      <c r="I90" s="4"/>
      <c r="J90" s="3"/>
      <c r="K90" s="4"/>
      <c r="L90" s="4"/>
      <c r="M90" s="4"/>
      <c r="N90" s="4"/>
      <c r="O90" s="4"/>
      <c r="P90" s="4"/>
      <c r="Q90" s="4"/>
    </row>
    <row r="92" spans="4:17" x14ac:dyDescent="0.25">
      <c r="G92" s="4"/>
      <c r="H92" s="4"/>
      <c r="I92" s="4"/>
      <c r="J92" s="3"/>
      <c r="K92" s="4"/>
      <c r="L92" s="4"/>
      <c r="M92" s="4"/>
      <c r="N92" s="4"/>
      <c r="O92" s="4"/>
      <c r="P92" s="4"/>
      <c r="Q92" s="4"/>
    </row>
    <row r="93" spans="4:17" x14ac:dyDescent="0.25">
      <c r="G93" s="4"/>
      <c r="H93" s="4"/>
      <c r="I93" s="4"/>
      <c r="J93" s="3"/>
      <c r="K93" s="4"/>
      <c r="L93" s="4"/>
      <c r="M93" s="4"/>
      <c r="N93" s="4"/>
      <c r="O93" s="4"/>
      <c r="P93" s="4"/>
      <c r="Q93" s="4"/>
    </row>
    <row r="94" spans="4:17" x14ac:dyDescent="0.25">
      <c r="G94" s="4"/>
      <c r="H94" s="4"/>
      <c r="I94" s="4"/>
      <c r="J94" s="3"/>
      <c r="K94" s="4"/>
      <c r="L94" s="4"/>
      <c r="M94" s="4"/>
      <c r="N94" s="4"/>
      <c r="O94" s="4"/>
      <c r="P94" s="4"/>
      <c r="Q94" s="4"/>
    </row>
    <row r="95" spans="4:17" x14ac:dyDescent="0.25">
      <c r="G95" s="4"/>
      <c r="H95" s="4"/>
      <c r="I95" s="4"/>
      <c r="J95" s="3"/>
      <c r="K95" s="4"/>
      <c r="L95" s="4"/>
      <c r="M95" s="4"/>
      <c r="N95" s="4"/>
      <c r="O95" s="4"/>
      <c r="P95" s="4"/>
      <c r="Q95" s="4"/>
    </row>
    <row r="96" spans="4:17" x14ac:dyDescent="0.25">
      <c r="G96" s="4"/>
      <c r="H96" s="4"/>
      <c r="I96" s="4"/>
      <c r="J96" s="3"/>
      <c r="K96" s="4"/>
      <c r="L96" s="4"/>
      <c r="M96" s="4"/>
      <c r="N96" s="4"/>
      <c r="O96" s="4"/>
      <c r="P96" s="4"/>
      <c r="Q96" s="4"/>
    </row>
    <row r="97" spans="2:17" x14ac:dyDescent="0.25">
      <c r="G97" s="4"/>
      <c r="H97" s="4"/>
      <c r="I97" s="4"/>
      <c r="J97" s="3"/>
      <c r="K97" s="4"/>
      <c r="L97" s="4"/>
      <c r="M97" s="4"/>
      <c r="N97" s="4"/>
      <c r="O97" s="4"/>
      <c r="P97" s="4"/>
      <c r="Q97" s="4"/>
    </row>
    <row r="98" spans="2:17" x14ac:dyDescent="0.25">
      <c r="G98" s="4"/>
      <c r="H98" s="4"/>
      <c r="I98" s="4"/>
      <c r="J98" s="3"/>
      <c r="K98" s="4"/>
      <c r="L98" s="4"/>
      <c r="M98" s="4"/>
      <c r="N98" s="4"/>
      <c r="O98" s="4"/>
      <c r="P98" s="4"/>
      <c r="Q98" s="4"/>
    </row>
    <row r="99" spans="2:17" x14ac:dyDescent="0.25">
      <c r="B99" t="s">
        <v>25</v>
      </c>
      <c r="C99" t="s">
        <v>26</v>
      </c>
      <c r="G99" s="4" t="s">
        <v>27</v>
      </c>
      <c r="H99" s="4"/>
      <c r="I99" s="4"/>
      <c r="J99" s="3"/>
      <c r="K99" s="4"/>
      <c r="L99" s="4"/>
      <c r="M99" s="4"/>
      <c r="N99" s="4"/>
      <c r="O99" s="4"/>
      <c r="P99" s="4"/>
      <c r="Q99" s="4"/>
    </row>
    <row r="100" spans="2:17" x14ac:dyDescent="0.25">
      <c r="G100" s="4"/>
      <c r="H100" s="4"/>
      <c r="I100" s="4"/>
      <c r="J100" s="4"/>
      <c r="K100" s="4"/>
      <c r="L100" s="4"/>
      <c r="M100" s="4"/>
      <c r="N100" s="4"/>
      <c r="O100" s="4"/>
      <c r="P100" s="4"/>
      <c r="Q100" s="4"/>
    </row>
    <row r="101" spans="2:17" x14ac:dyDescent="0.25">
      <c r="G101" s="4"/>
      <c r="H101" s="4"/>
      <c r="I101" s="4"/>
      <c r="J101" s="4"/>
      <c r="K101" s="4"/>
      <c r="L101" s="4"/>
      <c r="M101" s="4"/>
      <c r="N101" s="4"/>
      <c r="O101" s="4"/>
      <c r="P101" s="4"/>
      <c r="Q101" s="4"/>
    </row>
  </sheetData>
  <sheetProtection sheet="1" formatCells="0" formatColumns="0" formatRows="0" insertColumns="0" insertRows="0" insertHyperlinks="0" deleteColumns="0" deleteRows="0" sort="0" autoFilter="0" pivotTables="0"/>
  <mergeCells count="3">
    <mergeCell ref="B5:B13"/>
    <mergeCell ref="B45:B50"/>
    <mergeCell ref="B20:B39"/>
  </mergeCells>
  <conditionalFormatting sqref="G5:G40 G42:G51">
    <cfRule type="duplicateValues" dxfId="7" priority="64"/>
  </conditionalFormatting>
  <conditionalFormatting sqref="G41">
    <cfRule type="duplicateValues" dxfId="6" priority="2"/>
  </conditionalFormatting>
  <hyperlinks>
    <hyperlink ref="Q9" r:id="rId1"/>
    <hyperlink ref="Q11" r:id="rId2"/>
    <hyperlink ref="Q12" r:id="rId3"/>
    <hyperlink ref="Q13" r:id="rId4"/>
    <hyperlink ref="Q30" r:id="rId5"/>
    <hyperlink ref="Q31" r:id="rId6"/>
    <hyperlink ref="Q32" r:id="rId7"/>
    <hyperlink ref="Q38" r:id="rId8"/>
    <hyperlink ref="Q39" r:id="rId9"/>
    <hyperlink ref="Q37" r:id="rId10"/>
    <hyperlink ref="Q34" r:id="rId11"/>
    <hyperlink ref="Q5" r:id="rId12"/>
    <hyperlink ref="Q6" r:id="rId13"/>
    <hyperlink ref="Q7" r:id="rId14"/>
    <hyperlink ref="Q8" r:id="rId15"/>
    <hyperlink ref="Q10" r:id="rId16"/>
    <hyperlink ref="Q21" r:id="rId17"/>
    <hyperlink ref="Q24" r:id="rId18"/>
    <hyperlink ref="Q25" r:id="rId19"/>
    <hyperlink ref="Q26" r:id="rId20"/>
    <hyperlink ref="C48" location="'Fondsgebundene LV'!A1" display="Fondsgebundene LV"/>
  </hyperlinks>
  <pageMargins left="0.7" right="0.7" top="0.75" bottom="0.75" header="0.3" footer="0.3"/>
  <pageSetup paperSize="9" scale="49" orientation="landscape" verticalDpi="0" r:id="rId2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83"/>
  <sheetViews>
    <sheetView zoomScaleNormal="100" workbookViewId="0">
      <selection activeCell="E17" sqref="E17"/>
    </sheetView>
  </sheetViews>
  <sheetFormatPr baseColWidth="10" defaultRowHeight="15" x14ac:dyDescent="0.25"/>
  <cols>
    <col min="1" max="1" width="24.5703125" customWidth="1"/>
    <col min="2" max="2" width="27.85546875" customWidth="1"/>
    <col min="3" max="3" width="13.7109375" bestFit="1" customWidth="1"/>
    <col min="4" max="4" width="17.42578125" customWidth="1"/>
    <col min="5" max="5" width="30.5703125" customWidth="1"/>
    <col min="6" max="6" width="19.42578125" customWidth="1"/>
    <col min="9" max="9" width="12" bestFit="1" customWidth="1"/>
  </cols>
  <sheetData>
    <row r="1" spans="1:12" ht="21" customHeight="1" x14ac:dyDescent="0.35">
      <c r="A1" s="20" t="s">
        <v>195</v>
      </c>
      <c r="B1" s="5" t="s">
        <v>250</v>
      </c>
    </row>
    <row r="2" spans="1:12" s="94" customFormat="1" ht="21" customHeight="1" x14ac:dyDescent="0.25">
      <c r="B2" s="2" t="s">
        <v>262</v>
      </c>
      <c r="C2" s="200">
        <f>ROUND('Vermögen-Umschichtung'!H13,0)</f>
        <v>39153</v>
      </c>
      <c r="D2" s="28"/>
    </row>
    <row r="3" spans="1:12" s="94" customFormat="1" ht="21" customHeight="1" x14ac:dyDescent="0.25">
      <c r="C3" s="28"/>
    </row>
    <row r="4" spans="1:12" s="144" customFormat="1" ht="21" customHeight="1" thickBot="1" x14ac:dyDescent="0.3"/>
    <row r="5" spans="1:12" s="94" customFormat="1" x14ac:dyDescent="0.25">
      <c r="B5" s="172" t="s">
        <v>189</v>
      </c>
      <c r="C5" s="173">
        <v>0.27</v>
      </c>
      <c r="E5" s="95" t="s">
        <v>186</v>
      </c>
    </row>
    <row r="6" spans="1:12" s="94" customFormat="1" x14ac:dyDescent="0.25">
      <c r="B6" s="169" t="s">
        <v>201</v>
      </c>
      <c r="C6" s="174">
        <v>551</v>
      </c>
    </row>
    <row r="7" spans="1:12" s="93" customFormat="1" ht="15.75" thickBot="1" x14ac:dyDescent="0.3">
      <c r="B7" s="171" t="s">
        <v>252</v>
      </c>
      <c r="C7" s="175">
        <f>801-C6-Tagesgeld!B10</f>
        <v>0</v>
      </c>
      <c r="D7" s="4"/>
    </row>
    <row r="8" spans="1:12" s="94" customFormat="1" ht="15.75" thickBot="1" x14ac:dyDescent="0.3">
      <c r="D8" s="4"/>
    </row>
    <row r="9" spans="1:12" ht="15.75" thickBot="1" x14ac:dyDescent="0.3">
      <c r="B9" s="168" t="s">
        <v>251</v>
      </c>
      <c r="C9" s="167" t="s">
        <v>177</v>
      </c>
      <c r="D9" s="190">
        <f>C2-C11-C12-C13-C14-C15-C16</f>
        <v>8492.8900851182188</v>
      </c>
      <c r="F9" s="94"/>
    </row>
    <row r="10" spans="1:12" s="94" customFormat="1" x14ac:dyDescent="0.25">
      <c r="A10" s="95"/>
      <c r="B10" s="169"/>
      <c r="C10" s="176"/>
      <c r="D10" s="178" t="s">
        <v>253</v>
      </c>
      <c r="E10" s="64" t="s">
        <v>256</v>
      </c>
    </row>
    <row r="11" spans="1:12" s="93" customFormat="1" ht="16.5" x14ac:dyDescent="0.25">
      <c r="A11" s="95"/>
      <c r="B11" s="170">
        <v>1</v>
      </c>
      <c r="C11" s="177">
        <f>IF(D11="a",Tagesgeld!$C$5/(1+Festzinsanlagen!C22)^B11,0)</f>
        <v>15616.009708737865</v>
      </c>
      <c r="D11" s="179" t="s">
        <v>259</v>
      </c>
      <c r="E11" s="191">
        <v>15616</v>
      </c>
      <c r="F11" s="94"/>
    </row>
    <row r="12" spans="1:12" ht="16.5" x14ac:dyDescent="0.25">
      <c r="B12" s="170">
        <v>2</v>
      </c>
      <c r="C12" s="177">
        <f>IF(D12="a",Tagesgeld!$C$5/(1+Festzinsanlagen!C27)^B12,0)</f>
        <v>15044.100206143914</v>
      </c>
      <c r="D12" s="179" t="s">
        <v>259</v>
      </c>
      <c r="E12" s="191">
        <f>C12+8493</f>
        <v>23537.100206143914</v>
      </c>
      <c r="F12" s="94"/>
      <c r="H12" s="188"/>
    </row>
    <row r="13" spans="1:12" ht="16.5" x14ac:dyDescent="0.25">
      <c r="B13" s="170">
        <v>3</v>
      </c>
      <c r="C13" s="177">
        <f>IF(D13="a",Tagesgeld!$C$5/(1+Festzinsanlagen!C34)^B13,0)</f>
        <v>0</v>
      </c>
      <c r="D13" s="179"/>
      <c r="E13" s="191"/>
      <c r="F13" s="94"/>
      <c r="I13" s="23"/>
    </row>
    <row r="14" spans="1:12" ht="16.5" x14ac:dyDescent="0.25">
      <c r="B14" s="170">
        <v>4</v>
      </c>
      <c r="C14" s="177">
        <f>IF(D14="a",Tagesgeld!$C$5/(1+Festzinsanlagen!C41)^B14,0)</f>
        <v>0</v>
      </c>
      <c r="D14" s="179"/>
      <c r="E14" s="191"/>
      <c r="F14" s="94"/>
      <c r="I14" s="23"/>
    </row>
    <row r="15" spans="1:12" ht="16.5" x14ac:dyDescent="0.25">
      <c r="B15" s="170">
        <v>5</v>
      </c>
      <c r="C15" s="177">
        <f>IF(D15="a",Tagesgeld!$C$5/(1+Festzinsanlagen!C48)^B15,0)</f>
        <v>0</v>
      </c>
      <c r="D15" s="179"/>
      <c r="E15" s="64"/>
      <c r="F15" s="94"/>
      <c r="I15" s="23"/>
    </row>
    <row r="16" spans="1:12" ht="17.25" thickBot="1" x14ac:dyDescent="0.3">
      <c r="B16" s="180">
        <v>6</v>
      </c>
      <c r="C16" s="181">
        <f>IF(D16="a",Tagesgeld!$C$5/(1+Festzinsanlagen!C56)^B16,0)</f>
        <v>0</v>
      </c>
      <c r="D16" s="182"/>
      <c r="E16" s="192"/>
      <c r="F16" s="94"/>
      <c r="H16" s="94"/>
      <c r="I16" s="23"/>
      <c r="J16" s="94"/>
      <c r="K16" s="94"/>
      <c r="L16" s="94"/>
    </row>
    <row r="17" spans="1:6" s="93" customFormat="1" ht="19.5" thickBot="1" x14ac:dyDescent="0.35">
      <c r="B17" s="184"/>
      <c r="C17" s="189">
        <f>C11+C12+C13+C14+C15+C16</f>
        <v>30660.109914881781</v>
      </c>
      <c r="D17" s="183"/>
      <c r="E17" s="254">
        <f>ROUND(SUM(E11:E16),0)</f>
        <v>39153</v>
      </c>
      <c r="F17" s="94"/>
    </row>
    <row r="18" spans="1:6" s="94" customFormat="1" x14ac:dyDescent="0.25"/>
    <row r="19" spans="1:6" ht="15.75" thickBot="1" x14ac:dyDescent="0.3">
      <c r="A19" s="5" t="s">
        <v>255</v>
      </c>
      <c r="B19" s="93"/>
      <c r="C19" s="93"/>
      <c r="D19" s="93"/>
      <c r="E19" s="93"/>
      <c r="F19" s="93"/>
    </row>
    <row r="20" spans="1:6" ht="18.75" x14ac:dyDescent="0.3">
      <c r="A20" s="107" t="s">
        <v>190</v>
      </c>
      <c r="B20" s="108"/>
      <c r="C20" s="109" t="s">
        <v>100</v>
      </c>
      <c r="D20" s="109" t="s">
        <v>99</v>
      </c>
      <c r="E20" s="109" t="s">
        <v>200</v>
      </c>
      <c r="F20" s="123" t="s">
        <v>101</v>
      </c>
    </row>
    <row r="21" spans="1:6" x14ac:dyDescent="0.25">
      <c r="A21" s="53"/>
      <c r="B21" s="148" t="s">
        <v>202</v>
      </c>
      <c r="C21" s="114"/>
      <c r="D21" s="124">
        <f>C11</f>
        <v>15616.009708737865</v>
      </c>
      <c r="E21" s="111"/>
      <c r="F21" s="112"/>
    </row>
    <row r="22" spans="1:6" ht="15.75" thickBot="1" x14ac:dyDescent="0.3">
      <c r="A22" s="116"/>
      <c r="B22" s="117">
        <v>1</v>
      </c>
      <c r="C22" s="127">
        <v>0.03</v>
      </c>
      <c r="D22" s="117"/>
      <c r="E22" s="118">
        <f>D21+D21*C22</f>
        <v>16084.490000000002</v>
      </c>
      <c r="F22" s="149">
        <f>E22-D21</f>
        <v>468.48029126213623</v>
      </c>
    </row>
    <row r="23" spans="1:6" x14ac:dyDescent="0.25">
      <c r="A23" s="54"/>
      <c r="B23" s="54"/>
      <c r="C23" s="125"/>
      <c r="D23" s="54"/>
      <c r="E23" s="54"/>
      <c r="F23" s="54"/>
    </row>
    <row r="24" spans="1:6" ht="15.75" thickBot="1" x14ac:dyDescent="0.3">
      <c r="A24" s="54"/>
      <c r="B24" s="54"/>
      <c r="C24" s="125"/>
      <c r="D24" s="54"/>
      <c r="E24" s="54"/>
      <c r="F24" s="54"/>
    </row>
    <row r="25" spans="1:6" ht="18.75" x14ac:dyDescent="0.3">
      <c r="A25" s="107" t="s">
        <v>191</v>
      </c>
      <c r="B25" s="108"/>
      <c r="C25" s="108" t="s">
        <v>100</v>
      </c>
      <c r="D25" s="108" t="s">
        <v>99</v>
      </c>
      <c r="E25" s="109" t="s">
        <v>200</v>
      </c>
      <c r="F25" s="185" t="s">
        <v>101</v>
      </c>
    </row>
    <row r="26" spans="1:6" x14ac:dyDescent="0.25">
      <c r="A26" s="53"/>
      <c r="B26" s="148" t="s">
        <v>202</v>
      </c>
      <c r="C26" s="114"/>
      <c r="D26" s="124">
        <f>C12</f>
        <v>15044.100206143914</v>
      </c>
      <c r="E26" s="111"/>
      <c r="F26" s="112"/>
    </row>
    <row r="27" spans="1:6" x14ac:dyDescent="0.25">
      <c r="A27" s="113"/>
      <c r="B27" s="114">
        <v>1</v>
      </c>
      <c r="C27" s="126">
        <v>3.4000000000000002E-2</v>
      </c>
      <c r="D27" s="114"/>
      <c r="E27" s="115">
        <f>D26+D26*$C$27</f>
        <v>15555.599613152806</v>
      </c>
      <c r="F27" s="186"/>
    </row>
    <row r="28" spans="1:6" ht="15.75" thickBot="1" x14ac:dyDescent="0.3">
      <c r="A28" s="116"/>
      <c r="B28" s="117">
        <v>2</v>
      </c>
      <c r="C28" s="127">
        <v>3.4000000000000002E-2</v>
      </c>
      <c r="D28" s="117"/>
      <c r="E28" s="118">
        <f>E27+E27*$C$28</f>
        <v>16084.490000000002</v>
      </c>
      <c r="F28" s="149">
        <f>E28-D26</f>
        <v>1040.3897938560876</v>
      </c>
    </row>
    <row r="29" spans="1:6" x14ac:dyDescent="0.25">
      <c r="A29" s="54"/>
      <c r="B29" s="54"/>
      <c r="C29" s="54"/>
      <c r="D29" s="54"/>
      <c r="E29" s="54"/>
      <c r="F29" s="54"/>
    </row>
    <row r="30" spans="1:6" s="94" customFormat="1" ht="31.5" customHeight="1" x14ac:dyDescent="0.25">
      <c r="A30" s="54"/>
      <c r="B30" s="54"/>
      <c r="C30" s="54"/>
      <c r="D30" s="54"/>
      <c r="E30" s="54"/>
      <c r="F30" s="54"/>
    </row>
    <row r="31" spans="1:6" s="94" customFormat="1" ht="13.5" customHeight="1" thickBot="1" x14ac:dyDescent="0.3">
      <c r="A31" s="54"/>
      <c r="B31" s="54"/>
      <c r="C31" s="54"/>
      <c r="D31" s="54"/>
      <c r="E31" s="54"/>
      <c r="F31" s="54"/>
    </row>
    <row r="32" spans="1:6" ht="18.75" x14ac:dyDescent="0.3">
      <c r="A32" s="107" t="s">
        <v>187</v>
      </c>
      <c r="B32" s="108"/>
      <c r="C32" s="108" t="s">
        <v>100</v>
      </c>
      <c r="D32" s="108" t="s">
        <v>99</v>
      </c>
      <c r="E32" s="109" t="s">
        <v>200</v>
      </c>
      <c r="F32" s="185" t="s">
        <v>101</v>
      </c>
    </row>
    <row r="33" spans="1:6" x14ac:dyDescent="0.25">
      <c r="A33" s="53"/>
      <c r="B33" s="148" t="s">
        <v>202</v>
      </c>
      <c r="C33" s="114"/>
      <c r="D33" s="110">
        <f>C13</f>
        <v>0</v>
      </c>
      <c r="E33" s="111"/>
      <c r="F33" s="112"/>
    </row>
    <row r="34" spans="1:6" x14ac:dyDescent="0.25">
      <c r="A34" s="113"/>
      <c r="B34" s="114">
        <v>1</v>
      </c>
      <c r="C34" s="126">
        <v>3.7999999999999999E-2</v>
      </c>
      <c r="D34" s="114"/>
      <c r="E34" s="115">
        <f>D33+D33*$C$34</f>
        <v>0</v>
      </c>
      <c r="F34" s="186"/>
    </row>
    <row r="35" spans="1:6" x14ac:dyDescent="0.25">
      <c r="A35" s="113"/>
      <c r="B35" s="114">
        <v>2</v>
      </c>
      <c r="C35" s="126">
        <v>3.7999999999999999E-2</v>
      </c>
      <c r="D35" s="114"/>
      <c r="E35" s="115">
        <f>E34+E34*$C$35</f>
        <v>0</v>
      </c>
      <c r="F35" s="186"/>
    </row>
    <row r="36" spans="1:6" ht="15.75" thickBot="1" x14ac:dyDescent="0.3">
      <c r="A36" s="116"/>
      <c r="B36" s="117">
        <v>3</v>
      </c>
      <c r="C36" s="127">
        <v>3.7999999999999999E-2</v>
      </c>
      <c r="D36" s="117"/>
      <c r="E36" s="118">
        <f>E35+E35*$C$36</f>
        <v>0</v>
      </c>
      <c r="F36" s="149">
        <f>E36-D33</f>
        <v>0</v>
      </c>
    </row>
    <row r="37" spans="1:6" x14ac:dyDescent="0.25">
      <c r="A37" s="54"/>
      <c r="B37" s="54"/>
      <c r="C37" s="54"/>
      <c r="D37" s="54"/>
      <c r="E37" s="54"/>
      <c r="F37" s="54"/>
    </row>
    <row r="38" spans="1:6" ht="15.75" thickBot="1" x14ac:dyDescent="0.3">
      <c r="A38" s="54"/>
      <c r="B38" s="54"/>
      <c r="C38" s="54"/>
      <c r="D38" s="54"/>
      <c r="E38" s="54"/>
      <c r="F38" s="54"/>
    </row>
    <row r="39" spans="1:6" ht="19.5" thickBot="1" x14ac:dyDescent="0.35">
      <c r="A39" s="107" t="s">
        <v>192</v>
      </c>
      <c r="B39" s="108"/>
      <c r="C39" s="108" t="s">
        <v>100</v>
      </c>
      <c r="D39" s="108" t="s">
        <v>99</v>
      </c>
      <c r="E39" s="109" t="s">
        <v>200</v>
      </c>
      <c r="F39" s="185" t="s">
        <v>101</v>
      </c>
    </row>
    <row r="40" spans="1:6" x14ac:dyDescent="0.25">
      <c r="A40" s="53"/>
      <c r="B40" s="148" t="s">
        <v>194</v>
      </c>
      <c r="C40" s="114"/>
      <c r="D40" s="119">
        <f>C14</f>
        <v>0</v>
      </c>
      <c r="E40" s="120"/>
      <c r="F40" s="187"/>
    </row>
    <row r="41" spans="1:6" x14ac:dyDescent="0.25">
      <c r="A41" s="113"/>
      <c r="B41" s="114">
        <v>1</v>
      </c>
      <c r="C41" s="126">
        <v>0.04</v>
      </c>
      <c r="D41" s="114"/>
      <c r="E41" s="115">
        <f>D40+D40*C41</f>
        <v>0</v>
      </c>
      <c r="F41" s="186"/>
    </row>
    <row r="42" spans="1:6" x14ac:dyDescent="0.25">
      <c r="A42" s="113"/>
      <c r="B42" s="114">
        <v>2</v>
      </c>
      <c r="C42" s="126">
        <v>0.04</v>
      </c>
      <c r="D42" s="114"/>
      <c r="E42" s="115">
        <f>E41+E41*C42</f>
        <v>0</v>
      </c>
      <c r="F42" s="186"/>
    </row>
    <row r="43" spans="1:6" x14ac:dyDescent="0.25">
      <c r="A43" s="113"/>
      <c r="B43" s="114">
        <v>3</v>
      </c>
      <c r="C43" s="126">
        <v>0.04</v>
      </c>
      <c r="D43" s="114"/>
      <c r="E43" s="115">
        <f>E42+E42*C43</f>
        <v>0</v>
      </c>
      <c r="F43" s="186"/>
    </row>
    <row r="44" spans="1:6" ht="15.75" thickBot="1" x14ac:dyDescent="0.3">
      <c r="A44" s="116"/>
      <c r="B44" s="117">
        <v>4</v>
      </c>
      <c r="C44" s="127">
        <v>0.04</v>
      </c>
      <c r="D44" s="117"/>
      <c r="E44" s="118">
        <f>E43+E43*C44</f>
        <v>0</v>
      </c>
      <c r="F44" s="149">
        <f>E44-D40</f>
        <v>0</v>
      </c>
    </row>
    <row r="45" spans="1:6" ht="15.75" thickBot="1" x14ac:dyDescent="0.3">
      <c r="A45" s="54"/>
      <c r="B45" s="54"/>
      <c r="C45" s="54"/>
      <c r="D45" s="54"/>
      <c r="E45" s="54"/>
      <c r="F45" s="54"/>
    </row>
    <row r="46" spans="1:6" ht="19.5" thickBot="1" x14ac:dyDescent="0.35">
      <c r="A46" s="121" t="s">
        <v>193</v>
      </c>
      <c r="B46" s="109"/>
      <c r="C46" s="109" t="s">
        <v>100</v>
      </c>
      <c r="D46" s="109" t="s">
        <v>99</v>
      </c>
      <c r="E46" s="109" t="s">
        <v>200</v>
      </c>
      <c r="F46" s="123" t="s">
        <v>101</v>
      </c>
    </row>
    <row r="47" spans="1:6" x14ac:dyDescent="0.25">
      <c r="A47" s="53"/>
      <c r="B47" s="148" t="s">
        <v>194</v>
      </c>
      <c r="C47" s="114"/>
      <c r="D47" s="119">
        <f>C15</f>
        <v>0</v>
      </c>
      <c r="E47" s="120"/>
      <c r="F47" s="187"/>
    </row>
    <row r="48" spans="1:6" x14ac:dyDescent="0.25">
      <c r="A48" s="113"/>
      <c r="B48" s="114">
        <v>1</v>
      </c>
      <c r="C48" s="126">
        <v>0.04</v>
      </c>
      <c r="D48" s="114"/>
      <c r="E48" s="115">
        <f>D47+D47*$C$48</f>
        <v>0</v>
      </c>
      <c r="F48" s="186"/>
    </row>
    <row r="49" spans="1:6" x14ac:dyDescent="0.25">
      <c r="A49" s="113"/>
      <c r="B49" s="114">
        <v>2</v>
      </c>
      <c r="C49" s="126">
        <v>0.04</v>
      </c>
      <c r="D49" s="114"/>
      <c r="E49" s="115">
        <f>E48+E48*$C$49</f>
        <v>0</v>
      </c>
      <c r="F49" s="186"/>
    </row>
    <row r="50" spans="1:6" x14ac:dyDescent="0.25">
      <c r="A50" s="113"/>
      <c r="B50" s="114">
        <v>3</v>
      </c>
      <c r="C50" s="126">
        <v>0.04</v>
      </c>
      <c r="D50" s="114"/>
      <c r="E50" s="115">
        <f>E49+E49*$C$50</f>
        <v>0</v>
      </c>
      <c r="F50" s="186"/>
    </row>
    <row r="51" spans="1:6" x14ac:dyDescent="0.25">
      <c r="A51" s="113"/>
      <c r="B51" s="122">
        <v>4</v>
      </c>
      <c r="C51" s="126">
        <v>0.04</v>
      </c>
      <c r="D51" s="114"/>
      <c r="E51" s="115">
        <f>E50+E50*$C$51</f>
        <v>0</v>
      </c>
      <c r="F51" s="186"/>
    </row>
    <row r="52" spans="1:6" ht="15.75" thickBot="1" x14ac:dyDescent="0.3">
      <c r="A52" s="116"/>
      <c r="B52" s="117">
        <v>5</v>
      </c>
      <c r="C52" s="127">
        <v>0.04</v>
      </c>
      <c r="D52" s="117"/>
      <c r="E52" s="118">
        <f>E51+E51*$C$52</f>
        <v>0</v>
      </c>
      <c r="F52" s="149">
        <f>E52-D47</f>
        <v>0</v>
      </c>
    </row>
    <row r="53" spans="1:6" ht="15.75" thickBot="1" x14ac:dyDescent="0.3">
      <c r="A53" s="54"/>
      <c r="B53" s="54"/>
      <c r="C53" s="54"/>
      <c r="D53" s="54"/>
      <c r="E53" s="54"/>
      <c r="F53" s="54"/>
    </row>
    <row r="54" spans="1:6" ht="19.5" thickBot="1" x14ac:dyDescent="0.35">
      <c r="A54" s="121" t="s">
        <v>254</v>
      </c>
      <c r="B54" s="109"/>
      <c r="C54" s="109" t="s">
        <v>100</v>
      </c>
      <c r="D54" s="109" t="s">
        <v>99</v>
      </c>
      <c r="E54" s="109" t="s">
        <v>200</v>
      </c>
      <c r="F54" s="123" t="s">
        <v>101</v>
      </c>
    </row>
    <row r="55" spans="1:6" x14ac:dyDescent="0.25">
      <c r="A55" s="53"/>
      <c r="B55" s="148" t="s">
        <v>194</v>
      </c>
      <c r="C55" s="114"/>
      <c r="D55" s="119">
        <f>C16</f>
        <v>0</v>
      </c>
      <c r="E55" s="120"/>
      <c r="F55" s="187"/>
    </row>
    <row r="56" spans="1:6" x14ac:dyDescent="0.25">
      <c r="A56" s="113"/>
      <c r="B56" s="114">
        <v>1</v>
      </c>
      <c r="C56" s="126">
        <v>0.04</v>
      </c>
      <c r="D56" s="114"/>
      <c r="E56" s="115">
        <f>D55+D55*$C$56</f>
        <v>0</v>
      </c>
      <c r="F56" s="186"/>
    </row>
    <row r="57" spans="1:6" s="93" customFormat="1" x14ac:dyDescent="0.25">
      <c r="A57" s="113"/>
      <c r="B57" s="114">
        <v>2</v>
      </c>
      <c r="C57" s="126">
        <v>0.04</v>
      </c>
      <c r="D57" s="114"/>
      <c r="E57" s="115">
        <f>E56+E56*C57</f>
        <v>0</v>
      </c>
      <c r="F57" s="186"/>
    </row>
    <row r="58" spans="1:6" x14ac:dyDescent="0.25">
      <c r="A58" s="113"/>
      <c r="B58" s="114">
        <v>3</v>
      </c>
      <c r="C58" s="126">
        <v>0.04</v>
      </c>
      <c r="D58" s="114"/>
      <c r="E58" s="115">
        <f>E57+E57*C58</f>
        <v>0</v>
      </c>
      <c r="F58" s="186"/>
    </row>
    <row r="59" spans="1:6" x14ac:dyDescent="0.25">
      <c r="A59" s="113"/>
      <c r="B59" s="122">
        <v>4</v>
      </c>
      <c r="C59" s="126">
        <v>0.04</v>
      </c>
      <c r="D59" s="114"/>
      <c r="E59" s="115">
        <f>E58+E58*C59</f>
        <v>0</v>
      </c>
      <c r="F59" s="186"/>
    </row>
    <row r="60" spans="1:6" x14ac:dyDescent="0.25">
      <c r="A60" s="113"/>
      <c r="B60" s="122">
        <v>5</v>
      </c>
      <c r="C60" s="126">
        <v>0.04</v>
      </c>
      <c r="D60" s="114"/>
      <c r="E60" s="115">
        <f>E59+E59*C60</f>
        <v>0</v>
      </c>
      <c r="F60" s="186"/>
    </row>
    <row r="61" spans="1:6" ht="15.75" thickBot="1" x14ac:dyDescent="0.3">
      <c r="A61" s="116"/>
      <c r="B61" s="117">
        <v>6</v>
      </c>
      <c r="C61" s="127">
        <v>0.04</v>
      </c>
      <c r="D61" s="117"/>
      <c r="E61" s="118">
        <f>E60+E60*C61</f>
        <v>0</v>
      </c>
      <c r="F61" s="149">
        <f>E61-D55</f>
        <v>0</v>
      </c>
    </row>
    <row r="64" spans="1:6" x14ac:dyDescent="0.25">
      <c r="A64" s="330" t="s">
        <v>296</v>
      </c>
    </row>
    <row r="65" spans="1:9" ht="30" x14ac:dyDescent="0.25">
      <c r="B65" s="29" t="s">
        <v>203</v>
      </c>
      <c r="C65" s="29"/>
      <c r="D65" s="44" t="s">
        <v>218</v>
      </c>
      <c r="F65" s="62"/>
    </row>
    <row r="66" spans="1:9" x14ac:dyDescent="0.25">
      <c r="A66" s="60" t="s">
        <v>190</v>
      </c>
      <c r="B66" s="133" t="str">
        <f>TEXT($B$21,1)</f>
        <v>IKB</v>
      </c>
      <c r="C66" s="412">
        <v>0</v>
      </c>
      <c r="D66" s="134">
        <f>F22</f>
        <v>468.48029126213623</v>
      </c>
    </row>
    <row r="67" spans="1:9" x14ac:dyDescent="0.25">
      <c r="A67" s="60" t="s">
        <v>191</v>
      </c>
      <c r="B67" s="133" t="str">
        <f>TEXT($B$26,1)</f>
        <v>IKB</v>
      </c>
      <c r="C67" s="413"/>
      <c r="D67" s="134">
        <f>F28</f>
        <v>1040.3897938560876</v>
      </c>
    </row>
    <row r="68" spans="1:9" x14ac:dyDescent="0.25">
      <c r="A68" s="60" t="s">
        <v>187</v>
      </c>
      <c r="B68" s="133" t="str">
        <f>TEXT($B$33,1)</f>
        <v>IKB</v>
      </c>
      <c r="C68" s="414"/>
      <c r="D68" s="134">
        <f>F36</f>
        <v>0</v>
      </c>
    </row>
    <row r="69" spans="1:9" x14ac:dyDescent="0.25">
      <c r="A69" s="60" t="s">
        <v>192</v>
      </c>
      <c r="B69" s="133" t="str">
        <f>TEXT($B$40,1)</f>
        <v>Santander</v>
      </c>
      <c r="C69" s="412">
        <v>501</v>
      </c>
      <c r="D69" s="134">
        <f>F44</f>
        <v>0</v>
      </c>
    </row>
    <row r="70" spans="1:9" x14ac:dyDescent="0.25">
      <c r="A70" s="60" t="s">
        <v>193</v>
      </c>
      <c r="B70" s="133" t="str">
        <f>TEXT($B$47,1)</f>
        <v>Santander</v>
      </c>
      <c r="C70" s="413"/>
      <c r="D70" s="134">
        <f>F52</f>
        <v>0</v>
      </c>
    </row>
    <row r="71" spans="1:9" x14ac:dyDescent="0.25">
      <c r="A71" s="60" t="s">
        <v>188</v>
      </c>
      <c r="B71" s="133" t="str">
        <f>TEXT($B$55,1)</f>
        <v>Santander</v>
      </c>
      <c r="C71" s="414"/>
      <c r="D71" s="134">
        <f>F61</f>
        <v>0</v>
      </c>
    </row>
    <row r="72" spans="1:9" x14ac:dyDescent="0.25">
      <c r="D72" s="94"/>
    </row>
    <row r="73" spans="1:9" x14ac:dyDescent="0.25">
      <c r="B73" s="2" t="s">
        <v>297</v>
      </c>
      <c r="C73" s="331">
        <f>C6-C69-C66</f>
        <v>50</v>
      </c>
      <c r="D73" s="94"/>
    </row>
    <row r="74" spans="1:9" x14ac:dyDescent="0.25">
      <c r="D74" s="94"/>
    </row>
    <row r="76" spans="1:9" ht="24" thickBot="1" x14ac:dyDescent="0.4">
      <c r="A76" s="410" t="s">
        <v>257</v>
      </c>
      <c r="B76" s="411"/>
      <c r="G76" s="94"/>
      <c r="H76" s="94"/>
      <c r="I76" s="94"/>
    </row>
    <row r="77" spans="1:9" x14ac:dyDescent="0.25">
      <c r="G77" s="94"/>
      <c r="H77" s="94"/>
      <c r="I77" s="94"/>
    </row>
    <row r="78" spans="1:9" x14ac:dyDescent="0.25">
      <c r="A78" t="s">
        <v>258</v>
      </c>
      <c r="C78" s="94"/>
      <c r="D78" s="94"/>
      <c r="G78" s="94"/>
      <c r="H78" s="94"/>
      <c r="I78" s="94"/>
    </row>
    <row r="79" spans="1:9" x14ac:dyDescent="0.25">
      <c r="C79" s="94"/>
      <c r="D79" s="94"/>
      <c r="G79" s="94"/>
      <c r="H79" s="94"/>
      <c r="I79" s="94"/>
    </row>
    <row r="80" spans="1:9" x14ac:dyDescent="0.25">
      <c r="C80" s="94"/>
      <c r="D80" s="94"/>
      <c r="G80" s="94"/>
      <c r="H80" s="94"/>
      <c r="I80" s="94"/>
    </row>
    <row r="81" spans="3:4" x14ac:dyDescent="0.25">
      <c r="C81" s="94"/>
      <c r="D81" s="94"/>
    </row>
    <row r="82" spans="3:4" x14ac:dyDescent="0.25">
      <c r="C82" s="94"/>
      <c r="D82" s="94"/>
    </row>
    <row r="83" spans="3:4" x14ac:dyDescent="0.25">
      <c r="C83" s="94"/>
      <c r="D83" s="94"/>
    </row>
  </sheetData>
  <mergeCells count="3">
    <mergeCell ref="A76:B76"/>
    <mergeCell ref="C66:C68"/>
    <mergeCell ref="C69:C71"/>
  </mergeCells>
  <conditionalFormatting sqref="E11:E16">
    <cfRule type="cellIs" dxfId="5" priority="6" operator="lessThan">
      <formula>0</formula>
    </cfRule>
  </conditionalFormatting>
  <conditionalFormatting sqref="D9">
    <cfRule type="cellIs" dxfId="4" priority="4" operator="lessThan">
      <formula>0</formula>
    </cfRule>
    <cfRule type="cellIs" dxfId="3" priority="5" operator="greaterThan">
      <formula>0</formula>
    </cfRule>
  </conditionalFormatting>
  <conditionalFormatting sqref="E17">
    <cfRule type="cellIs" dxfId="2" priority="3" operator="equal">
      <formula>ROUNDDOWN($D$3,1)+$C$2</formula>
    </cfRule>
  </conditionalFormatting>
  <conditionalFormatting sqref="C2">
    <cfRule type="cellIs" dxfId="1" priority="2" operator="equal">
      <formula>$E$17</formula>
    </cfRule>
  </conditionalFormatting>
  <conditionalFormatting sqref="C73">
    <cfRule type="cellIs" dxfId="0" priority="1" operator="equal">
      <formula>0</formula>
    </cfRule>
  </conditionalFormatting>
  <hyperlinks>
    <hyperlink ref="E5" r:id="rId1"/>
    <hyperlink ref="E17" location="'Vermögen-Umschichtung'!A1" display="'Vermögen-Umschichtung'!A1"/>
  </hyperlinks>
  <pageMargins left="0.7" right="0.7" top="0.78740157499999996" bottom="0.78740157499999996" header="0.3" footer="0.3"/>
  <pageSetup paperSize="9" orientation="landscape" verticalDpi="0"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C5"/>
  <sheetViews>
    <sheetView workbookViewId="0">
      <selection activeCell="C12" sqref="C12"/>
    </sheetView>
  </sheetViews>
  <sheetFormatPr baseColWidth="10" defaultRowHeight="15" x14ac:dyDescent="0.25"/>
  <sheetData>
    <row r="3" spans="1:3" x14ac:dyDescent="0.25">
      <c r="A3" t="s">
        <v>126</v>
      </c>
    </row>
    <row r="4" spans="1:3" x14ac:dyDescent="0.25">
      <c r="A4" s="5" t="s">
        <v>127</v>
      </c>
      <c r="C4" t="s">
        <v>165</v>
      </c>
    </row>
    <row r="5" spans="1:3" x14ac:dyDescent="0.25">
      <c r="A5" s="5" t="s">
        <v>128</v>
      </c>
      <c r="C5" t="s">
        <v>166</v>
      </c>
    </row>
  </sheetData>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activeCell="I32" sqref="I32"/>
    </sheetView>
  </sheetViews>
  <sheetFormatPr baseColWidth="10" defaultRowHeight="15" x14ac:dyDescent="0.25"/>
  <sheetData>
    <row r="1" spans="1:6" x14ac:dyDescent="0.25">
      <c r="A1" t="s">
        <v>279</v>
      </c>
    </row>
    <row r="3" spans="1:6" x14ac:dyDescent="0.25">
      <c r="A3" t="s">
        <v>307</v>
      </c>
    </row>
    <row r="4" spans="1:6" x14ac:dyDescent="0.25">
      <c r="D4" t="s">
        <v>308</v>
      </c>
      <c r="F4" s="15">
        <v>3500</v>
      </c>
    </row>
  </sheetData>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
  <dimension ref="A1:R65"/>
  <sheetViews>
    <sheetView topLeftCell="A35" workbookViewId="0">
      <selection activeCell="C5" sqref="C5"/>
    </sheetView>
  </sheetViews>
  <sheetFormatPr baseColWidth="10" defaultColWidth="9.140625" defaultRowHeight="15" x14ac:dyDescent="0.25"/>
  <cols>
    <col min="1" max="1" width="48.7109375" customWidth="1"/>
    <col min="2" max="2" width="22.42578125" customWidth="1"/>
    <col min="3" max="3" width="37.7109375" customWidth="1"/>
    <col min="4" max="4" width="8.140625" customWidth="1"/>
    <col min="5" max="5" width="45.7109375" customWidth="1"/>
  </cols>
  <sheetData>
    <row r="1" spans="1:18" ht="33.75" x14ac:dyDescent="0.5">
      <c r="A1" s="21" t="s">
        <v>131</v>
      </c>
    </row>
    <row r="2" spans="1:18" ht="15.75" thickBot="1" x14ac:dyDescent="0.3"/>
    <row r="3" spans="1:18" ht="18.75" x14ac:dyDescent="0.3">
      <c r="A3" s="52" t="s">
        <v>74</v>
      </c>
      <c r="B3" s="14"/>
    </row>
    <row r="4" spans="1:18" x14ac:dyDescent="0.25">
      <c r="A4" s="38" t="s">
        <v>287</v>
      </c>
      <c r="B4" s="71">
        <v>372240</v>
      </c>
    </row>
    <row r="5" spans="1:18" x14ac:dyDescent="0.25">
      <c r="A5" s="38" t="s">
        <v>71</v>
      </c>
      <c r="B5" s="71">
        <v>55000</v>
      </c>
    </row>
    <row r="6" spans="1:18" x14ac:dyDescent="0.25">
      <c r="A6" s="38" t="s">
        <v>77</v>
      </c>
      <c r="B6" s="71">
        <f>46920</f>
        <v>46920</v>
      </c>
      <c r="H6" s="15"/>
    </row>
    <row r="7" spans="1:18" x14ac:dyDescent="0.25">
      <c r="A7" s="38" t="s">
        <v>86</v>
      </c>
      <c r="B7" s="71">
        <v>0</v>
      </c>
      <c r="C7" t="s">
        <v>88</v>
      </c>
      <c r="H7" s="15"/>
    </row>
    <row r="8" spans="1:18" ht="15.75" thickBot="1" x14ac:dyDescent="0.3">
      <c r="A8" s="40" t="s">
        <v>87</v>
      </c>
      <c r="B8" s="42">
        <v>0</v>
      </c>
      <c r="C8" t="s">
        <v>88</v>
      </c>
      <c r="H8" s="15"/>
    </row>
    <row r="9" spans="1:18" ht="15.75" thickBot="1" x14ac:dyDescent="0.3">
      <c r="H9" s="15"/>
    </row>
    <row r="10" spans="1:18" ht="18.75" x14ac:dyDescent="0.3">
      <c r="A10" s="85" t="s">
        <v>170</v>
      </c>
      <c r="B10" s="86">
        <v>2170904.5</v>
      </c>
      <c r="H10" s="15"/>
    </row>
    <row r="11" spans="1:18" x14ac:dyDescent="0.25">
      <c r="A11" s="63" t="s">
        <v>72</v>
      </c>
      <c r="B11" s="87">
        <v>160000</v>
      </c>
    </row>
    <row r="12" spans="1:18" x14ac:dyDescent="0.25">
      <c r="A12" s="38"/>
      <c r="B12" s="87">
        <v>200000</v>
      </c>
      <c r="C12" s="15"/>
      <c r="D12" s="15"/>
      <c r="Q12" s="13"/>
      <c r="R12" s="15"/>
    </row>
    <row r="13" spans="1:18" x14ac:dyDescent="0.25">
      <c r="A13" s="38"/>
      <c r="B13" s="87">
        <v>100000</v>
      </c>
      <c r="C13" s="15"/>
      <c r="D13" s="15"/>
    </row>
    <row r="14" spans="1:18" x14ac:dyDescent="0.25">
      <c r="A14" s="38"/>
      <c r="B14" s="87">
        <v>275000</v>
      </c>
      <c r="C14" s="15"/>
      <c r="D14" s="15"/>
    </row>
    <row r="15" spans="1:18" x14ac:dyDescent="0.25">
      <c r="A15" s="38"/>
      <c r="B15" s="87">
        <v>280000</v>
      </c>
      <c r="C15" s="15"/>
      <c r="D15" s="15"/>
    </row>
    <row r="16" spans="1:18" x14ac:dyDescent="0.25">
      <c r="A16" s="38"/>
      <c r="B16" s="87">
        <v>100000</v>
      </c>
      <c r="C16" s="15"/>
      <c r="D16" s="15"/>
    </row>
    <row r="17" spans="1:3" x14ac:dyDescent="0.25">
      <c r="A17" s="38"/>
      <c r="B17" s="87">
        <v>200000</v>
      </c>
    </row>
    <row r="18" spans="1:3" x14ac:dyDescent="0.25">
      <c r="A18" s="38"/>
      <c r="B18" s="87">
        <v>200000</v>
      </c>
    </row>
    <row r="19" spans="1:3" x14ac:dyDescent="0.25">
      <c r="A19" s="38"/>
      <c r="B19" s="87">
        <v>100000</v>
      </c>
      <c r="C19" s="15"/>
    </row>
    <row r="20" spans="1:3" x14ac:dyDescent="0.25">
      <c r="A20" s="38"/>
      <c r="B20" s="87">
        <v>200000</v>
      </c>
    </row>
    <row r="21" spans="1:3" x14ac:dyDescent="0.25">
      <c r="A21" s="38" t="s">
        <v>73</v>
      </c>
      <c r="B21" s="88">
        <f>SUM(B11+B12+B13+B14+B15+B16+B17+B18+B19+B20)</f>
        <v>1815000</v>
      </c>
    </row>
    <row r="22" spans="1:3" ht="15.75" thickBot="1" x14ac:dyDescent="0.3">
      <c r="A22" s="89" t="s">
        <v>76</v>
      </c>
      <c r="B22" s="90">
        <f>B10-B21</f>
        <v>355904.5</v>
      </c>
    </row>
    <row r="23" spans="1:3" ht="19.5" thickBot="1" x14ac:dyDescent="0.35">
      <c r="A23" s="43" t="s">
        <v>169</v>
      </c>
      <c r="B23" s="46">
        <f>B10+B4+B5+B7+B8</f>
        <v>2598144.5</v>
      </c>
    </row>
    <row r="25" spans="1:3" ht="15.75" thickBot="1" x14ac:dyDescent="0.3"/>
    <row r="26" spans="1:3" ht="21" x14ac:dyDescent="0.35">
      <c r="A26" s="65" t="s">
        <v>133</v>
      </c>
      <c r="B26" s="32"/>
      <c r="C26" s="14"/>
    </row>
    <row r="27" spans="1:3" x14ac:dyDescent="0.25">
      <c r="A27" s="38" t="s">
        <v>78</v>
      </c>
      <c r="B27" s="81">
        <v>400000</v>
      </c>
      <c r="C27" s="30"/>
    </row>
    <row r="28" spans="1:3" x14ac:dyDescent="0.25">
      <c r="A28" s="38" t="s">
        <v>79</v>
      </c>
      <c r="B28" s="82">
        <f>1/3*B23</f>
        <v>866048.16666666663</v>
      </c>
      <c r="C28" s="30"/>
    </row>
    <row r="29" spans="1:3" x14ac:dyDescent="0.25">
      <c r="A29" s="38" t="s">
        <v>80</v>
      </c>
      <c r="B29" s="82">
        <f>B28-B27</f>
        <v>466048.16666666663</v>
      </c>
      <c r="C29" s="30"/>
    </row>
    <row r="30" spans="1:3" x14ac:dyDescent="0.25">
      <c r="A30" s="38" t="s">
        <v>75</v>
      </c>
      <c r="B30" s="83">
        <v>0.15</v>
      </c>
      <c r="C30" s="30" t="s">
        <v>130</v>
      </c>
    </row>
    <row r="31" spans="1:3" x14ac:dyDescent="0.25">
      <c r="A31" s="38" t="s">
        <v>81</v>
      </c>
      <c r="B31" s="82">
        <f>B29*B30</f>
        <v>69907.224999999991</v>
      </c>
      <c r="C31" s="30"/>
    </row>
    <row r="32" spans="1:3" x14ac:dyDescent="0.25">
      <c r="A32" s="38" t="s">
        <v>82</v>
      </c>
      <c r="B32" s="48">
        <f>3*B31</f>
        <v>209721.67499999999</v>
      </c>
      <c r="C32" s="30"/>
    </row>
    <row r="33" spans="1:4" x14ac:dyDescent="0.25">
      <c r="A33" s="38" t="s">
        <v>83</v>
      </c>
      <c r="B33" s="84">
        <v>8000</v>
      </c>
      <c r="C33" s="30" t="s">
        <v>84</v>
      </c>
    </row>
    <row r="34" spans="1:4" x14ac:dyDescent="0.25">
      <c r="A34" s="6"/>
      <c r="B34" s="27"/>
      <c r="C34" s="30"/>
    </row>
    <row r="35" spans="1:4" ht="15.75" thickBot="1" x14ac:dyDescent="0.3">
      <c r="A35" s="91" t="s">
        <v>168</v>
      </c>
      <c r="B35" s="92">
        <f>SUM(B32+B33)</f>
        <v>217721.67499999999</v>
      </c>
      <c r="C35" s="49" t="s">
        <v>85</v>
      </c>
    </row>
    <row r="37" spans="1:4" ht="15.75" thickBot="1" x14ac:dyDescent="0.3"/>
    <row r="38" spans="1:4" ht="18.75" x14ac:dyDescent="0.3">
      <c r="A38" s="139" t="s">
        <v>216</v>
      </c>
      <c r="B38" s="140"/>
      <c r="C38" s="141"/>
    </row>
    <row r="39" spans="1:4" ht="18.75" x14ac:dyDescent="0.3">
      <c r="A39" s="66" t="s">
        <v>208</v>
      </c>
      <c r="B39" s="27"/>
      <c r="C39" s="30"/>
    </row>
    <row r="40" spans="1:4" x14ac:dyDescent="0.25">
      <c r="A40" s="38" t="s">
        <v>92</v>
      </c>
      <c r="B40" s="39"/>
      <c r="C40" s="67">
        <f>(B4-B35)/3</f>
        <v>51506.108333333337</v>
      </c>
    </row>
    <row r="41" spans="1:4" x14ac:dyDescent="0.25">
      <c r="A41" s="38" t="s">
        <v>90</v>
      </c>
      <c r="B41" s="39"/>
      <c r="C41" s="68">
        <f>B5/3</f>
        <v>18333.333333333332</v>
      </c>
    </row>
    <row r="42" spans="1:4" x14ac:dyDescent="0.25">
      <c r="A42" s="38" t="s">
        <v>209</v>
      </c>
      <c r="B42" s="69"/>
      <c r="C42" s="70">
        <f>C40+C41</f>
        <v>69839.441666666666</v>
      </c>
    </row>
    <row r="43" spans="1:4" x14ac:dyDescent="0.25">
      <c r="A43" s="38" t="s">
        <v>91</v>
      </c>
      <c r="B43" s="39"/>
      <c r="C43" s="71">
        <f>B6/3</f>
        <v>15640</v>
      </c>
    </row>
    <row r="44" spans="1:4" ht="18.75" x14ac:dyDescent="0.3">
      <c r="A44" s="66" t="s">
        <v>210</v>
      </c>
      <c r="B44" s="72"/>
      <c r="C44" s="130">
        <f>C42+C43</f>
        <v>85479.441666666666</v>
      </c>
      <c r="D44" t="s">
        <v>93</v>
      </c>
    </row>
    <row r="45" spans="1:4" x14ac:dyDescent="0.25">
      <c r="A45" s="6"/>
      <c r="B45" s="27"/>
      <c r="C45" s="30"/>
    </row>
    <row r="46" spans="1:4" s="94" customFormat="1" x14ac:dyDescent="0.25">
      <c r="A46" s="6"/>
      <c r="B46" s="27"/>
      <c r="C46" s="30"/>
    </row>
    <row r="47" spans="1:4" s="94" customFormat="1" x14ac:dyDescent="0.25">
      <c r="A47" s="6"/>
      <c r="B47" s="27"/>
      <c r="C47" s="30"/>
    </row>
    <row r="48" spans="1:4" x14ac:dyDescent="0.25">
      <c r="A48" s="6"/>
      <c r="B48" s="27"/>
      <c r="C48" s="30"/>
    </row>
    <row r="49" spans="1:5" ht="18.75" x14ac:dyDescent="0.3">
      <c r="A49" s="66" t="s">
        <v>176</v>
      </c>
      <c r="B49" s="27"/>
      <c r="C49" s="30"/>
    </row>
    <row r="50" spans="1:5" x14ac:dyDescent="0.25">
      <c r="A50" s="38" t="s">
        <v>171</v>
      </c>
      <c r="B50" s="39"/>
      <c r="C50" s="71">
        <f>B21/3</f>
        <v>605000</v>
      </c>
    </row>
    <row r="51" spans="1:5" x14ac:dyDescent="0.25">
      <c r="A51" s="38" t="s">
        <v>214</v>
      </c>
      <c r="B51" s="39"/>
      <c r="C51" s="70">
        <f>B22/3</f>
        <v>118634.83333333333</v>
      </c>
    </row>
    <row r="52" spans="1:5" x14ac:dyDescent="0.25">
      <c r="A52" s="38" t="s">
        <v>213</v>
      </c>
      <c r="B52" s="73">
        <v>0.27</v>
      </c>
      <c r="C52" s="30"/>
      <c r="E52" s="22"/>
    </row>
    <row r="53" spans="1:5" x14ac:dyDescent="0.25">
      <c r="A53" s="38" t="s">
        <v>212</v>
      </c>
      <c r="B53" s="39"/>
      <c r="C53" s="70">
        <f>C51-C51*B52</f>
        <v>86603.42833333333</v>
      </c>
    </row>
    <row r="54" spans="1:5" x14ac:dyDescent="0.25">
      <c r="A54" s="51" t="s">
        <v>89</v>
      </c>
      <c r="B54" s="74"/>
      <c r="C54" s="75"/>
      <c r="E54" s="22"/>
    </row>
    <row r="55" spans="1:5" ht="15.75" x14ac:dyDescent="0.25">
      <c r="A55" s="76" t="s">
        <v>211</v>
      </c>
      <c r="B55" s="77"/>
      <c r="C55" s="131">
        <f>SUM(C50+C53)</f>
        <v>691603.42833333334</v>
      </c>
    </row>
    <row r="56" spans="1:5" s="94" customFormat="1" x14ac:dyDescent="0.25"/>
    <row r="57" spans="1:5" s="94" customFormat="1" x14ac:dyDescent="0.25"/>
    <row r="58" spans="1:5" x14ac:dyDescent="0.25">
      <c r="A58" s="6"/>
      <c r="B58" s="27"/>
      <c r="C58" s="94"/>
    </row>
    <row r="59" spans="1:5" ht="19.5" thickBot="1" x14ac:dyDescent="0.35">
      <c r="A59" s="78" t="s">
        <v>167</v>
      </c>
      <c r="B59" s="61"/>
      <c r="C59" s="132">
        <f>C44+C55</f>
        <v>777082.87</v>
      </c>
    </row>
    <row r="60" spans="1:5" ht="15.75" thickTop="1" x14ac:dyDescent="0.25">
      <c r="A60" s="51" t="s">
        <v>129</v>
      </c>
      <c r="B60" s="27"/>
      <c r="C60" s="30"/>
    </row>
    <row r="61" spans="1:5" ht="15.75" thickBot="1" x14ac:dyDescent="0.3">
      <c r="A61" s="79" t="s">
        <v>207</v>
      </c>
      <c r="B61" s="80"/>
      <c r="C61" s="129">
        <f>C55/8</f>
        <v>86450.428541666668</v>
      </c>
    </row>
    <row r="65" spans="5:5" x14ac:dyDescent="0.25">
      <c r="E65" s="22"/>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8</vt:i4>
      </vt:variant>
    </vt:vector>
  </HeadingPairs>
  <TitlesOfParts>
    <vt:vector size="8" baseType="lpstr">
      <vt:lpstr>monatliche Ausgaben</vt:lpstr>
      <vt:lpstr>Tagesgeld</vt:lpstr>
      <vt:lpstr>Vermögen-Umschichtung</vt:lpstr>
      <vt:lpstr>Portfolio</vt:lpstr>
      <vt:lpstr>Festzinsanlagen</vt:lpstr>
      <vt:lpstr>Dropdownlisten</vt:lpstr>
      <vt:lpstr>Fondsgebundene LV</vt:lpstr>
      <vt:lpstr>Erbschaft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2012-02-15T12:45:54Z</dcterms:modified>
</cp:coreProperties>
</file>