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4580" tabRatio="994" firstSheet="5" activeTab="14"/>
  </bookViews>
  <sheets>
    <sheet name="ALL Trades" sheetId="1" r:id="rId1"/>
    <sheet name="Zusammenfassung" sheetId="18" r:id="rId2"/>
    <sheet name="Long Trades" sheetId="19" r:id="rId3"/>
    <sheet name="Short Trades" sheetId="4" r:id="rId4"/>
    <sheet name="Total Net Profit" sheetId="3" r:id="rId5"/>
    <sheet name="Select " sheetId="5" r:id="rId6"/>
    <sheet name="Adjusted" sheetId="6" r:id="rId7"/>
    <sheet name="Durchschnittswertbetrachtung" sheetId="8" r:id="rId8"/>
    <sheet name="Weitere Kennzahlen" sheetId="7" r:id="rId9"/>
    <sheet name="Sharpe Ratio" sheetId="9" r:id="rId10"/>
    <sheet name="Treynor Ratio" sheetId="10" r:id="rId11"/>
    <sheet name="Jensen-Alpha" sheetId="20" r:id="rId12"/>
    <sheet name="Tracking Error" sheetId="21" r:id="rId13"/>
    <sheet name="Information Ratio" sheetId="22" r:id="rId14"/>
    <sheet name="Max unrealiszed Drawdown" sheetId="23" r:id="rId15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1" i="22" l="1"/>
  <c r="B40" i="21"/>
  <c r="D33" i="20"/>
  <c r="D32" i="20"/>
  <c r="D31" i="20"/>
  <c r="D30" i="20"/>
  <c r="D29" i="20"/>
  <c r="C29" i="10"/>
  <c r="D31" i="9"/>
  <c r="B30" i="20"/>
  <c r="B31" i="20"/>
  <c r="B30" i="10"/>
  <c r="B29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4" i="10"/>
  <c r="C3" i="10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B28" i="10"/>
  <c r="C28" i="10"/>
  <c r="F24" i="10"/>
  <c r="F19" i="10"/>
  <c r="F20" i="10"/>
  <c r="F21" i="10"/>
  <c r="F22" i="10"/>
  <c r="F23" i="10"/>
  <c r="D32" i="9"/>
  <c r="D30" i="9"/>
  <c r="D28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B29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B28" i="9"/>
  <c r="B30" i="9"/>
  <c r="B31" i="9"/>
  <c r="B32" i="9"/>
  <c r="E31" i="8"/>
  <c r="I13" i="8"/>
  <c r="I15" i="8"/>
  <c r="H3" i="4"/>
  <c r="H16" i="4"/>
  <c r="H39" i="4"/>
  <c r="H41" i="4"/>
  <c r="H43" i="4"/>
  <c r="H45" i="4"/>
  <c r="H47" i="4"/>
  <c r="H50" i="4"/>
  <c r="D3" i="18"/>
  <c r="D7" i="18"/>
  <c r="H3" i="19"/>
  <c r="H7" i="19"/>
  <c r="H9" i="19"/>
  <c r="H23" i="19"/>
  <c r="H25" i="19"/>
  <c r="H27" i="19"/>
  <c r="H29" i="19"/>
  <c r="H31" i="19"/>
  <c r="H33" i="19"/>
  <c r="H34" i="19"/>
  <c r="H35" i="19"/>
  <c r="H42" i="19"/>
  <c r="C3" i="18"/>
  <c r="C7" i="18"/>
  <c r="B5" i="18"/>
  <c r="B4" i="18"/>
  <c r="B3" i="18"/>
  <c r="B7" i="18"/>
  <c r="B40" i="18"/>
  <c r="G8" i="23"/>
  <c r="B41" i="18"/>
  <c r="F12" i="21"/>
  <c r="J12" i="21"/>
  <c r="K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B37" i="21"/>
  <c r="J13" i="21"/>
  <c r="K13" i="21"/>
  <c r="J14" i="21"/>
  <c r="K14" i="21"/>
  <c r="J15" i="21"/>
  <c r="K15" i="21"/>
  <c r="J16" i="21"/>
  <c r="K16" i="21"/>
  <c r="J17" i="21"/>
  <c r="K17" i="21"/>
  <c r="J18" i="21"/>
  <c r="K18" i="21"/>
  <c r="J19" i="21"/>
  <c r="K19" i="21"/>
  <c r="J20" i="21"/>
  <c r="K20" i="21"/>
  <c r="J21" i="21"/>
  <c r="K21" i="21"/>
  <c r="J22" i="21"/>
  <c r="K22" i="21"/>
  <c r="J23" i="21"/>
  <c r="K23" i="21"/>
  <c r="J24" i="21"/>
  <c r="K24" i="21"/>
  <c r="J25" i="21"/>
  <c r="K25" i="21"/>
  <c r="J26" i="21"/>
  <c r="K26" i="21"/>
  <c r="J27" i="21"/>
  <c r="K27" i="21"/>
  <c r="J28" i="21"/>
  <c r="K28" i="21"/>
  <c r="J29" i="21"/>
  <c r="K29" i="21"/>
  <c r="J30" i="21"/>
  <c r="K30" i="21"/>
  <c r="J31" i="21"/>
  <c r="K31" i="21"/>
  <c r="J32" i="21"/>
  <c r="K32" i="21"/>
  <c r="J33" i="21"/>
  <c r="K33" i="21"/>
  <c r="B38" i="21"/>
  <c r="M12" i="21"/>
  <c r="M13" i="21"/>
  <c r="M14" i="21"/>
  <c r="M15" i="21"/>
  <c r="M16" i="21"/>
  <c r="M17" i="21"/>
  <c r="M18" i="21"/>
  <c r="M19" i="21"/>
  <c r="M20" i="21"/>
  <c r="M21" i="21"/>
  <c r="M22" i="21"/>
  <c r="M23" i="21"/>
  <c r="M24" i="21"/>
  <c r="M25" i="21"/>
  <c r="M26" i="21"/>
  <c r="M27" i="21"/>
  <c r="M28" i="21"/>
  <c r="M29" i="21"/>
  <c r="M30" i="21"/>
  <c r="M31" i="21"/>
  <c r="M32" i="21"/>
  <c r="M33" i="21"/>
  <c r="B39" i="21"/>
  <c r="B39" i="18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B29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F2" i="22"/>
  <c r="F3" i="22"/>
  <c r="F4" i="22"/>
  <c r="F5" i="22"/>
  <c r="F6" i="22"/>
  <c r="F7" i="22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B27" i="22"/>
  <c r="J2" i="22"/>
  <c r="K2" i="22"/>
  <c r="J3" i="22"/>
  <c r="K3" i="22"/>
  <c r="J4" i="22"/>
  <c r="K4" i="22"/>
  <c r="J5" i="22"/>
  <c r="K5" i="22"/>
  <c r="J6" i="22"/>
  <c r="K6" i="22"/>
  <c r="J7" i="22"/>
  <c r="K7" i="22"/>
  <c r="J8" i="22"/>
  <c r="K8" i="22"/>
  <c r="J9" i="22"/>
  <c r="K9" i="22"/>
  <c r="J10" i="22"/>
  <c r="K10" i="22"/>
  <c r="J11" i="22"/>
  <c r="K11" i="22"/>
  <c r="J12" i="22"/>
  <c r="K12" i="22"/>
  <c r="J13" i="22"/>
  <c r="K13" i="22"/>
  <c r="J14" i="22"/>
  <c r="K14" i="22"/>
  <c r="J15" i="22"/>
  <c r="K15" i="22"/>
  <c r="J16" i="22"/>
  <c r="K16" i="22"/>
  <c r="J17" i="22"/>
  <c r="K17" i="22"/>
  <c r="J18" i="22"/>
  <c r="K18" i="22"/>
  <c r="J19" i="22"/>
  <c r="K19" i="22"/>
  <c r="J20" i="22"/>
  <c r="K20" i="22"/>
  <c r="J21" i="22"/>
  <c r="K21" i="22"/>
  <c r="J22" i="22"/>
  <c r="K22" i="22"/>
  <c r="J23" i="22"/>
  <c r="K23" i="22"/>
  <c r="B28" i="22"/>
  <c r="B29" i="22"/>
  <c r="B30" i="22"/>
  <c r="B35" i="18"/>
  <c r="B33" i="18"/>
  <c r="G7" i="23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6" i="22"/>
  <c r="C5" i="22"/>
  <c r="C4" i="22"/>
  <c r="C3" i="22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J25" i="20"/>
  <c r="K25" i="20"/>
  <c r="J24" i="20"/>
  <c r="K24" i="20"/>
  <c r="J23" i="20"/>
  <c r="K23" i="20"/>
  <c r="J22" i="20"/>
  <c r="K22" i="20"/>
  <c r="J21" i="20"/>
  <c r="K21" i="20"/>
  <c r="J20" i="20"/>
  <c r="K20" i="20"/>
  <c r="J19" i="20"/>
  <c r="K19" i="20"/>
  <c r="J18" i="20"/>
  <c r="K18" i="20"/>
  <c r="J17" i="20"/>
  <c r="K17" i="20"/>
  <c r="J16" i="20"/>
  <c r="K16" i="20"/>
  <c r="J15" i="20"/>
  <c r="K15" i="20"/>
  <c r="J14" i="20"/>
  <c r="K14" i="20"/>
  <c r="J13" i="20"/>
  <c r="K13" i="20"/>
  <c r="J12" i="20"/>
  <c r="K12" i="20"/>
  <c r="J11" i="20"/>
  <c r="K11" i="20"/>
  <c r="J10" i="20"/>
  <c r="K10" i="20"/>
  <c r="J9" i="20"/>
  <c r="K9" i="20"/>
  <c r="J8" i="20"/>
  <c r="K8" i="20"/>
  <c r="J7" i="20"/>
  <c r="K7" i="20"/>
  <c r="J6" i="20"/>
  <c r="K6" i="20"/>
  <c r="J5" i="20"/>
  <c r="K5" i="20"/>
  <c r="J4" i="20"/>
  <c r="K4" i="20"/>
  <c r="J24" i="10"/>
  <c r="K24" i="10"/>
  <c r="L23" i="10"/>
  <c r="B32" i="20"/>
  <c r="J23" i="10"/>
  <c r="L22" i="10"/>
  <c r="K23" i="10"/>
  <c r="J22" i="10"/>
  <c r="L21" i="10"/>
  <c r="K22" i="10"/>
  <c r="J21" i="10"/>
  <c r="L20" i="10"/>
  <c r="K21" i="10"/>
  <c r="J20" i="10"/>
  <c r="L19" i="10"/>
  <c r="K20" i="10"/>
  <c r="J19" i="10"/>
  <c r="L18" i="10"/>
  <c r="K19" i="10"/>
  <c r="J18" i="10"/>
  <c r="L17" i="10"/>
  <c r="K18" i="10"/>
  <c r="J17" i="10"/>
  <c r="L16" i="10"/>
  <c r="K17" i="10"/>
  <c r="J16" i="10"/>
  <c r="L15" i="10"/>
  <c r="K16" i="10"/>
  <c r="J15" i="10"/>
  <c r="L14" i="10"/>
  <c r="K15" i="10"/>
  <c r="J14" i="10"/>
  <c r="L13" i="10"/>
  <c r="K14" i="10"/>
  <c r="J13" i="10"/>
  <c r="L12" i="10"/>
  <c r="K13" i="10"/>
  <c r="J12" i="10"/>
  <c r="L11" i="10"/>
  <c r="K12" i="10"/>
  <c r="J11" i="10"/>
  <c r="L10" i="10"/>
  <c r="K11" i="10"/>
  <c r="J10" i="10"/>
  <c r="L9" i="10"/>
  <c r="K10" i="10"/>
  <c r="J9" i="10"/>
  <c r="L8" i="10"/>
  <c r="K9" i="10"/>
  <c r="J8" i="10"/>
  <c r="L7" i="10"/>
  <c r="K8" i="10"/>
  <c r="J7" i="10"/>
  <c r="L6" i="10"/>
  <c r="K7" i="10"/>
  <c r="J6" i="10"/>
  <c r="L5" i="10"/>
  <c r="K6" i="10"/>
  <c r="J5" i="10"/>
  <c r="L4" i="10"/>
  <c r="K5" i="10"/>
  <c r="J4" i="10"/>
  <c r="L3" i="10"/>
  <c r="K4" i="10"/>
  <c r="J3" i="10"/>
  <c r="L2" i="10"/>
  <c r="K3" i="10"/>
  <c r="G18" i="8"/>
  <c r="D27" i="18"/>
  <c r="K7" i="8"/>
  <c r="D28" i="18"/>
  <c r="D29" i="18"/>
  <c r="E15" i="8"/>
  <c r="C27" i="18"/>
  <c r="I6" i="8"/>
  <c r="C28" i="18"/>
  <c r="C29" i="18"/>
  <c r="A30" i="8"/>
  <c r="B27" i="18"/>
  <c r="C10" i="8"/>
  <c r="B28" i="18"/>
  <c r="B29" i="18"/>
  <c r="D26" i="18"/>
  <c r="C26" i="18"/>
  <c r="B26" i="18"/>
  <c r="E5" i="7"/>
  <c r="D21" i="18"/>
  <c r="D5" i="7"/>
  <c r="C21" i="18"/>
  <c r="C5" i="7"/>
  <c r="B21" i="18"/>
  <c r="K7" i="6"/>
  <c r="G18" i="6"/>
  <c r="D15" i="18"/>
  <c r="D16" i="18"/>
  <c r="D17" i="18"/>
  <c r="E15" i="6"/>
  <c r="C15" i="18"/>
  <c r="I6" i="6"/>
  <c r="C16" i="18"/>
  <c r="C17" i="18"/>
  <c r="A2" i="6"/>
  <c r="A30" i="6"/>
  <c r="B15" i="18"/>
  <c r="C10" i="6"/>
  <c r="B16" i="18"/>
  <c r="B17" i="18"/>
  <c r="B14" i="18"/>
  <c r="D14" i="18"/>
  <c r="C14" i="18"/>
  <c r="A2" i="5"/>
  <c r="A30" i="5"/>
  <c r="G16" i="5"/>
  <c r="K7" i="5"/>
  <c r="D11" i="18"/>
  <c r="E2" i="5"/>
  <c r="E16" i="5"/>
  <c r="C10" i="18"/>
  <c r="I5" i="5"/>
  <c r="C11" i="18"/>
  <c r="C12" i="18"/>
  <c r="B11" i="18"/>
  <c r="C9" i="18"/>
  <c r="C10" i="5"/>
  <c r="D20" i="18"/>
  <c r="D6" i="18"/>
  <c r="C6" i="18"/>
  <c r="B6" i="18"/>
  <c r="A32" i="3"/>
  <c r="B10" i="18"/>
  <c r="B9" i="18"/>
  <c r="D10" i="18"/>
  <c r="D9" i="18"/>
  <c r="B12" i="18"/>
  <c r="D12" i="18"/>
  <c r="B33" i="20"/>
  <c r="B36" i="18"/>
  <c r="B38" i="18"/>
  <c r="B31" i="10"/>
  <c r="B34" i="18"/>
  <c r="C30" i="10"/>
  <c r="C31" i="10"/>
</calcChain>
</file>

<file path=xl/sharedStrings.xml><?xml version="1.0" encoding="utf-8"?>
<sst xmlns="http://schemas.openxmlformats.org/spreadsheetml/2006/main" count="544" uniqueCount="112">
  <si>
    <t>Trade history</t>
  </si>
  <si>
    <t>Transaction ID</t>
  </si>
  <si>
    <t>Side</t>
  </si>
  <si>
    <t>Currency Pair</t>
  </si>
  <si>
    <t>Amount</t>
  </si>
  <si>
    <t>Rate</t>
  </si>
  <si>
    <t>Trade time</t>
  </si>
  <si>
    <t>BUY</t>
  </si>
  <si>
    <t>EUR/USD</t>
  </si>
  <si>
    <t>SELL</t>
  </si>
  <si>
    <t>USD/JPY</t>
  </si>
  <si>
    <t>OIL/USD</t>
  </si>
  <si>
    <t>XAU/USD</t>
  </si>
  <si>
    <t>GBP/USD</t>
  </si>
  <si>
    <t>USD/CHF</t>
  </si>
  <si>
    <t>Cash History</t>
  </si>
  <si>
    <t>Transaction Type</t>
  </si>
  <si>
    <t>Transaction Date</t>
  </si>
  <si>
    <t>Conversion Rate</t>
  </si>
  <si>
    <t>Balance</t>
  </si>
  <si>
    <t>PROFIT AND LOSS</t>
  </si>
  <si>
    <t>DEPOSIT</t>
  </si>
  <si>
    <t>Gross Profit</t>
  </si>
  <si>
    <t>Gross Loss</t>
  </si>
  <si>
    <t>Total Net Profit</t>
  </si>
  <si>
    <t>ALL TRADES</t>
  </si>
  <si>
    <t>LONG-TRADES</t>
  </si>
  <si>
    <t>SHORT-TRADES</t>
  </si>
  <si>
    <t>Profit Factor</t>
  </si>
  <si>
    <t>Select Total Net Profit</t>
  </si>
  <si>
    <t>Select Gross Profit</t>
  </si>
  <si>
    <t>Select Gross Loss</t>
  </si>
  <si>
    <t>Select Profit Factor</t>
  </si>
  <si>
    <t>Adjusted Total Net Profit</t>
  </si>
  <si>
    <t>Adjusted Gross Profit</t>
  </si>
  <si>
    <t>Adjusted Gross Loss</t>
  </si>
  <si>
    <t>Adjusted Profit Factor</t>
  </si>
  <si>
    <t>Total Number of Trades</t>
  </si>
  <si>
    <t>Percent Profitable</t>
  </si>
  <si>
    <t>Winning Trades</t>
  </si>
  <si>
    <t>Losing Trades</t>
  </si>
  <si>
    <t>Even Trades</t>
  </si>
  <si>
    <t>Avg. Net Profit</t>
  </si>
  <si>
    <t>Avg. Winning Trades</t>
  </si>
  <si>
    <t>Avg. Losing Trade</t>
  </si>
  <si>
    <t>Ratio Avg. Winning/Avg. Losing</t>
  </si>
  <si>
    <t>Max. Consecutive Winning Trades</t>
  </si>
  <si>
    <t>Max. Consecutive Losing Trades</t>
  </si>
  <si>
    <t>Sharpe Ratio</t>
  </si>
  <si>
    <t>Short Trades</t>
  </si>
  <si>
    <t>Toteal Net Profit</t>
  </si>
  <si>
    <t>Long Trades</t>
  </si>
  <si>
    <t>Ausreisser Select Gross Profit</t>
  </si>
  <si>
    <t>Select Gross Profit Short Trades</t>
  </si>
  <si>
    <t>Select Gross Profit Long Trades</t>
  </si>
  <si>
    <t>Ausreisser Select Gross Loss</t>
  </si>
  <si>
    <t>Select Gross Loss Long Trades</t>
  </si>
  <si>
    <t>Select Gross Loss Short Trades</t>
  </si>
  <si>
    <t xml:space="preserve">Adjusted Gross Profit Long </t>
  </si>
  <si>
    <t>Adjusted Gross Loss Short</t>
  </si>
  <si>
    <t>Adjusted Gross Profit Short</t>
  </si>
  <si>
    <t xml:space="preserve">Adjusted Gross Loss Long </t>
  </si>
  <si>
    <t>Rot = Ausreisser</t>
  </si>
  <si>
    <t>Percent profitable</t>
  </si>
  <si>
    <t>Long</t>
  </si>
  <si>
    <t>Short</t>
  </si>
  <si>
    <t>Avg.Winning Trade</t>
  </si>
  <si>
    <t>Avg. Winning Trade Long</t>
  </si>
  <si>
    <t>Avg. Winning Trade Short</t>
  </si>
  <si>
    <t>Avg. Losing Trade Long</t>
  </si>
  <si>
    <t>Avg. Losing Trade Short</t>
  </si>
  <si>
    <t>Treyner Ratio</t>
  </si>
  <si>
    <t>Information Ratio</t>
  </si>
  <si>
    <t>Jensen Alpha</t>
  </si>
  <si>
    <t>Datum</t>
  </si>
  <si>
    <t>Eonia Tagessätze</t>
  </si>
  <si>
    <t>Stetig</t>
  </si>
  <si>
    <t>EK -Wert</t>
  </si>
  <si>
    <t>Stetig Tagesrenditen des EK's</t>
  </si>
  <si>
    <t>Durchschnittsrenditen</t>
  </si>
  <si>
    <t>Mittelwert Tagesrenditen</t>
  </si>
  <si>
    <t>Mittelwert RZ (Ein tag)</t>
  </si>
  <si>
    <t>Standardabw.</t>
  </si>
  <si>
    <t>S&amp;P 500 Erröffnungskurs</t>
  </si>
  <si>
    <t>Schlusskurs</t>
  </si>
  <si>
    <t>Diskret</t>
  </si>
  <si>
    <t>Mittelwert RZ</t>
  </si>
  <si>
    <t>Beta</t>
  </si>
  <si>
    <t>Treynor Ratio</t>
  </si>
  <si>
    <t>Tracker Error</t>
  </si>
  <si>
    <t>Beta Faktor</t>
  </si>
  <si>
    <t>Mittelwert benchmarkrendite</t>
  </si>
  <si>
    <t>Jensen alpha</t>
  </si>
  <si>
    <t>Mittelwert Benchmarkrendite</t>
  </si>
  <si>
    <t>Mittelwert Portf.rendite</t>
  </si>
  <si>
    <t>((ri-rbm)-(μ-μbm))^2</t>
  </si>
  <si>
    <t>Tracking Error</t>
  </si>
  <si>
    <t>Mittelwert Portfoliorendite</t>
  </si>
  <si>
    <t>Date</t>
  </si>
  <si>
    <t>Max unrealized Drawdown</t>
  </si>
  <si>
    <t>Drawdown</t>
  </si>
  <si>
    <t>Max. Open Trade Drawdown (relativ)</t>
  </si>
  <si>
    <t>Max. Closed Trade Drawdown (absolut)</t>
  </si>
  <si>
    <t>Return on Investment</t>
  </si>
  <si>
    <t>Performancemessung</t>
  </si>
  <si>
    <t>Summe</t>
  </si>
  <si>
    <t>Total Net Profit Long</t>
  </si>
  <si>
    <t>Annualsierte Sharpe Ratio</t>
  </si>
  <si>
    <t>Differenz</t>
  </si>
  <si>
    <t>Annualisiert</t>
  </si>
  <si>
    <t>Welches stimmt?</t>
  </si>
  <si>
    <t>Differenzrechnung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</si>
</sst>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F400]h:mm:ss\ AM/PM"/>
    <numFmt numFmtId="165" formatCode="#,##0.000000000000000000"/>
    <numFmt numFmtId="167" formatCode="#,##0.0000000000000000"/>
    <numFmt numFmtId="168" formatCode="&quot;SFr.&quot;\ #,##0.00"/>
  </numFmts>
  <fonts count="26" x14ac:knownFonts="1">
    <font>
      <sz val="12"/>
      <color theme="1"/>
      <name val="Calibri"/>
      <family val="2"/>
      <scheme val="minor"/>
    </font>
    <font>
      <b/>
      <sz val="13"/>
      <color rgb="FF000000"/>
      <name val="Arial"/>
    </font>
    <font>
      <sz val="12"/>
      <color rgb="FF000000"/>
      <name val="Arial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u/>
      <sz val="12"/>
      <color theme="1"/>
      <name val="Calibri"/>
      <scheme val="minor"/>
    </font>
    <font>
      <sz val="12"/>
      <color theme="3" tint="0.39997558519241921"/>
      <name val="Arial"/>
    </font>
    <font>
      <sz val="12"/>
      <color rgb="FFFF0000"/>
      <name val="Arial"/>
    </font>
    <font>
      <sz val="12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538DD5"/>
      <name val="Arial"/>
    </font>
    <font>
      <sz val="12"/>
      <name val="Arial"/>
    </font>
    <font>
      <b/>
      <sz val="14"/>
      <color theme="1"/>
      <name val="Calibri"/>
      <scheme val="minor"/>
    </font>
    <font>
      <sz val="8"/>
      <name val="Calibri"/>
      <family val="2"/>
      <scheme val="minor"/>
    </font>
    <font>
      <b/>
      <sz val="13"/>
      <name val="Verdana"/>
    </font>
    <font>
      <sz val="12"/>
      <name val="Calibri"/>
      <family val="2"/>
      <scheme val="minor"/>
    </font>
    <font>
      <b/>
      <sz val="13"/>
      <name val="Arial"/>
    </font>
    <font>
      <b/>
      <sz val="12"/>
      <color rgb="FF000000"/>
      <name val="Calibri"/>
      <scheme val="minor"/>
    </font>
    <font>
      <b/>
      <sz val="12"/>
      <color rgb="FFFF0000"/>
      <name val="Calibri"/>
      <scheme val="minor"/>
    </font>
    <font>
      <b/>
      <sz val="12"/>
      <color rgb="FF141413"/>
      <name val="Calibri"/>
      <scheme val="minor"/>
    </font>
    <font>
      <b/>
      <sz val="12"/>
      <name val="Calibri"/>
      <scheme val="minor"/>
    </font>
    <font>
      <sz val="12"/>
      <color theme="1"/>
      <name val="Cambria"/>
    </font>
    <font>
      <sz val="12"/>
      <color rgb="FF000000"/>
      <name val="Times New Roman"/>
    </font>
    <font>
      <sz val="12"/>
      <color indexed="206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89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01">
    <xf numFmtId="0" fontId="0" fillId="0" borderId="0" xfId="0"/>
    <xf numFmtId="0" fontId="1" fillId="0" borderId="0" xfId="0" applyFont="1"/>
    <xf numFmtId="0" fontId="2" fillId="0" borderId="0" xfId="0" applyFont="1"/>
    <xf numFmtId="22" fontId="2" fillId="0" borderId="0" xfId="0" applyNumberFormat="1" applyFont="1"/>
    <xf numFmtId="4" fontId="2" fillId="0" borderId="0" xfId="0" applyNumberFormat="1" applyFont="1"/>
    <xf numFmtId="4" fontId="0" fillId="0" borderId="0" xfId="0" applyNumberFormat="1"/>
    <xf numFmtId="0" fontId="4" fillId="0" borderId="0" xfId="0" applyFont="1"/>
    <xf numFmtId="4" fontId="7" fillId="0" borderId="0" xfId="0" applyNumberFormat="1" applyFont="1"/>
    <xf numFmtId="0" fontId="8" fillId="0" borderId="0" xfId="0" applyFont="1"/>
    <xf numFmtId="0" fontId="3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3" fontId="12" fillId="0" borderId="0" xfId="0" applyNumberFormat="1" applyFont="1"/>
    <xf numFmtId="22" fontId="12" fillId="0" borderId="0" xfId="0" applyNumberFormat="1" applyFont="1"/>
    <xf numFmtId="0" fontId="13" fillId="0" borderId="0" xfId="0" applyFont="1"/>
    <xf numFmtId="0" fontId="14" fillId="0" borderId="0" xfId="0" applyFont="1"/>
    <xf numFmtId="0" fontId="12" fillId="0" borderId="1" xfId="0" applyFont="1" applyBorder="1"/>
    <xf numFmtId="0" fontId="12" fillId="0" borderId="2" xfId="0" applyFont="1" applyBorder="1"/>
    <xf numFmtId="22" fontId="12" fillId="0" borderId="3" xfId="0" applyNumberFormat="1" applyFont="1" applyBorder="1"/>
    <xf numFmtId="0" fontId="12" fillId="0" borderId="4" xfId="0" applyFont="1" applyBorder="1"/>
    <xf numFmtId="0" fontId="12" fillId="0" borderId="0" xfId="0" applyFont="1" applyBorder="1"/>
    <xf numFmtId="22" fontId="12" fillId="0" borderId="5" xfId="0" applyNumberFormat="1" applyFont="1" applyBorder="1"/>
    <xf numFmtId="0" fontId="12" fillId="0" borderId="6" xfId="0" applyFont="1" applyBorder="1"/>
    <xf numFmtId="0" fontId="12" fillId="0" borderId="7" xfId="0" applyFont="1" applyBorder="1"/>
    <xf numFmtId="22" fontId="12" fillId="0" borderId="8" xfId="0" applyNumberFormat="1" applyFont="1" applyBorder="1"/>
    <xf numFmtId="3" fontId="12" fillId="0" borderId="2" xfId="0" applyNumberFormat="1" applyFont="1" applyBorder="1"/>
    <xf numFmtId="4" fontId="12" fillId="0" borderId="0" xfId="0" applyNumberFormat="1" applyFont="1" applyBorder="1"/>
    <xf numFmtId="3" fontId="12" fillId="0" borderId="0" xfId="0" applyNumberFormat="1" applyFont="1" applyBorder="1"/>
    <xf numFmtId="4" fontId="12" fillId="0" borderId="7" xfId="0" applyNumberFormat="1" applyFont="1" applyBorder="1"/>
    <xf numFmtId="4" fontId="12" fillId="0" borderId="2" xfId="0" applyNumberFormat="1" applyFont="1" applyBorder="1"/>
    <xf numFmtId="3" fontId="12" fillId="0" borderId="7" xfId="0" applyNumberFormat="1" applyFont="1" applyBorder="1"/>
    <xf numFmtId="0" fontId="12" fillId="0" borderId="9" xfId="0" applyFont="1" applyBorder="1"/>
    <xf numFmtId="0" fontId="12" fillId="0" borderId="10" xfId="0" applyFont="1" applyBorder="1"/>
    <xf numFmtId="3" fontId="12" fillId="0" borderId="10" xfId="0" applyNumberFormat="1" applyFont="1" applyBorder="1"/>
    <xf numFmtId="22" fontId="12" fillId="0" borderId="11" xfId="0" applyNumberFormat="1" applyFont="1" applyBorder="1"/>
    <xf numFmtId="0" fontId="8" fillId="0" borderId="2" xfId="0" applyFont="1" applyBorder="1"/>
    <xf numFmtId="3" fontId="8" fillId="0" borderId="2" xfId="0" applyNumberFormat="1" applyFont="1" applyBorder="1"/>
    <xf numFmtId="22" fontId="8" fillId="0" borderId="3" xfId="0" applyNumberFormat="1" applyFont="1" applyBorder="1"/>
    <xf numFmtId="0" fontId="16" fillId="0" borderId="0" xfId="0" applyFont="1"/>
    <xf numFmtId="0" fontId="17" fillId="0" borderId="0" xfId="0" applyFont="1"/>
    <xf numFmtId="0" fontId="18" fillId="0" borderId="0" xfId="0" applyFont="1"/>
    <xf numFmtId="3" fontId="13" fillId="0" borderId="0" xfId="0" applyNumberFormat="1" applyFont="1"/>
    <xf numFmtId="22" fontId="13" fillId="0" borderId="0" xfId="0" applyNumberFormat="1" applyFont="1"/>
    <xf numFmtId="4" fontId="13" fillId="0" borderId="0" xfId="0" applyNumberFormat="1" applyFont="1"/>
    <xf numFmtId="0" fontId="8" fillId="0" borderId="9" xfId="0" applyFont="1" applyBorder="1"/>
    <xf numFmtId="0" fontId="8" fillId="0" borderId="10" xfId="0" applyFont="1" applyBorder="1"/>
    <xf numFmtId="0" fontId="9" fillId="0" borderId="1" xfId="0" applyFont="1" applyBorder="1"/>
    <xf numFmtId="0" fontId="9" fillId="0" borderId="2" xfId="0" applyFont="1" applyBorder="1"/>
    <xf numFmtId="3" fontId="9" fillId="0" borderId="2" xfId="0" applyNumberFormat="1" applyFont="1" applyBorder="1"/>
    <xf numFmtId="22" fontId="9" fillId="0" borderId="3" xfId="0" applyNumberFormat="1" applyFont="1" applyBorder="1"/>
    <xf numFmtId="0" fontId="9" fillId="0" borderId="6" xfId="0" applyFont="1" applyBorder="1"/>
    <xf numFmtId="0" fontId="9" fillId="0" borderId="7" xfId="0" applyFont="1" applyBorder="1"/>
    <xf numFmtId="3" fontId="9" fillId="0" borderId="7" xfId="0" applyNumberFormat="1" applyFont="1" applyBorder="1"/>
    <xf numFmtId="22" fontId="9" fillId="0" borderId="8" xfId="0" applyNumberFormat="1" applyFont="1" applyBorder="1"/>
    <xf numFmtId="4" fontId="9" fillId="0" borderId="2" xfId="0" applyNumberFormat="1" applyFont="1" applyBorder="1"/>
    <xf numFmtId="0" fontId="9" fillId="0" borderId="4" xfId="0" applyFont="1" applyBorder="1"/>
    <xf numFmtId="0" fontId="9" fillId="0" borderId="0" xfId="0" applyFont="1" applyBorder="1"/>
    <xf numFmtId="4" fontId="9" fillId="0" borderId="0" xfId="0" applyNumberFormat="1" applyFont="1" applyBorder="1"/>
    <xf numFmtId="22" fontId="9" fillId="0" borderId="5" xfId="0" applyNumberFormat="1" applyFont="1" applyBorder="1"/>
    <xf numFmtId="3" fontId="9" fillId="0" borderId="0" xfId="0" applyNumberFormat="1" applyFont="1" applyBorder="1"/>
    <xf numFmtId="4" fontId="9" fillId="0" borderId="7" xfId="0" applyNumberFormat="1" applyFont="1" applyBorder="1"/>
    <xf numFmtId="0" fontId="9" fillId="2" borderId="4" xfId="0" applyFont="1" applyFill="1" applyBorder="1"/>
    <xf numFmtId="0" fontId="9" fillId="2" borderId="0" xfId="0" applyFont="1" applyFill="1" applyBorder="1"/>
    <xf numFmtId="3" fontId="9" fillId="2" borderId="0" xfId="0" applyNumberFormat="1" applyFont="1" applyFill="1" applyBorder="1"/>
    <xf numFmtId="22" fontId="9" fillId="2" borderId="5" xfId="0" applyNumberFormat="1" applyFont="1" applyFill="1" applyBorder="1"/>
    <xf numFmtId="0" fontId="9" fillId="0" borderId="9" xfId="0" applyFont="1" applyBorder="1"/>
    <xf numFmtId="0" fontId="9" fillId="0" borderId="10" xfId="0" applyFont="1" applyBorder="1"/>
    <xf numFmtId="3" fontId="9" fillId="0" borderId="10" xfId="0" applyNumberFormat="1" applyFont="1" applyBorder="1"/>
    <xf numFmtId="22" fontId="9" fillId="0" borderId="11" xfId="0" applyNumberFormat="1" applyFont="1" applyBorder="1"/>
    <xf numFmtId="0" fontId="11" fillId="0" borderId="0" xfId="0" applyFont="1" applyFill="1" applyBorder="1"/>
    <xf numFmtId="0" fontId="19" fillId="0" borderId="0" xfId="0" applyFont="1"/>
    <xf numFmtId="4" fontId="19" fillId="0" borderId="0" xfId="0" applyNumberFormat="1" applyFont="1"/>
    <xf numFmtId="4" fontId="4" fillId="0" borderId="0" xfId="0" applyNumberFormat="1" applyFont="1"/>
    <xf numFmtId="0" fontId="20" fillId="0" borderId="0" xfId="0" applyFont="1"/>
    <xf numFmtId="0" fontId="17" fillId="0" borderId="0" xfId="0" applyFont="1" applyFill="1" applyBorder="1"/>
    <xf numFmtId="0" fontId="0" fillId="0" borderId="0" xfId="0" applyFont="1"/>
    <xf numFmtId="0" fontId="21" fillId="0" borderId="0" xfId="0" applyFont="1" applyAlignment="1">
      <alignment horizontal="left" vertical="center" indent="2"/>
    </xf>
    <xf numFmtId="0" fontId="22" fillId="0" borderId="0" xfId="0" applyFont="1"/>
    <xf numFmtId="10" fontId="0" fillId="0" borderId="0" xfId="0" applyNumberFormat="1"/>
    <xf numFmtId="0" fontId="10" fillId="0" borderId="0" xfId="0" applyFont="1" applyFill="1" applyBorder="1"/>
    <xf numFmtId="0" fontId="3" fillId="0" borderId="0" xfId="0" applyFont="1" applyFill="1" applyBorder="1"/>
    <xf numFmtId="164" fontId="0" fillId="0" borderId="0" xfId="0" applyNumberFormat="1"/>
    <xf numFmtId="21" fontId="11" fillId="0" borderId="0" xfId="0" applyNumberFormat="1" applyFont="1"/>
    <xf numFmtId="20" fontId="11" fillId="0" borderId="0" xfId="0" applyNumberFormat="1" applyFont="1"/>
    <xf numFmtId="20" fontId="0" fillId="0" borderId="0" xfId="0" applyNumberFormat="1" applyFont="1"/>
    <xf numFmtId="14" fontId="0" fillId="0" borderId="0" xfId="0" applyNumberFormat="1"/>
    <xf numFmtId="165" fontId="0" fillId="0" borderId="0" xfId="0" applyNumberFormat="1"/>
    <xf numFmtId="14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10" fontId="0" fillId="0" borderId="0" xfId="0" applyNumberFormat="1" applyAlignment="1">
      <alignment vertical="center" wrapText="1"/>
    </xf>
    <xf numFmtId="0" fontId="0" fillId="0" borderId="0" xfId="0" applyAlignment="1">
      <alignment vertical="center"/>
    </xf>
    <xf numFmtId="3" fontId="0" fillId="0" borderId="0" xfId="0" applyNumberFormat="1"/>
    <xf numFmtId="167" fontId="0" fillId="0" borderId="0" xfId="0" applyNumberFormat="1"/>
    <xf numFmtId="0" fontId="23" fillId="0" borderId="0" xfId="0" applyFont="1" applyAlignment="1">
      <alignment horizontal="left" vertical="center" indent="4"/>
    </xf>
    <xf numFmtId="0" fontId="24" fillId="0" borderId="0" xfId="0" applyFont="1" applyAlignment="1">
      <alignment horizontal="left" vertical="center" indent="4"/>
    </xf>
    <xf numFmtId="0" fontId="25" fillId="0" borderId="0" xfId="0" applyFont="1"/>
    <xf numFmtId="0" fontId="0" fillId="0" borderId="0" xfId="0" applyAlignment="1">
      <alignment horizontal="left" vertical="center" indent="4"/>
    </xf>
    <xf numFmtId="165" fontId="4" fillId="0" borderId="0" xfId="0" applyNumberFormat="1" applyFont="1"/>
    <xf numFmtId="168" fontId="4" fillId="0" borderId="0" xfId="0" applyNumberFormat="1" applyFont="1"/>
    <xf numFmtId="10" fontId="4" fillId="0" borderId="0" xfId="0" applyNumberFormat="1" applyFont="1"/>
  </cellXfs>
  <cellStyles count="289">
    <cellStyle name="Besuchter Link" xfId="2" builtinId="9" hidden="1"/>
    <cellStyle name="Besuchter Link" xfId="4" builtinId="9" hidden="1"/>
    <cellStyle name="Besuchter Link" xfId="6" builtinId="9" hidden="1"/>
    <cellStyle name="Besuchter Link" xfId="8" builtinId="9" hidden="1"/>
    <cellStyle name="Besuchter Link" xfId="10" builtinId="9" hidden="1"/>
    <cellStyle name="Besuchter Link" xfId="12" builtinId="9" hidden="1"/>
    <cellStyle name="Besuchter Link" xfId="14" builtinId="9" hidden="1"/>
    <cellStyle name="Besuchter Link" xfId="16" builtinId="9" hidden="1"/>
    <cellStyle name="Besuchter Link" xfId="18" builtinId="9" hidden="1"/>
    <cellStyle name="Besuchter Link" xfId="20" builtinId="9" hidden="1"/>
    <cellStyle name="Besuchter Link" xfId="22" builtinId="9" hidden="1"/>
    <cellStyle name="Besuchter Link" xfId="24" builtinId="9" hidden="1"/>
    <cellStyle name="Besuchter Link" xfId="26" builtinId="9" hidden="1"/>
    <cellStyle name="Besuchter Link" xfId="28" builtinId="9" hidden="1"/>
    <cellStyle name="Besuchter Link" xfId="30" builtinId="9" hidden="1"/>
    <cellStyle name="Besuchter Link" xfId="32" builtinId="9" hidden="1"/>
    <cellStyle name="Besuchter Link" xfId="34" builtinId="9" hidden="1"/>
    <cellStyle name="Besuchter Link" xfId="36" builtinId="9" hidden="1"/>
    <cellStyle name="Besuchter Link" xfId="38" builtinId="9" hidden="1"/>
    <cellStyle name="Besuchter Link" xfId="40" builtinId="9" hidden="1"/>
    <cellStyle name="Besuchter Link" xfId="42" builtinId="9" hidden="1"/>
    <cellStyle name="Besuchter Link" xfId="44" builtinId="9" hidden="1"/>
    <cellStyle name="Besuchter Link" xfId="46" builtinId="9" hidden="1"/>
    <cellStyle name="Besuchter Link" xfId="48" builtinId="9" hidden="1"/>
    <cellStyle name="Besuchter Link" xfId="50" builtinId="9" hidden="1"/>
    <cellStyle name="Besuchter Link" xfId="52" builtinId="9" hidden="1"/>
    <cellStyle name="Besuchter Link" xfId="54" builtinId="9" hidden="1"/>
    <cellStyle name="Besuchter Link" xfId="56" builtinId="9" hidden="1"/>
    <cellStyle name="Besuchter Link" xfId="58" builtinId="9" hidden="1"/>
    <cellStyle name="Besuchter Link" xfId="60" builtinId="9" hidden="1"/>
    <cellStyle name="Besuchter Link" xfId="62" builtinId="9" hidden="1"/>
    <cellStyle name="Besuchter Link" xfId="64" builtinId="9" hidden="1"/>
    <cellStyle name="Besuchter Link" xfId="66" builtinId="9" hidden="1"/>
    <cellStyle name="Besuchter Link" xfId="68" builtinId="9" hidden="1"/>
    <cellStyle name="Besuchter Link" xfId="70" builtinId="9" hidden="1"/>
    <cellStyle name="Besuchter Link" xfId="72" builtinId="9" hidden="1"/>
    <cellStyle name="Besuchter Link" xfId="74" builtinId="9" hidden="1"/>
    <cellStyle name="Besuchter Link" xfId="76" builtinId="9" hidden="1"/>
    <cellStyle name="Besuchter Link" xfId="78" builtinId="9" hidden="1"/>
    <cellStyle name="Besuchter Link" xfId="80" builtinId="9" hidden="1"/>
    <cellStyle name="Besuchter Link" xfId="82" builtinId="9" hidden="1"/>
    <cellStyle name="Besuchter Link" xfId="84" builtinId="9" hidden="1"/>
    <cellStyle name="Besuchter Link" xfId="86" builtinId="9" hidden="1"/>
    <cellStyle name="Besuchter Link" xfId="88" builtinId="9" hidden="1"/>
    <cellStyle name="Besuchter Link" xfId="90" builtinId="9" hidden="1"/>
    <cellStyle name="Besuchter Link" xfId="92" builtinId="9" hidden="1"/>
    <cellStyle name="Besuchter Link" xfId="94" builtinId="9" hidden="1"/>
    <cellStyle name="Besuchter Link" xfId="96" builtinId="9" hidden="1"/>
    <cellStyle name="Besuchter Link" xfId="98" builtinId="9" hidden="1"/>
    <cellStyle name="Besuchter Link" xfId="100" builtinId="9" hidden="1"/>
    <cellStyle name="Besuchter Link" xfId="102" builtinId="9" hidden="1"/>
    <cellStyle name="Besuchter Link" xfId="104" builtinId="9" hidden="1"/>
    <cellStyle name="Besuchter Link" xfId="106" builtinId="9" hidden="1"/>
    <cellStyle name="Besuchter Link" xfId="108" builtinId="9" hidden="1"/>
    <cellStyle name="Besuchter Link" xfId="110" builtinId="9" hidden="1"/>
    <cellStyle name="Besuchter Link" xfId="112" builtinId="9" hidden="1"/>
    <cellStyle name="Besuchter Link" xfId="114" builtinId="9" hidden="1"/>
    <cellStyle name="Besuchter Link" xfId="116" builtinId="9" hidden="1"/>
    <cellStyle name="Besuchter Link" xfId="118" builtinId="9" hidden="1"/>
    <cellStyle name="Besuchter Link" xfId="120" builtinId="9" hidden="1"/>
    <cellStyle name="Besuchter Link" xfId="122" builtinId="9" hidden="1"/>
    <cellStyle name="Besuchter Link" xfId="124" builtinId="9" hidden="1"/>
    <cellStyle name="Besuchter Link" xfId="126" builtinId="9" hidden="1"/>
    <cellStyle name="Besuchter Link" xfId="128" builtinId="9" hidden="1"/>
    <cellStyle name="Besuchter Link" xfId="130" builtinId="9" hidden="1"/>
    <cellStyle name="Besuchter Link" xfId="132" builtinId="9" hidden="1"/>
    <cellStyle name="Besuchter Link" xfId="134" builtinId="9" hidden="1"/>
    <cellStyle name="Besuchter Link" xfId="136" builtinId="9" hidden="1"/>
    <cellStyle name="Besuchter Link" xfId="138" builtinId="9" hidden="1"/>
    <cellStyle name="Besuchter Link" xfId="140" builtinId="9" hidden="1"/>
    <cellStyle name="Besuchter Link" xfId="142" builtinId="9" hidden="1"/>
    <cellStyle name="Besuchter Link" xfId="144" builtinId="9" hidden="1"/>
    <cellStyle name="Besuchter Link" xfId="146" builtinId="9" hidden="1"/>
    <cellStyle name="Besuchter Link" xfId="148" builtinId="9" hidden="1"/>
    <cellStyle name="Besuchter Link" xfId="150" builtinId="9" hidden="1"/>
    <cellStyle name="Besuchter Link" xfId="152" builtinId="9" hidden="1"/>
    <cellStyle name="Besuchter Link" xfId="154" builtinId="9" hidden="1"/>
    <cellStyle name="Besuchter Link" xfId="156" builtinId="9" hidden="1"/>
    <cellStyle name="Besuchter Link" xfId="158" builtinId="9" hidden="1"/>
    <cellStyle name="Besuchter Link" xfId="160" builtinId="9" hidden="1"/>
    <cellStyle name="Besuchter Link" xfId="162" builtinId="9" hidden="1"/>
    <cellStyle name="Besuchter Link" xfId="164" builtinId="9" hidden="1"/>
    <cellStyle name="Besuchter Link" xfId="166" builtinId="9" hidden="1"/>
    <cellStyle name="Besuchter Link" xfId="168" builtinId="9" hidden="1"/>
    <cellStyle name="Besuchter Link" xfId="170" builtinId="9" hidden="1"/>
    <cellStyle name="Besuchter Link" xfId="172" builtinId="9" hidden="1"/>
    <cellStyle name="Besuchter Link" xfId="174" builtinId="9" hidden="1"/>
    <cellStyle name="Besuchter Link" xfId="176" builtinId="9" hidden="1"/>
    <cellStyle name="Besuchter Link" xfId="178" builtinId="9" hidden="1"/>
    <cellStyle name="Besuchter Link" xfId="180" builtinId="9" hidden="1"/>
    <cellStyle name="Besuchter Link" xfId="182" builtinId="9" hidden="1"/>
    <cellStyle name="Besuchter Link" xfId="184" builtinId="9" hidden="1"/>
    <cellStyle name="Besuchter Link" xfId="186" builtinId="9" hidden="1"/>
    <cellStyle name="Besuchter Link" xfId="188" builtinId="9" hidden="1"/>
    <cellStyle name="Besuchter Link" xfId="190" builtinId="9" hidden="1"/>
    <cellStyle name="Besuchter Link" xfId="192" builtinId="9" hidden="1"/>
    <cellStyle name="Besuchter Link" xfId="194" builtinId="9" hidden="1"/>
    <cellStyle name="Besuchter Link" xfId="196" builtinId="9" hidden="1"/>
    <cellStyle name="Besuchter Link" xfId="198" builtinId="9" hidden="1"/>
    <cellStyle name="Besuchter Link" xfId="200" builtinId="9" hidden="1"/>
    <cellStyle name="Besuchter Link" xfId="202" builtinId="9" hidden="1"/>
    <cellStyle name="Besuchter Link" xfId="204" builtinId="9" hidden="1"/>
    <cellStyle name="Besuchter Link" xfId="206" builtinId="9" hidden="1"/>
    <cellStyle name="Besuchter Link" xfId="208" builtinId="9" hidden="1"/>
    <cellStyle name="Besuchter Link" xfId="210" builtinId="9" hidden="1"/>
    <cellStyle name="Besuchter Link" xfId="212" builtinId="9" hidden="1"/>
    <cellStyle name="Besuchter Link" xfId="214" builtinId="9" hidden="1"/>
    <cellStyle name="Besuchter Link" xfId="216" builtinId="9" hidden="1"/>
    <cellStyle name="Besuchter Link" xfId="218" builtinId="9" hidden="1"/>
    <cellStyle name="Besuchter Link" xfId="220" builtinId="9" hidden="1"/>
    <cellStyle name="Besuchter Link" xfId="222" builtinId="9" hidden="1"/>
    <cellStyle name="Besuchter Link" xfId="224" builtinId="9" hidden="1"/>
    <cellStyle name="Besuchter Link" xfId="226" builtinId="9" hidden="1"/>
    <cellStyle name="Besuchter Link" xfId="228" builtinId="9" hidden="1"/>
    <cellStyle name="Besuchter Link" xfId="230" builtinId="9" hidden="1"/>
    <cellStyle name="Besuchter Link" xfId="232" builtinId="9" hidden="1"/>
    <cellStyle name="Besuchter Link" xfId="234" builtinId="9" hidden="1"/>
    <cellStyle name="Besuchter Link" xfId="236" builtinId="9" hidden="1"/>
    <cellStyle name="Besuchter Link" xfId="238" builtinId="9" hidden="1"/>
    <cellStyle name="Besuchter Link" xfId="240" builtinId="9" hidden="1"/>
    <cellStyle name="Besuchter Link" xfId="242" builtinId="9" hidden="1"/>
    <cellStyle name="Besuchter Link" xfId="244" builtinId="9" hidden="1"/>
    <cellStyle name="Besuchter Link" xfId="246" builtinId="9" hidden="1"/>
    <cellStyle name="Besuchter Link" xfId="248" builtinId="9" hidden="1"/>
    <cellStyle name="Besuchter Link" xfId="250" builtinId="9" hidden="1"/>
    <cellStyle name="Besuchter Link" xfId="252" builtinId="9" hidden="1"/>
    <cellStyle name="Besuchter Link" xfId="254" builtinId="9" hidden="1"/>
    <cellStyle name="Besuchter Link" xfId="256" builtinId="9" hidden="1"/>
    <cellStyle name="Besuchter Link" xfId="258" builtinId="9" hidden="1"/>
    <cellStyle name="Besuchter Link" xfId="260" builtinId="9" hidden="1"/>
    <cellStyle name="Besuchter Link" xfId="262" builtinId="9" hidden="1"/>
    <cellStyle name="Besuchter Link" xfId="264" builtinId="9" hidden="1"/>
    <cellStyle name="Besuchter Link" xfId="266" builtinId="9" hidden="1"/>
    <cellStyle name="Besuchter Link" xfId="268" builtinId="9" hidden="1"/>
    <cellStyle name="Besuchter Link" xfId="270" builtinId="9" hidden="1"/>
    <cellStyle name="Besuchter Link" xfId="272" builtinId="9" hidden="1"/>
    <cellStyle name="Besuchter Link" xfId="274" builtinId="9" hidden="1"/>
    <cellStyle name="Besuchter Link" xfId="276" builtinId="9" hidden="1"/>
    <cellStyle name="Besuchter Link" xfId="278" builtinId="9" hidden="1"/>
    <cellStyle name="Besuchter Link" xfId="280" builtinId="9" hidden="1"/>
    <cellStyle name="Besuchter Link" xfId="282" builtinId="9" hidden="1"/>
    <cellStyle name="Besuchter Link" xfId="284" builtinId="9" hidden="1"/>
    <cellStyle name="Besuchter Link" xfId="286" builtinId="9" hidden="1"/>
    <cellStyle name="Besuchter Link" xfId="288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39" builtinId="8" hidden="1"/>
    <cellStyle name="Link" xfId="41" builtinId="8" hidden="1"/>
    <cellStyle name="Link" xfId="43" builtinId="8" hidden="1"/>
    <cellStyle name="Link" xfId="45" builtinId="8" hidden="1"/>
    <cellStyle name="Link" xfId="47" builtinId="8" hidden="1"/>
    <cellStyle name="Link" xfId="49" builtinId="8" hidden="1"/>
    <cellStyle name="Link" xfId="51" builtinId="8" hidden="1"/>
    <cellStyle name="Link" xfId="53" builtinId="8" hidden="1"/>
    <cellStyle name="Link" xfId="55" builtinId="8" hidden="1"/>
    <cellStyle name="Link" xfId="57" builtinId="8" hidden="1"/>
    <cellStyle name="Link" xfId="59" builtinId="8" hidden="1"/>
    <cellStyle name="Link" xfId="61" builtinId="8" hidden="1"/>
    <cellStyle name="Link" xfId="63" builtinId="8" hidden="1"/>
    <cellStyle name="Link" xfId="65" builtinId="8" hidden="1"/>
    <cellStyle name="Link" xfId="67" builtinId="8" hidden="1"/>
    <cellStyle name="Link" xfId="69" builtinId="8" hidden="1"/>
    <cellStyle name="Link" xfId="71" builtinId="8" hidden="1"/>
    <cellStyle name="Link" xfId="73" builtinId="8" hidden="1"/>
    <cellStyle name="Link" xfId="75" builtinId="8" hidden="1"/>
    <cellStyle name="Link" xfId="77" builtinId="8" hidden="1"/>
    <cellStyle name="Link" xfId="79" builtinId="8" hidden="1"/>
    <cellStyle name="Link" xfId="81" builtinId="8" hidden="1"/>
    <cellStyle name="Link" xfId="83" builtinId="8" hidden="1"/>
    <cellStyle name="Link" xfId="85" builtinId="8" hidden="1"/>
    <cellStyle name="Link" xfId="87" builtinId="8" hidden="1"/>
    <cellStyle name="Link" xfId="89" builtinId="8" hidden="1"/>
    <cellStyle name="Link" xfId="91" builtinId="8" hidden="1"/>
    <cellStyle name="Link" xfId="93" builtinId="8" hidden="1"/>
    <cellStyle name="Link" xfId="95" builtinId="8" hidden="1"/>
    <cellStyle name="Link" xfId="97" builtinId="8" hidden="1"/>
    <cellStyle name="Link" xfId="99" builtinId="8" hidden="1"/>
    <cellStyle name="Link" xfId="101" builtinId="8" hidden="1"/>
    <cellStyle name="Link" xfId="103" builtinId="8" hidden="1"/>
    <cellStyle name="Link" xfId="105" builtinId="8" hidden="1"/>
    <cellStyle name="Link" xfId="107" builtinId="8" hidden="1"/>
    <cellStyle name="Link" xfId="109" builtinId="8" hidden="1"/>
    <cellStyle name="Link" xfId="111" builtinId="8" hidden="1"/>
    <cellStyle name="Link" xfId="113" builtinId="8" hidden="1"/>
    <cellStyle name="Link" xfId="115" builtinId="8" hidden="1"/>
    <cellStyle name="Link" xfId="117" builtinId="8" hidden="1"/>
    <cellStyle name="Link" xfId="119" builtinId="8" hidden="1"/>
    <cellStyle name="Link" xfId="121" builtinId="8" hidden="1"/>
    <cellStyle name="Link" xfId="123" builtinId="8" hidden="1"/>
    <cellStyle name="Link" xfId="125" builtinId="8" hidden="1"/>
    <cellStyle name="Link" xfId="127" builtinId="8" hidden="1"/>
    <cellStyle name="Link" xfId="129" builtinId="8" hidden="1"/>
    <cellStyle name="Link" xfId="131" builtinId="8" hidden="1"/>
    <cellStyle name="Link" xfId="133" builtinId="8" hidden="1"/>
    <cellStyle name="Link" xfId="135" builtinId="8" hidden="1"/>
    <cellStyle name="Link" xfId="137" builtinId="8" hidden="1"/>
    <cellStyle name="Link" xfId="139" builtinId="8" hidden="1"/>
    <cellStyle name="Link" xfId="141" builtinId="8" hidden="1"/>
    <cellStyle name="Link" xfId="143" builtinId="8" hidden="1"/>
    <cellStyle name="Link" xfId="145" builtinId="8" hidden="1"/>
    <cellStyle name="Link" xfId="147" builtinId="8" hidden="1"/>
    <cellStyle name="Link" xfId="149" builtinId="8" hidden="1"/>
    <cellStyle name="Link" xfId="151" builtinId="8" hidden="1"/>
    <cellStyle name="Link" xfId="153" builtinId="8" hidden="1"/>
    <cellStyle name="Link" xfId="155" builtinId="8" hidden="1"/>
    <cellStyle name="Link" xfId="157" builtinId="8" hidden="1"/>
    <cellStyle name="Link" xfId="159" builtinId="8" hidden="1"/>
    <cellStyle name="Link" xfId="161" builtinId="8" hidden="1"/>
    <cellStyle name="Link" xfId="163" builtinId="8" hidden="1"/>
    <cellStyle name="Link" xfId="165" builtinId="8" hidden="1"/>
    <cellStyle name="Link" xfId="167" builtinId="8" hidden="1"/>
    <cellStyle name="Link" xfId="169" builtinId="8" hidden="1"/>
    <cellStyle name="Link" xfId="171" builtinId="8" hidden="1"/>
    <cellStyle name="Link" xfId="173" builtinId="8" hidden="1"/>
    <cellStyle name="Link" xfId="175" builtinId="8" hidden="1"/>
    <cellStyle name="Link" xfId="177" builtinId="8" hidden="1"/>
    <cellStyle name="Link" xfId="179" builtinId="8" hidden="1"/>
    <cellStyle name="Link" xfId="181" builtinId="8" hidden="1"/>
    <cellStyle name="Link" xfId="183" builtinId="8" hidden="1"/>
    <cellStyle name="Link" xfId="185" builtinId="8" hidden="1"/>
    <cellStyle name="Link" xfId="187" builtinId="8" hidden="1"/>
    <cellStyle name="Link" xfId="189" builtinId="8" hidden="1"/>
    <cellStyle name="Link" xfId="191" builtinId="8" hidden="1"/>
    <cellStyle name="Link" xfId="193" builtinId="8" hidden="1"/>
    <cellStyle name="Link" xfId="195" builtinId="8" hidden="1"/>
    <cellStyle name="Link" xfId="197" builtinId="8" hidden="1"/>
    <cellStyle name="Link" xfId="199" builtinId="8" hidden="1"/>
    <cellStyle name="Link" xfId="201" builtinId="8" hidden="1"/>
    <cellStyle name="Link" xfId="203" builtinId="8" hidden="1"/>
    <cellStyle name="Link" xfId="205" builtinId="8" hidden="1"/>
    <cellStyle name="Link" xfId="207" builtinId="8" hidden="1"/>
    <cellStyle name="Link" xfId="209" builtinId="8" hidden="1"/>
    <cellStyle name="Link" xfId="211" builtinId="8" hidden="1"/>
    <cellStyle name="Link" xfId="213" builtinId="8" hidden="1"/>
    <cellStyle name="Link" xfId="215" builtinId="8" hidden="1"/>
    <cellStyle name="Link" xfId="217" builtinId="8" hidden="1"/>
    <cellStyle name="Link" xfId="219" builtinId="8" hidden="1"/>
    <cellStyle name="Link" xfId="221" builtinId="8" hidden="1"/>
    <cellStyle name="Link" xfId="223" builtinId="8" hidden="1"/>
    <cellStyle name="Link" xfId="225" builtinId="8" hidden="1"/>
    <cellStyle name="Link" xfId="227" builtinId="8" hidden="1"/>
    <cellStyle name="Link" xfId="229" builtinId="8" hidden="1"/>
    <cellStyle name="Link" xfId="231" builtinId="8" hidden="1"/>
    <cellStyle name="Link" xfId="233" builtinId="8" hidden="1"/>
    <cellStyle name="Link" xfId="235" builtinId="8" hidden="1"/>
    <cellStyle name="Link" xfId="237" builtinId="8" hidden="1"/>
    <cellStyle name="Link" xfId="239" builtinId="8" hidden="1"/>
    <cellStyle name="Link" xfId="241" builtinId="8" hidden="1"/>
    <cellStyle name="Link" xfId="243" builtinId="8" hidden="1"/>
    <cellStyle name="Link" xfId="245" builtinId="8" hidden="1"/>
    <cellStyle name="Link" xfId="247" builtinId="8" hidden="1"/>
    <cellStyle name="Link" xfId="249" builtinId="8" hidden="1"/>
    <cellStyle name="Link" xfId="251" builtinId="8" hidden="1"/>
    <cellStyle name="Link" xfId="253" builtinId="8" hidden="1"/>
    <cellStyle name="Link" xfId="255" builtinId="8" hidden="1"/>
    <cellStyle name="Link" xfId="257" builtinId="8" hidden="1"/>
    <cellStyle name="Link" xfId="259" builtinId="8" hidden="1"/>
    <cellStyle name="Link" xfId="261" builtinId="8" hidden="1"/>
    <cellStyle name="Link" xfId="263" builtinId="8" hidden="1"/>
    <cellStyle name="Link" xfId="265" builtinId="8" hidden="1"/>
    <cellStyle name="Link" xfId="267" builtinId="8" hidden="1"/>
    <cellStyle name="Link" xfId="269" builtinId="8" hidden="1"/>
    <cellStyle name="Link" xfId="271" builtinId="8" hidden="1"/>
    <cellStyle name="Link" xfId="273" builtinId="8" hidden="1"/>
    <cellStyle name="Link" xfId="275" builtinId="8" hidden="1"/>
    <cellStyle name="Link" xfId="277" builtinId="8" hidden="1"/>
    <cellStyle name="Link" xfId="279" builtinId="8" hidden="1"/>
    <cellStyle name="Link" xfId="281" builtinId="8" hidden="1"/>
    <cellStyle name="Link" xfId="283" builtinId="8" hidden="1"/>
    <cellStyle name="Link" xfId="285" builtinId="8" hidden="1"/>
    <cellStyle name="Link" xfId="287" builtinId="8" hidden="1"/>
    <cellStyle name="Standard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Relationship Id="rId1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50800</xdr:rowOff>
    </xdr:from>
    <xdr:to>
      <xdr:col>1</xdr:col>
      <xdr:colOff>812800</xdr:colOff>
      <xdr:row>1</xdr:row>
      <xdr:rowOff>101600</xdr:rowOff>
    </xdr:to>
    <xdr:pic>
      <xdr:nvPicPr>
        <xdr:cNvPr id="12289" name="Picture 1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50800"/>
          <a:ext cx="2692400" cy="241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165100</xdr:colOff>
      <xdr:row>0</xdr:row>
      <xdr:rowOff>50800</xdr:rowOff>
    </xdr:from>
    <xdr:to>
      <xdr:col>0</xdr:col>
      <xdr:colOff>1130300</xdr:colOff>
      <xdr:row>3</xdr:row>
      <xdr:rowOff>0</xdr:rowOff>
    </xdr:to>
    <xdr:pic>
      <xdr:nvPicPr>
        <xdr:cNvPr id="13314" name="Picture 2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" y="50800"/>
          <a:ext cx="965200" cy="520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1651000</xdr:colOff>
      <xdr:row>0</xdr:row>
      <xdr:rowOff>12700</xdr:rowOff>
    </xdr:from>
    <xdr:to>
      <xdr:col>1</xdr:col>
      <xdr:colOff>1028700</xdr:colOff>
      <xdr:row>2</xdr:row>
      <xdr:rowOff>152400</xdr:rowOff>
    </xdr:to>
    <xdr:pic>
      <xdr:nvPicPr>
        <xdr:cNvPr id="13315" name="Picture 3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0" y="12700"/>
          <a:ext cx="1320800" cy="520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1</xdr:col>
      <xdr:colOff>1003300</xdr:colOff>
      <xdr:row>7</xdr:row>
      <xdr:rowOff>165100</xdr:rowOff>
    </xdr:to>
    <xdr:pic>
      <xdr:nvPicPr>
        <xdr:cNvPr id="13316" name="Picture 4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"/>
          <a:ext cx="2946400" cy="736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1003300</xdr:colOff>
      <xdr:row>13</xdr:row>
      <xdr:rowOff>165100</xdr:rowOff>
    </xdr:to>
    <xdr:sp macro="" textlink="">
      <xdr:nvSpPr>
        <xdr:cNvPr id="13317" name="AutoShape 5"/>
        <xdr:cNvSpPr>
          <a:spLocks noChangeAspect="1" noChangeArrowheads="1"/>
        </xdr:cNvSpPr>
      </xdr:nvSpPr>
      <xdr:spPr bwMode="auto">
        <a:xfrm>
          <a:off x="0" y="1905000"/>
          <a:ext cx="2946400" cy="736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lang="de-DE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76200</xdr:rowOff>
    </xdr:from>
    <xdr:to>
      <xdr:col>4</xdr:col>
      <xdr:colOff>12700</xdr:colOff>
      <xdr:row>2</xdr:row>
      <xdr:rowOff>76200</xdr:rowOff>
    </xdr:to>
    <xdr:pic>
      <xdr:nvPicPr>
        <xdr:cNvPr id="15361" name="Picture 1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76200"/>
          <a:ext cx="32893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8"/>
  <sheetViews>
    <sheetView topLeftCell="A12" workbookViewId="0">
      <selection activeCell="B29" sqref="B29"/>
    </sheetView>
  </sheetViews>
  <sheetFormatPr baseColWidth="10" defaultRowHeight="15" x14ac:dyDescent="0"/>
  <cols>
    <col min="1" max="1" width="19.1640625" bestFit="1" customWidth="1"/>
    <col min="2" max="2" width="18.6640625" bestFit="1" customWidth="1"/>
    <col min="3" max="3" width="15.33203125" bestFit="1" customWidth="1"/>
    <col min="4" max="4" width="18.33203125" bestFit="1" customWidth="1"/>
    <col min="5" max="5" width="11" bestFit="1" customWidth="1"/>
    <col min="6" max="6" width="14.6640625" bestFit="1" customWidth="1"/>
    <col min="7" max="7" width="11.1640625" bestFit="1" customWidth="1"/>
    <col min="8" max="8" width="14.6640625" bestFit="1" customWidth="1"/>
    <col min="14" max="14" width="14.6640625" bestFit="1" customWidth="1"/>
  </cols>
  <sheetData>
    <row r="1" spans="1:15" ht="17">
      <c r="A1" s="39" t="s">
        <v>0</v>
      </c>
      <c r="B1" s="40"/>
      <c r="C1" s="40"/>
      <c r="D1" s="40"/>
      <c r="E1" s="40"/>
      <c r="F1" s="40"/>
    </row>
    <row r="2" spans="1:15" ht="16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1" t="s">
        <v>6</v>
      </c>
    </row>
    <row r="3" spans="1:15" s="10" customFormat="1">
      <c r="A3" s="15">
        <v>1233010</v>
      </c>
      <c r="B3" s="15" t="s">
        <v>9</v>
      </c>
      <c r="C3" s="15" t="s">
        <v>11</v>
      </c>
      <c r="D3" s="42">
        <v>-1400</v>
      </c>
      <c r="E3" s="15">
        <v>87.471000000000004</v>
      </c>
      <c r="F3" s="43">
        <v>41123.772939814815</v>
      </c>
      <c r="G3" s="84">
        <v>0.17777777777777778</v>
      </c>
      <c r="H3"/>
      <c r="I3"/>
      <c r="J3"/>
      <c r="K3"/>
      <c r="L3"/>
      <c r="M3"/>
      <c r="N3"/>
      <c r="O3"/>
    </row>
    <row r="4" spans="1:15" s="10" customFormat="1">
      <c r="A4" s="15">
        <v>1233009</v>
      </c>
      <c r="B4" s="15" t="s">
        <v>7</v>
      </c>
      <c r="C4" s="15" t="s">
        <v>11</v>
      </c>
      <c r="D4" s="42">
        <v>1400</v>
      </c>
      <c r="E4" s="15">
        <v>87.430999999999997</v>
      </c>
      <c r="F4" s="43">
        <v>41123.772118055553</v>
      </c>
      <c r="G4"/>
      <c r="H4"/>
      <c r="I4"/>
      <c r="J4"/>
      <c r="K4"/>
      <c r="L4"/>
      <c r="M4"/>
      <c r="N4"/>
      <c r="O4"/>
    </row>
    <row r="5" spans="1:15" s="9" customFormat="1">
      <c r="A5" s="15">
        <v>1233008</v>
      </c>
      <c r="B5" s="15" t="s">
        <v>7</v>
      </c>
      <c r="C5" s="15" t="s">
        <v>11</v>
      </c>
      <c r="D5" s="15">
        <v>500</v>
      </c>
      <c r="E5" s="15">
        <v>87.460999999999999</v>
      </c>
      <c r="F5" s="43">
        <v>41123.771817129629</v>
      </c>
      <c r="G5"/>
      <c r="H5"/>
      <c r="I5"/>
      <c r="J5"/>
      <c r="K5"/>
      <c r="L5"/>
      <c r="M5"/>
      <c r="N5"/>
      <c r="O5"/>
    </row>
    <row r="6" spans="1:15" s="9" customFormat="1">
      <c r="A6" s="15">
        <v>1233007</v>
      </c>
      <c r="B6" s="15" t="s">
        <v>7</v>
      </c>
      <c r="C6" s="15" t="s">
        <v>11</v>
      </c>
      <c r="D6" s="42">
        <v>1000</v>
      </c>
      <c r="E6" s="15">
        <v>87.460999999999999</v>
      </c>
      <c r="F6" s="43">
        <v>41123.771817129629</v>
      </c>
      <c r="G6"/>
      <c r="H6"/>
      <c r="I6"/>
      <c r="J6"/>
      <c r="K6"/>
      <c r="L6"/>
      <c r="M6"/>
      <c r="N6"/>
      <c r="O6"/>
    </row>
    <row r="7" spans="1:15" s="9" customFormat="1">
      <c r="A7" s="15">
        <v>1232850</v>
      </c>
      <c r="B7" s="15" t="s">
        <v>9</v>
      </c>
      <c r="C7" s="15" t="s">
        <v>11</v>
      </c>
      <c r="D7" s="42">
        <v>-1500</v>
      </c>
      <c r="E7" s="15">
        <v>89.072999999999993</v>
      </c>
      <c r="F7" s="43">
        <v>41123.595520833333</v>
      </c>
      <c r="G7"/>
      <c r="H7"/>
      <c r="I7"/>
      <c r="J7"/>
      <c r="K7"/>
      <c r="L7"/>
      <c r="M7"/>
      <c r="N7"/>
      <c r="O7"/>
    </row>
    <row r="8" spans="1:15" s="9" customFormat="1">
      <c r="A8" s="15">
        <v>1232806</v>
      </c>
      <c r="B8" s="15" t="s">
        <v>7</v>
      </c>
      <c r="C8" s="15" t="s">
        <v>12</v>
      </c>
      <c r="D8" s="15">
        <v>100</v>
      </c>
      <c r="E8" s="44">
        <v>1600.4849999999999</v>
      </c>
      <c r="F8" s="43">
        <v>41123.548518518517</v>
      </c>
      <c r="G8" s="84">
        <v>3.5416666666666666E-2</v>
      </c>
      <c r="H8"/>
      <c r="I8"/>
      <c r="J8"/>
      <c r="K8"/>
      <c r="L8"/>
      <c r="M8"/>
      <c r="N8"/>
      <c r="O8"/>
    </row>
    <row r="9" spans="1:15" s="9" customFormat="1">
      <c r="A9" s="15">
        <v>1232796</v>
      </c>
      <c r="B9" s="15" t="s">
        <v>9</v>
      </c>
      <c r="C9" s="15" t="s">
        <v>12</v>
      </c>
      <c r="D9" s="15">
        <v>-100</v>
      </c>
      <c r="E9" s="44">
        <v>1604.617</v>
      </c>
      <c r="F9" s="43">
        <v>41123.512719907405</v>
      </c>
      <c r="G9"/>
      <c r="H9"/>
      <c r="I9"/>
      <c r="J9"/>
      <c r="K9"/>
      <c r="L9"/>
      <c r="M9"/>
      <c r="N9"/>
      <c r="O9"/>
    </row>
    <row r="10" spans="1:15" s="10" customFormat="1">
      <c r="A10" s="15">
        <v>1232570</v>
      </c>
      <c r="B10" s="15" t="s">
        <v>9</v>
      </c>
      <c r="C10" s="15" t="s">
        <v>8</v>
      </c>
      <c r="D10" s="42">
        <v>-300000</v>
      </c>
      <c r="E10" s="15">
        <v>1.2312799999999999</v>
      </c>
      <c r="F10" s="43">
        <v>41122.626111111109</v>
      </c>
      <c r="G10"/>
      <c r="H10"/>
      <c r="I10"/>
      <c r="J10"/>
      <c r="K10"/>
      <c r="L10"/>
      <c r="M10"/>
      <c r="N10"/>
      <c r="O10"/>
    </row>
    <row r="11" spans="1:15" s="10" customFormat="1">
      <c r="A11" s="15">
        <v>1232534</v>
      </c>
      <c r="B11" s="15" t="s">
        <v>7</v>
      </c>
      <c r="C11" s="15" t="s">
        <v>8</v>
      </c>
      <c r="D11" s="42">
        <v>300000</v>
      </c>
      <c r="E11" s="15">
        <v>1.2312799999999999</v>
      </c>
      <c r="F11" s="43">
        <v>41122.57912037037</v>
      </c>
      <c r="G11"/>
      <c r="H11"/>
      <c r="I11"/>
      <c r="J11"/>
      <c r="K11"/>
      <c r="L11"/>
      <c r="M11"/>
      <c r="N11"/>
      <c r="O11"/>
    </row>
    <row r="12" spans="1:15" s="9" customFormat="1">
      <c r="A12" s="15">
        <v>1232438</v>
      </c>
      <c r="B12" s="15" t="s">
        <v>7</v>
      </c>
      <c r="C12" s="15" t="s">
        <v>8</v>
      </c>
      <c r="D12" s="42">
        <v>300000</v>
      </c>
      <c r="E12" s="15">
        <v>1.2323500000000001</v>
      </c>
      <c r="F12" s="43">
        <v>41122.431932870371</v>
      </c>
      <c r="G12" s="84">
        <v>1.9444444444444445E-2</v>
      </c>
      <c r="H12"/>
      <c r="I12"/>
      <c r="J12"/>
      <c r="K12"/>
      <c r="L12"/>
      <c r="M12"/>
      <c r="N12"/>
      <c r="O12"/>
    </row>
    <row r="13" spans="1:15" s="9" customFormat="1">
      <c r="A13" s="15">
        <v>1232417</v>
      </c>
      <c r="B13" s="15" t="s">
        <v>9</v>
      </c>
      <c r="C13" s="15" t="s">
        <v>8</v>
      </c>
      <c r="D13" s="42">
        <v>-300000</v>
      </c>
      <c r="E13" s="15">
        <v>1.2320500000000001</v>
      </c>
      <c r="F13" s="43">
        <v>41122.411932870367</v>
      </c>
      <c r="G13"/>
      <c r="H13"/>
      <c r="I13"/>
      <c r="J13"/>
      <c r="K13"/>
      <c r="L13"/>
      <c r="M13"/>
      <c r="N13"/>
      <c r="O13"/>
    </row>
    <row r="14" spans="1:15" s="10" customFormat="1">
      <c r="A14" s="15">
        <v>1232308</v>
      </c>
      <c r="B14" s="15" t="s">
        <v>9</v>
      </c>
      <c r="C14" s="15" t="s">
        <v>13</v>
      </c>
      <c r="D14" s="42">
        <v>-300000</v>
      </c>
      <c r="E14" s="15">
        <v>1.5689</v>
      </c>
      <c r="F14" s="43">
        <v>41121.71770833333</v>
      </c>
      <c r="G14"/>
      <c r="H14"/>
      <c r="I14"/>
      <c r="J14"/>
      <c r="K14"/>
      <c r="L14"/>
      <c r="M14"/>
      <c r="N14"/>
      <c r="O14"/>
    </row>
    <row r="15" spans="1:15" s="10" customFormat="1">
      <c r="A15" s="15">
        <v>1232216</v>
      </c>
      <c r="B15" s="15" t="s">
        <v>7</v>
      </c>
      <c r="C15" s="15" t="s">
        <v>13</v>
      </c>
      <c r="D15" s="42">
        <v>300000</v>
      </c>
      <c r="E15" s="15">
        <v>1.5696099999999999</v>
      </c>
      <c r="F15" s="43">
        <v>41121.449074074073</v>
      </c>
      <c r="G15"/>
      <c r="H15"/>
      <c r="I15"/>
      <c r="J15"/>
      <c r="K15"/>
      <c r="L15"/>
      <c r="M15"/>
      <c r="N15"/>
      <c r="O15"/>
    </row>
    <row r="16" spans="1:15" s="9" customFormat="1">
      <c r="A16" s="15">
        <v>1232108</v>
      </c>
      <c r="B16" s="15" t="s">
        <v>7</v>
      </c>
      <c r="C16" s="15" t="s">
        <v>10</v>
      </c>
      <c r="D16" s="42">
        <v>64000</v>
      </c>
      <c r="E16" s="15">
        <v>78.174999999999997</v>
      </c>
      <c r="F16" s="43">
        <v>41120.997025462966</v>
      </c>
      <c r="G16" s="83">
        <v>0.1323148148148148</v>
      </c>
      <c r="H16"/>
      <c r="I16"/>
      <c r="J16"/>
      <c r="K16"/>
      <c r="L16"/>
      <c r="M16"/>
      <c r="N16"/>
      <c r="O16"/>
    </row>
    <row r="17" spans="1:15" s="9" customFormat="1">
      <c r="A17" s="15">
        <v>1231781</v>
      </c>
      <c r="B17" s="15" t="s">
        <v>7</v>
      </c>
      <c r="C17" s="15" t="s">
        <v>8</v>
      </c>
      <c r="D17" s="42">
        <v>300000</v>
      </c>
      <c r="E17" s="15">
        <v>1.2287699999999999</v>
      </c>
      <c r="F17" s="43">
        <v>41117.841631944444</v>
      </c>
      <c r="G17"/>
      <c r="H17"/>
      <c r="I17"/>
      <c r="J17"/>
      <c r="K17"/>
      <c r="L17"/>
      <c r="M17"/>
      <c r="N17"/>
      <c r="O17"/>
    </row>
    <row r="18" spans="1:15" s="10" customFormat="1">
      <c r="A18" s="15">
        <v>1231778</v>
      </c>
      <c r="B18" s="15" t="s">
        <v>9</v>
      </c>
      <c r="C18" s="15" t="s">
        <v>10</v>
      </c>
      <c r="D18" s="42">
        <v>-300000</v>
      </c>
      <c r="E18" s="15">
        <v>78.635999999999996</v>
      </c>
      <c r="F18" s="43">
        <v>41117.834421296298</v>
      </c>
      <c r="G18"/>
      <c r="H18"/>
      <c r="I18"/>
      <c r="J18"/>
      <c r="K18"/>
      <c r="L18"/>
      <c r="M18"/>
      <c r="N18"/>
      <c r="O18"/>
    </row>
    <row r="19" spans="1:15" s="9" customFormat="1">
      <c r="A19" s="15">
        <v>1231680</v>
      </c>
      <c r="B19" s="15" t="s">
        <v>9</v>
      </c>
      <c r="C19" s="15" t="s">
        <v>8</v>
      </c>
      <c r="D19" s="42">
        <v>-300000</v>
      </c>
      <c r="E19" s="15">
        <v>1.2287699999999999</v>
      </c>
      <c r="F19" s="43">
        <v>41117.565115740741</v>
      </c>
      <c r="G19"/>
      <c r="H19"/>
      <c r="I19"/>
      <c r="J19"/>
      <c r="K19"/>
      <c r="L19"/>
      <c r="M19"/>
      <c r="N19"/>
      <c r="O19"/>
    </row>
    <row r="20" spans="1:15" s="10" customFormat="1">
      <c r="A20" s="15">
        <v>1221528</v>
      </c>
      <c r="B20" s="15" t="s">
        <v>9</v>
      </c>
      <c r="C20" s="15" t="s">
        <v>8</v>
      </c>
      <c r="D20" s="42">
        <v>-300000</v>
      </c>
      <c r="E20" s="15">
        <v>1.2104200000000001</v>
      </c>
      <c r="F20" s="43">
        <v>41115.41002314815</v>
      </c>
      <c r="G20"/>
      <c r="H20"/>
      <c r="I20"/>
      <c r="J20"/>
      <c r="K20"/>
      <c r="L20"/>
      <c r="M20"/>
      <c r="N20"/>
      <c r="O20"/>
    </row>
    <row r="21" spans="1:15" s="10" customFormat="1">
      <c r="A21" s="15">
        <v>1186826</v>
      </c>
      <c r="B21" s="15" t="s">
        <v>9</v>
      </c>
      <c r="C21" s="15" t="s">
        <v>13</v>
      </c>
      <c r="D21" s="42">
        <v>-300000</v>
      </c>
      <c r="E21" s="15">
        <v>1.5518700000000001</v>
      </c>
      <c r="F21" s="43">
        <v>41114.56145833333</v>
      </c>
      <c r="G21"/>
      <c r="H21"/>
      <c r="I21"/>
      <c r="J21"/>
      <c r="K21"/>
      <c r="L21"/>
      <c r="M21"/>
      <c r="N21"/>
      <c r="O21"/>
    </row>
    <row r="22" spans="1:15" s="10" customFormat="1">
      <c r="A22" s="15">
        <v>1186738</v>
      </c>
      <c r="B22" s="15" t="s">
        <v>7</v>
      </c>
      <c r="C22" s="15" t="s">
        <v>13</v>
      </c>
      <c r="D22" s="42">
        <v>300000</v>
      </c>
      <c r="E22" s="15">
        <v>1.5518700000000001</v>
      </c>
      <c r="F22" s="43">
        <v>41114.36986111111</v>
      </c>
      <c r="G22"/>
      <c r="H22"/>
      <c r="I22"/>
      <c r="J22"/>
      <c r="K22"/>
      <c r="L22"/>
      <c r="M22"/>
      <c r="N22"/>
      <c r="O22"/>
    </row>
    <row r="23" spans="1:15" s="9" customFormat="1">
      <c r="A23" s="15">
        <v>1186578</v>
      </c>
      <c r="B23" s="15" t="s">
        <v>7</v>
      </c>
      <c r="C23" s="15" t="s">
        <v>11</v>
      </c>
      <c r="D23" s="42">
        <v>1300</v>
      </c>
      <c r="E23" s="15">
        <v>88.497</v>
      </c>
      <c r="F23" s="43">
        <v>41113.697546296295</v>
      </c>
      <c r="G23" s="83">
        <v>0.17076388888888891</v>
      </c>
      <c r="H23"/>
      <c r="I23"/>
      <c r="J23"/>
      <c r="K23"/>
      <c r="L23"/>
      <c r="M23"/>
      <c r="N23"/>
      <c r="O23"/>
    </row>
    <row r="24" spans="1:15" s="9" customFormat="1">
      <c r="A24" s="15">
        <v>1186577</v>
      </c>
      <c r="B24" s="15" t="s">
        <v>7</v>
      </c>
      <c r="C24" s="15" t="s">
        <v>11</v>
      </c>
      <c r="D24" s="15">
        <v>100</v>
      </c>
      <c r="E24" s="15">
        <v>88.537000000000006</v>
      </c>
      <c r="F24" s="43">
        <v>41113.69703703704</v>
      </c>
      <c r="G24"/>
      <c r="H24"/>
      <c r="I24"/>
      <c r="J24"/>
      <c r="K24"/>
      <c r="L24"/>
      <c r="M24"/>
      <c r="N24"/>
      <c r="O24"/>
    </row>
    <row r="25" spans="1:15" s="9" customFormat="1">
      <c r="A25" s="15">
        <v>1186513</v>
      </c>
      <c r="B25" s="15" t="s">
        <v>7</v>
      </c>
      <c r="C25" s="15" t="s">
        <v>8</v>
      </c>
      <c r="D25" s="42">
        <v>600000</v>
      </c>
      <c r="E25" s="15">
        <v>1.2104200000000001</v>
      </c>
      <c r="F25" s="43">
        <v>41113.602129629631</v>
      </c>
      <c r="G25"/>
      <c r="H25"/>
      <c r="I25"/>
      <c r="J25"/>
      <c r="K25"/>
      <c r="L25"/>
      <c r="M25"/>
      <c r="N25"/>
      <c r="O25"/>
    </row>
    <row r="26" spans="1:15" s="9" customFormat="1">
      <c r="A26" s="15">
        <v>1186507</v>
      </c>
      <c r="B26" s="15" t="s">
        <v>9</v>
      </c>
      <c r="C26" s="15" t="s">
        <v>8</v>
      </c>
      <c r="D26" s="42">
        <v>-300000</v>
      </c>
      <c r="E26" s="15">
        <v>1.21244</v>
      </c>
      <c r="F26" s="43">
        <v>41113.557569444441</v>
      </c>
      <c r="G26"/>
      <c r="H26"/>
      <c r="I26"/>
      <c r="J26"/>
      <c r="K26"/>
      <c r="L26"/>
      <c r="M26"/>
      <c r="N26"/>
      <c r="O26"/>
    </row>
    <row r="27" spans="1:15" s="10" customFormat="1">
      <c r="A27" s="15">
        <v>1186460</v>
      </c>
      <c r="B27" s="15" t="s">
        <v>9</v>
      </c>
      <c r="C27" s="15" t="s">
        <v>12</v>
      </c>
      <c r="D27" s="15">
        <v>-100</v>
      </c>
      <c r="E27" s="44">
        <v>1569.82</v>
      </c>
      <c r="F27" s="43">
        <v>41113.437893518516</v>
      </c>
      <c r="G27"/>
      <c r="H27"/>
      <c r="I27"/>
      <c r="J27"/>
      <c r="K27"/>
      <c r="L27"/>
      <c r="M27"/>
      <c r="N27"/>
      <c r="O27"/>
    </row>
    <row r="28" spans="1:15" s="10" customFormat="1">
      <c r="A28" s="15">
        <v>1186446</v>
      </c>
      <c r="B28" s="15" t="s">
        <v>7</v>
      </c>
      <c r="C28" s="15" t="s">
        <v>12</v>
      </c>
      <c r="D28" s="15">
        <v>100</v>
      </c>
      <c r="E28" s="44">
        <v>1573.385</v>
      </c>
      <c r="F28" s="43">
        <v>41113.419756944444</v>
      </c>
      <c r="G28"/>
      <c r="H28"/>
      <c r="I28"/>
      <c r="J28"/>
      <c r="K28"/>
      <c r="L28"/>
      <c r="M28"/>
      <c r="N28"/>
      <c r="O28"/>
    </row>
    <row r="29" spans="1:15">
      <c r="A29" s="15">
        <v>1186348</v>
      </c>
      <c r="B29" s="15" t="s">
        <v>7</v>
      </c>
      <c r="C29" s="15" t="s">
        <v>11</v>
      </c>
      <c r="D29" s="15">
        <v>100</v>
      </c>
      <c r="E29" s="15">
        <v>90.412999999999997</v>
      </c>
      <c r="F29" s="43">
        <v>41113.195497685185</v>
      </c>
    </row>
    <row r="30" spans="1:15" s="9" customFormat="1">
      <c r="A30" s="15">
        <v>1186095</v>
      </c>
      <c r="B30" s="15" t="s">
        <v>7</v>
      </c>
      <c r="C30" s="15" t="s">
        <v>12</v>
      </c>
      <c r="D30" s="15">
        <v>100</v>
      </c>
      <c r="E30" s="44">
        <v>1585.3430000000001</v>
      </c>
      <c r="F30" s="43">
        <v>41110.456585648149</v>
      </c>
      <c r="G30"/>
      <c r="H30"/>
      <c r="I30"/>
      <c r="J30"/>
      <c r="K30"/>
      <c r="L30"/>
      <c r="M30"/>
      <c r="N30"/>
      <c r="O30"/>
    </row>
    <row r="31" spans="1:15" s="9" customFormat="1">
      <c r="A31" s="15">
        <v>1186086</v>
      </c>
      <c r="B31" s="15" t="s">
        <v>9</v>
      </c>
      <c r="C31" s="15" t="s">
        <v>12</v>
      </c>
      <c r="D31" s="15">
        <v>-100</v>
      </c>
      <c r="E31" s="44">
        <v>1585.36</v>
      </c>
      <c r="F31" s="43">
        <v>41110.435497685183</v>
      </c>
      <c r="G31"/>
      <c r="H31"/>
      <c r="I31"/>
      <c r="J31"/>
      <c r="K31"/>
      <c r="L31"/>
      <c r="M31"/>
      <c r="N31"/>
      <c r="O31"/>
    </row>
    <row r="32" spans="1:15" s="9" customFormat="1">
      <c r="A32" s="15">
        <v>1185936</v>
      </c>
      <c r="B32" s="15" t="s">
        <v>7</v>
      </c>
      <c r="C32" s="15" t="s">
        <v>12</v>
      </c>
      <c r="D32" s="15">
        <v>100</v>
      </c>
      <c r="E32" s="44">
        <v>1583.4590000000001</v>
      </c>
      <c r="F32" s="43">
        <v>41109.64738425926</v>
      </c>
      <c r="G32"/>
      <c r="H32"/>
      <c r="I32"/>
      <c r="J32"/>
      <c r="K32"/>
      <c r="L32"/>
      <c r="M32"/>
      <c r="N32"/>
      <c r="O32"/>
    </row>
    <row r="33" spans="1:15" s="9" customFormat="1">
      <c r="A33" s="15">
        <v>1185903</v>
      </c>
      <c r="B33" s="15" t="s">
        <v>9</v>
      </c>
      <c r="C33" s="15" t="s">
        <v>12</v>
      </c>
      <c r="D33" s="15">
        <v>-100</v>
      </c>
      <c r="E33" s="44">
        <v>1587.0170000000001</v>
      </c>
      <c r="F33" s="43">
        <v>41109.587222222224</v>
      </c>
      <c r="G33"/>
      <c r="H33"/>
      <c r="I33"/>
      <c r="J33"/>
      <c r="K33"/>
      <c r="L33"/>
      <c r="M33"/>
      <c r="N33"/>
      <c r="O33"/>
    </row>
    <row r="34" spans="1:15" s="9" customFormat="1">
      <c r="A34" s="15">
        <v>1185888</v>
      </c>
      <c r="B34" s="15" t="s">
        <v>7</v>
      </c>
      <c r="C34" s="15" t="s">
        <v>8</v>
      </c>
      <c r="D34" s="42">
        <v>300000</v>
      </c>
      <c r="E34" s="15">
        <v>1.2302599999999999</v>
      </c>
      <c r="F34" s="43">
        <v>41109.542731481481</v>
      </c>
      <c r="G34"/>
      <c r="H34"/>
      <c r="I34"/>
      <c r="J34"/>
      <c r="K34"/>
      <c r="L34"/>
      <c r="M34"/>
      <c r="N34"/>
      <c r="O34"/>
    </row>
    <row r="35" spans="1:15" s="9" customFormat="1">
      <c r="A35" s="15">
        <v>1185875</v>
      </c>
      <c r="B35" s="15" t="s">
        <v>9</v>
      </c>
      <c r="C35" s="15" t="s">
        <v>8</v>
      </c>
      <c r="D35" s="42">
        <v>-300000</v>
      </c>
      <c r="E35" s="15">
        <v>1.2302599999999999</v>
      </c>
      <c r="F35" s="43">
        <v>41109.528449074074</v>
      </c>
      <c r="G35"/>
      <c r="H35"/>
      <c r="I35"/>
      <c r="J35"/>
      <c r="K35"/>
      <c r="L35"/>
      <c r="M35"/>
      <c r="N35"/>
      <c r="O35"/>
    </row>
    <row r="36" spans="1:15">
      <c r="A36" s="15">
        <v>1185818</v>
      </c>
      <c r="B36" s="15" t="s">
        <v>9</v>
      </c>
      <c r="C36" s="15" t="s">
        <v>11</v>
      </c>
      <c r="D36" s="42">
        <v>-1500</v>
      </c>
      <c r="E36" s="15">
        <v>90.414000000000001</v>
      </c>
      <c r="F36" s="43">
        <v>41109.451516203706</v>
      </c>
    </row>
    <row r="37" spans="1:15" s="10" customFormat="1">
      <c r="A37" s="15">
        <v>1185809</v>
      </c>
      <c r="B37" s="15" t="s">
        <v>7</v>
      </c>
      <c r="C37" s="15" t="s">
        <v>10</v>
      </c>
      <c r="D37" s="42">
        <v>236000</v>
      </c>
      <c r="E37" s="15">
        <v>78.635000000000005</v>
      </c>
      <c r="F37" s="43">
        <v>41109.438900462963</v>
      </c>
      <c r="G37"/>
      <c r="H37"/>
      <c r="I37"/>
      <c r="J37"/>
      <c r="K37"/>
      <c r="L37"/>
      <c r="M37"/>
      <c r="N37"/>
      <c r="O37"/>
    </row>
    <row r="38" spans="1:15">
      <c r="A38" s="15">
        <v>1185806</v>
      </c>
      <c r="B38" s="15" t="s">
        <v>7</v>
      </c>
      <c r="C38" s="15" t="s">
        <v>8</v>
      </c>
      <c r="D38" s="42">
        <v>300000</v>
      </c>
      <c r="E38" s="15">
        <v>1.2296100000000001</v>
      </c>
      <c r="F38" s="43">
        <v>41109.433645833335</v>
      </c>
      <c r="G38" s="85">
        <v>2.5694444444444447E-2</v>
      </c>
    </row>
    <row r="39" spans="1:15">
      <c r="A39" s="15">
        <v>1185803</v>
      </c>
      <c r="B39" s="15" t="s">
        <v>9</v>
      </c>
      <c r="C39" s="15" t="s">
        <v>8</v>
      </c>
      <c r="D39" s="42">
        <v>-300000</v>
      </c>
      <c r="E39" s="15">
        <v>1.2303500000000001</v>
      </c>
      <c r="F39" s="43">
        <v>41109.407986111109</v>
      </c>
    </row>
    <row r="40" spans="1:15" s="10" customFormat="1">
      <c r="A40" s="15">
        <v>1185522</v>
      </c>
      <c r="B40" s="15" t="s">
        <v>9</v>
      </c>
      <c r="C40" s="15" t="s">
        <v>12</v>
      </c>
      <c r="D40" s="15">
        <v>-100</v>
      </c>
      <c r="E40" s="44">
        <v>1588.944</v>
      </c>
      <c r="F40" s="43">
        <v>41107.78833333333</v>
      </c>
      <c r="G40"/>
      <c r="H40"/>
      <c r="I40"/>
      <c r="J40"/>
      <c r="K40"/>
      <c r="L40"/>
      <c r="M40"/>
      <c r="N40"/>
      <c r="O40"/>
    </row>
    <row r="41" spans="1:15" s="10" customFormat="1">
      <c r="A41" s="15">
        <v>1185509</v>
      </c>
      <c r="B41" s="15" t="s">
        <v>9</v>
      </c>
      <c r="C41" s="15" t="s">
        <v>12</v>
      </c>
      <c r="D41" s="15">
        <v>-100</v>
      </c>
      <c r="E41" s="44">
        <v>1587.95</v>
      </c>
      <c r="F41" s="43">
        <v>41107.762986111113</v>
      </c>
      <c r="G41"/>
      <c r="H41"/>
      <c r="I41"/>
      <c r="J41"/>
      <c r="K41"/>
      <c r="L41"/>
      <c r="M41"/>
      <c r="N41"/>
      <c r="O41"/>
    </row>
    <row r="42" spans="1:15" s="10" customFormat="1">
      <c r="A42" s="15">
        <v>1185495</v>
      </c>
      <c r="B42" s="15" t="s">
        <v>7</v>
      </c>
      <c r="C42" s="15" t="s">
        <v>12</v>
      </c>
      <c r="D42" s="15">
        <v>100</v>
      </c>
      <c r="E42" s="44">
        <v>1575.8889999999999</v>
      </c>
      <c r="F42" s="43">
        <v>41107.709594907406</v>
      </c>
      <c r="G42"/>
      <c r="H42"/>
      <c r="I42"/>
      <c r="J42"/>
      <c r="K42"/>
      <c r="L42"/>
      <c r="M42"/>
      <c r="N42"/>
      <c r="O42"/>
    </row>
    <row r="43" spans="1:15" s="10" customFormat="1">
      <c r="A43" s="15">
        <v>1185414</v>
      </c>
      <c r="B43" s="15" t="s">
        <v>7</v>
      </c>
      <c r="C43" s="15" t="s">
        <v>12</v>
      </c>
      <c r="D43" s="15">
        <v>100</v>
      </c>
      <c r="E43" s="44">
        <v>1587.883</v>
      </c>
      <c r="F43" s="43">
        <v>41107.646631944444</v>
      </c>
      <c r="G43"/>
      <c r="H43"/>
      <c r="I43"/>
      <c r="J43"/>
      <c r="K43"/>
      <c r="L43"/>
      <c r="M43"/>
      <c r="N43"/>
      <c r="O43"/>
    </row>
    <row r="44" spans="1:15" s="10" customFormat="1">
      <c r="A44" s="15">
        <v>1185397</v>
      </c>
      <c r="B44" s="15" t="s">
        <v>9</v>
      </c>
      <c r="C44" s="15" t="s">
        <v>12</v>
      </c>
      <c r="D44" s="15">
        <v>-100</v>
      </c>
      <c r="E44" s="44">
        <v>1593.0150000000001</v>
      </c>
      <c r="F44" s="43">
        <v>41107.552048611113</v>
      </c>
      <c r="G44"/>
      <c r="H44"/>
      <c r="I44"/>
      <c r="J44"/>
      <c r="K44"/>
      <c r="L44"/>
      <c r="M44"/>
      <c r="N44"/>
      <c r="O44"/>
    </row>
    <row r="45" spans="1:15" s="10" customFormat="1">
      <c r="A45" s="15">
        <v>1185384</v>
      </c>
      <c r="B45" s="15" t="s">
        <v>7</v>
      </c>
      <c r="C45" s="15" t="s">
        <v>12</v>
      </c>
      <c r="D45" s="15">
        <v>100</v>
      </c>
      <c r="E45" s="44">
        <v>1595.3140000000001</v>
      </c>
      <c r="F45" s="43">
        <v>41107.521145833336</v>
      </c>
      <c r="G45"/>
      <c r="H45"/>
      <c r="I45"/>
      <c r="J45"/>
      <c r="K45"/>
      <c r="L45"/>
      <c r="M45"/>
      <c r="N45"/>
      <c r="O45"/>
    </row>
    <row r="46" spans="1:15">
      <c r="A46" s="15">
        <v>1185383</v>
      </c>
      <c r="B46" s="15" t="s">
        <v>7</v>
      </c>
      <c r="C46" s="15" t="s">
        <v>12</v>
      </c>
      <c r="D46" s="15">
        <v>100</v>
      </c>
      <c r="E46" s="44">
        <v>1595.797</v>
      </c>
      <c r="F46" s="43">
        <v>41107.501469907409</v>
      </c>
      <c r="G46" s="85">
        <v>4.1666666666666664E-2</v>
      </c>
    </row>
    <row r="47" spans="1:15">
      <c r="A47" s="15">
        <v>1185373</v>
      </c>
      <c r="B47" s="15" t="s">
        <v>9</v>
      </c>
      <c r="C47" s="15" t="s">
        <v>12</v>
      </c>
      <c r="D47" s="15">
        <v>-100</v>
      </c>
      <c r="E47" s="44">
        <v>1596.165</v>
      </c>
      <c r="F47" s="43">
        <v>41107.460381944446</v>
      </c>
    </row>
    <row r="48" spans="1:15">
      <c r="A48" s="15">
        <v>1185309</v>
      </c>
      <c r="B48" s="15" t="s">
        <v>7</v>
      </c>
      <c r="C48" s="15" t="s">
        <v>12</v>
      </c>
      <c r="D48" s="15">
        <v>100</v>
      </c>
      <c r="E48" s="44">
        <v>1590.056</v>
      </c>
      <c r="F48" s="43">
        <v>41106.915208333332</v>
      </c>
      <c r="G48" s="85">
        <v>0.20833333333333334</v>
      </c>
    </row>
    <row r="49" spans="1:7">
      <c r="A49" s="15">
        <v>1185250</v>
      </c>
      <c r="B49" s="15" t="s">
        <v>9</v>
      </c>
      <c r="C49" s="15" t="s">
        <v>12</v>
      </c>
      <c r="D49" s="15">
        <v>-100</v>
      </c>
      <c r="E49" s="44">
        <v>1590.06</v>
      </c>
      <c r="F49" s="43">
        <v>41106.706377314818</v>
      </c>
      <c r="G49" s="2"/>
    </row>
    <row r="50" spans="1:7">
      <c r="A50" s="15">
        <v>1184655</v>
      </c>
      <c r="B50" s="15" t="s">
        <v>7</v>
      </c>
      <c r="C50" s="15" t="s">
        <v>11</v>
      </c>
      <c r="D50" s="42">
        <v>1400</v>
      </c>
      <c r="E50" s="15">
        <v>84.176000000000002</v>
      </c>
      <c r="F50" s="43">
        <v>41102.674421296295</v>
      </c>
      <c r="G50" s="85">
        <v>2.6388888888888889E-2</v>
      </c>
    </row>
    <row r="51" spans="1:7">
      <c r="A51" s="15">
        <v>1184654</v>
      </c>
      <c r="B51" s="15" t="s">
        <v>7</v>
      </c>
      <c r="C51" s="15" t="s">
        <v>11</v>
      </c>
      <c r="D51" s="15">
        <v>100</v>
      </c>
      <c r="E51" s="15">
        <v>84.344999999999999</v>
      </c>
      <c r="F51" s="43">
        <v>41102.673854166664</v>
      </c>
      <c r="G51" s="2"/>
    </row>
    <row r="52" spans="1:7">
      <c r="A52" s="15">
        <v>1184634</v>
      </c>
      <c r="B52" s="15" t="s">
        <v>9</v>
      </c>
      <c r="C52" s="15" t="s">
        <v>11</v>
      </c>
      <c r="D52" s="42">
        <v>-1500</v>
      </c>
      <c r="E52" s="15">
        <v>84.495999999999995</v>
      </c>
      <c r="F52" s="43">
        <v>41102.648043981484</v>
      </c>
      <c r="G52" s="2"/>
    </row>
    <row r="53" spans="1:7" s="10" customFormat="1">
      <c r="A53" s="15">
        <v>1184588</v>
      </c>
      <c r="B53" s="15" t="s">
        <v>9</v>
      </c>
      <c r="C53" s="15" t="s">
        <v>12</v>
      </c>
      <c r="D53" s="15">
        <v>-100</v>
      </c>
      <c r="E53" s="44">
        <v>1565.15</v>
      </c>
      <c r="F53" s="43">
        <v>41102.566250000003</v>
      </c>
      <c r="G53" s="8"/>
    </row>
    <row r="54" spans="1:7" s="10" customFormat="1">
      <c r="A54" s="15">
        <v>1184555</v>
      </c>
      <c r="B54" s="15" t="s">
        <v>7</v>
      </c>
      <c r="C54" s="15" t="s">
        <v>12</v>
      </c>
      <c r="D54" s="15">
        <v>100</v>
      </c>
      <c r="E54" s="44">
        <v>1564.902</v>
      </c>
      <c r="F54" s="43">
        <v>41102.534861111111</v>
      </c>
      <c r="G54" s="8"/>
    </row>
    <row r="55" spans="1:7" s="10" customFormat="1">
      <c r="A55" s="15">
        <v>1184528</v>
      </c>
      <c r="B55" s="15" t="s">
        <v>9</v>
      </c>
      <c r="C55" s="15" t="s">
        <v>8</v>
      </c>
      <c r="D55" s="42">
        <v>-300000</v>
      </c>
      <c r="E55" s="15">
        <v>1.22207</v>
      </c>
      <c r="F55" s="43">
        <v>41102.469826388886</v>
      </c>
      <c r="G55" s="8"/>
    </row>
    <row r="56" spans="1:7" s="10" customFormat="1">
      <c r="A56" s="15">
        <v>1184505</v>
      </c>
      <c r="B56" s="15" t="s">
        <v>7</v>
      </c>
      <c r="C56" s="15" t="s">
        <v>8</v>
      </c>
      <c r="D56" s="42">
        <v>300000</v>
      </c>
      <c r="E56" s="15">
        <v>1.2219100000000001</v>
      </c>
      <c r="F56" s="43">
        <v>41102.422303240739</v>
      </c>
      <c r="G56" s="8"/>
    </row>
    <row r="57" spans="1:7">
      <c r="A57" s="15">
        <v>1184406</v>
      </c>
      <c r="B57" s="15" t="s">
        <v>7</v>
      </c>
      <c r="C57" s="15" t="s">
        <v>13</v>
      </c>
      <c r="D57" s="42">
        <v>300000</v>
      </c>
      <c r="E57" s="15">
        <v>1.5557399999999999</v>
      </c>
      <c r="F57" s="43">
        <v>41101.714537037034</v>
      </c>
      <c r="G57" s="85">
        <v>0.15555555555555556</v>
      </c>
    </row>
    <row r="58" spans="1:7" s="10" customFormat="1">
      <c r="A58" s="15">
        <v>1184361</v>
      </c>
      <c r="B58" s="15" t="s">
        <v>9</v>
      </c>
      <c r="C58" s="15" t="s">
        <v>12</v>
      </c>
      <c r="D58" s="15">
        <v>-100</v>
      </c>
      <c r="E58" s="44">
        <v>1578.319</v>
      </c>
      <c r="F58" s="43">
        <v>41101.541828703703</v>
      </c>
      <c r="G58" s="8"/>
    </row>
    <row r="59" spans="1:7" s="10" customFormat="1">
      <c r="A59" s="15">
        <v>1184360</v>
      </c>
      <c r="B59" s="15" t="s">
        <v>7</v>
      </c>
      <c r="C59" s="15" t="s">
        <v>12</v>
      </c>
      <c r="D59" s="15">
        <v>100</v>
      </c>
      <c r="E59" s="44">
        <v>1576.9079999999999</v>
      </c>
      <c r="F59" s="43">
        <v>41101.528993055559</v>
      </c>
      <c r="G59" s="8"/>
    </row>
    <row r="60" spans="1:7">
      <c r="A60" s="15">
        <v>1184354</v>
      </c>
      <c r="B60" s="15" t="s">
        <v>9</v>
      </c>
      <c r="C60" s="15" t="s">
        <v>13</v>
      </c>
      <c r="D60" s="42">
        <v>-300000</v>
      </c>
      <c r="E60" s="15">
        <v>1.55575</v>
      </c>
      <c r="F60" s="43">
        <v>41101.475601851853</v>
      </c>
      <c r="G60" s="2"/>
    </row>
    <row r="61" spans="1:7" s="10" customFormat="1">
      <c r="A61" s="15">
        <v>1184235</v>
      </c>
      <c r="B61" s="15" t="s">
        <v>9</v>
      </c>
      <c r="C61" s="15" t="s">
        <v>8</v>
      </c>
      <c r="D61" s="42">
        <v>-300000</v>
      </c>
      <c r="E61" s="15">
        <v>1.22878</v>
      </c>
      <c r="F61" s="43">
        <v>41100.654814814814</v>
      </c>
      <c r="G61" s="8"/>
    </row>
    <row r="62" spans="1:7" s="10" customFormat="1">
      <c r="A62" s="15">
        <v>1184227</v>
      </c>
      <c r="B62" s="15" t="s">
        <v>7</v>
      </c>
      <c r="C62" s="15" t="s">
        <v>8</v>
      </c>
      <c r="D62" s="42">
        <v>300000</v>
      </c>
      <c r="E62" s="15">
        <v>1.22818</v>
      </c>
      <c r="F62" s="43">
        <v>41100.625428240739</v>
      </c>
      <c r="G62" s="8"/>
    </row>
    <row r="63" spans="1:7" s="10" customFormat="1">
      <c r="A63" s="15">
        <v>1184147</v>
      </c>
      <c r="B63" s="15" t="s">
        <v>9</v>
      </c>
      <c r="C63" s="15" t="s">
        <v>12</v>
      </c>
      <c r="D63" s="15">
        <v>-100</v>
      </c>
      <c r="E63" s="44">
        <v>1589.442</v>
      </c>
      <c r="F63" s="43">
        <v>41100.450694444444</v>
      </c>
      <c r="G63" s="8"/>
    </row>
    <row r="64" spans="1:7" s="10" customFormat="1">
      <c r="A64" s="15">
        <v>1184141</v>
      </c>
      <c r="B64" s="15" t="s">
        <v>7</v>
      </c>
      <c r="C64" s="15" t="s">
        <v>12</v>
      </c>
      <c r="D64" s="15">
        <v>100</v>
      </c>
      <c r="E64" s="44">
        <v>1585.6579999999999</v>
      </c>
      <c r="F64" s="43">
        <v>41100.434965277775</v>
      </c>
      <c r="G64" s="8"/>
    </row>
    <row r="65" spans="1:7">
      <c r="A65" s="15">
        <v>1184079</v>
      </c>
      <c r="B65" s="15" t="s">
        <v>9</v>
      </c>
      <c r="C65" s="15" t="s">
        <v>11</v>
      </c>
      <c r="D65" s="42">
        <v>-1500</v>
      </c>
      <c r="E65" s="15">
        <v>86.010999999999996</v>
      </c>
      <c r="F65" s="43">
        <v>41099.838807870372</v>
      </c>
      <c r="G65" s="2"/>
    </row>
    <row r="66" spans="1:7">
      <c r="A66" s="15">
        <v>1184057</v>
      </c>
      <c r="B66" s="15" t="s">
        <v>7</v>
      </c>
      <c r="C66" s="15" t="s">
        <v>12</v>
      </c>
      <c r="D66" s="15">
        <v>100</v>
      </c>
      <c r="E66" s="44">
        <v>1583.3389999999999</v>
      </c>
      <c r="F66" s="43">
        <v>41099.646296296298</v>
      </c>
      <c r="G66" s="85">
        <v>9.4444444444444442E-2</v>
      </c>
    </row>
    <row r="67" spans="1:7">
      <c r="A67" s="15">
        <v>1184040</v>
      </c>
      <c r="B67" s="15" t="s">
        <v>9</v>
      </c>
      <c r="C67" s="15" t="s">
        <v>12</v>
      </c>
      <c r="D67" s="15">
        <v>-100</v>
      </c>
      <c r="E67" s="44">
        <v>1583.575</v>
      </c>
      <c r="F67" s="43">
        <v>41099.551608796297</v>
      </c>
      <c r="G67" s="2"/>
    </row>
    <row r="68" spans="1:7">
      <c r="A68" s="15">
        <v>1184023</v>
      </c>
      <c r="B68" s="15" t="s">
        <v>9</v>
      </c>
      <c r="C68" s="15" t="s">
        <v>12</v>
      </c>
      <c r="D68" s="15">
        <v>-100</v>
      </c>
      <c r="E68" s="44">
        <v>1581.8109999999999</v>
      </c>
      <c r="F68" s="43">
        <v>41099.510729166665</v>
      </c>
      <c r="G68" s="2"/>
    </row>
    <row r="69" spans="1:7">
      <c r="A69" s="15">
        <v>1184021</v>
      </c>
      <c r="B69" s="15" t="s">
        <v>9</v>
      </c>
      <c r="C69" s="15" t="s">
        <v>8</v>
      </c>
      <c r="D69" s="42">
        <v>-300000</v>
      </c>
      <c r="E69" s="15">
        <v>1.22875</v>
      </c>
      <c r="F69" s="43">
        <v>41099.500798611109</v>
      </c>
      <c r="G69" s="2"/>
    </row>
    <row r="70" spans="1:7">
      <c r="A70" s="15">
        <v>1184011</v>
      </c>
      <c r="B70" s="15" t="s">
        <v>7</v>
      </c>
      <c r="C70" s="15" t="s">
        <v>8</v>
      </c>
      <c r="D70" s="42">
        <v>300000</v>
      </c>
      <c r="E70" s="15">
        <v>1.2276100000000001</v>
      </c>
      <c r="F70" s="43">
        <v>41099.466134259259</v>
      </c>
      <c r="G70" s="2"/>
    </row>
    <row r="71" spans="1:7">
      <c r="A71" s="15">
        <v>1184006</v>
      </c>
      <c r="B71" s="15" t="s">
        <v>7</v>
      </c>
      <c r="C71" s="15" t="s">
        <v>12</v>
      </c>
      <c r="D71" s="15">
        <v>100</v>
      </c>
      <c r="E71" s="44">
        <v>1581.414</v>
      </c>
      <c r="F71" s="43">
        <v>41099.441666666666</v>
      </c>
      <c r="G71" s="2"/>
    </row>
    <row r="72" spans="1:7">
      <c r="A72" s="15">
        <v>1171063</v>
      </c>
      <c r="B72" s="15" t="s">
        <v>7</v>
      </c>
      <c r="C72" s="15" t="s">
        <v>10</v>
      </c>
      <c r="D72" s="42">
        <v>240000</v>
      </c>
      <c r="E72" s="15">
        <v>79.924000000000007</v>
      </c>
      <c r="F72" s="43">
        <v>41096.603206018517</v>
      </c>
      <c r="G72" s="85">
        <v>9.7222222222222224E-2</v>
      </c>
    </row>
    <row r="73" spans="1:7">
      <c r="A73" s="15">
        <v>1171046</v>
      </c>
      <c r="B73" s="15" t="s">
        <v>7</v>
      </c>
      <c r="C73" s="15" t="s">
        <v>11</v>
      </c>
      <c r="D73" s="15">
        <v>500</v>
      </c>
      <c r="E73" s="15">
        <v>85.738</v>
      </c>
      <c r="F73" s="43">
        <v>41096.522962962961</v>
      </c>
      <c r="G73" s="2"/>
    </row>
    <row r="74" spans="1:7">
      <c r="A74" s="15">
        <v>1171045</v>
      </c>
      <c r="B74" s="15" t="s">
        <v>7</v>
      </c>
      <c r="C74" s="15" t="s">
        <v>11</v>
      </c>
      <c r="D74" s="15">
        <v>900</v>
      </c>
      <c r="E74" s="15">
        <v>85.742999999999995</v>
      </c>
      <c r="F74" s="43">
        <v>41096.522430555553</v>
      </c>
      <c r="G74" s="2"/>
    </row>
    <row r="75" spans="1:7">
      <c r="A75" s="15">
        <v>1171044</v>
      </c>
      <c r="B75" s="15" t="s">
        <v>7</v>
      </c>
      <c r="C75" s="15" t="s">
        <v>11</v>
      </c>
      <c r="D75" s="15">
        <v>100</v>
      </c>
      <c r="E75" s="15">
        <v>85.742999999999995</v>
      </c>
      <c r="F75" s="43">
        <v>41096.521736111114</v>
      </c>
      <c r="G75" s="2"/>
    </row>
    <row r="76" spans="1:7">
      <c r="A76" s="15">
        <v>1171043</v>
      </c>
      <c r="B76" s="15" t="s">
        <v>9</v>
      </c>
      <c r="C76" s="15" t="s">
        <v>10</v>
      </c>
      <c r="D76" s="42">
        <v>-240000</v>
      </c>
      <c r="E76" s="15">
        <v>79.858000000000004</v>
      </c>
      <c r="F76" s="43">
        <v>41096.506122685183</v>
      </c>
      <c r="G76" s="2"/>
    </row>
    <row r="77" spans="1:7">
      <c r="A77" s="15">
        <v>1170936</v>
      </c>
      <c r="B77" s="15" t="s">
        <v>7</v>
      </c>
      <c r="C77" s="15" t="s">
        <v>12</v>
      </c>
      <c r="D77" s="15">
        <v>100</v>
      </c>
      <c r="E77" s="44">
        <v>1617.4480000000001</v>
      </c>
      <c r="F77" s="43">
        <v>41095.474895833337</v>
      </c>
      <c r="G77" s="85">
        <v>2.5694444444444447E-2</v>
      </c>
    </row>
    <row r="78" spans="1:7">
      <c r="A78" s="15">
        <v>1170933</v>
      </c>
      <c r="B78" s="15" t="s">
        <v>9</v>
      </c>
      <c r="C78" s="15" t="s">
        <v>12</v>
      </c>
      <c r="D78" s="15">
        <v>-100</v>
      </c>
      <c r="E78" s="44">
        <v>1616.809</v>
      </c>
      <c r="F78" s="43">
        <v>41095.448703703703</v>
      </c>
      <c r="G78" s="2"/>
    </row>
    <row r="79" spans="1:7">
      <c r="A79" s="15">
        <v>1170932</v>
      </c>
      <c r="B79" s="15" t="s">
        <v>7</v>
      </c>
      <c r="C79" s="15" t="s">
        <v>8</v>
      </c>
      <c r="D79" s="42">
        <v>300000</v>
      </c>
      <c r="E79" s="15">
        <v>1.25265</v>
      </c>
      <c r="F79" s="43">
        <v>41095.423958333333</v>
      </c>
      <c r="G79" s="85">
        <v>3.9583333333333331E-2</v>
      </c>
    </row>
    <row r="80" spans="1:7">
      <c r="A80" s="15">
        <v>1170927</v>
      </c>
      <c r="B80" s="15" t="s">
        <v>9</v>
      </c>
      <c r="C80" s="15" t="s">
        <v>8</v>
      </c>
      <c r="D80" s="42">
        <v>-300000</v>
      </c>
      <c r="E80" s="15">
        <v>1.2529300000000001</v>
      </c>
      <c r="F80" s="43">
        <v>41095.384328703702</v>
      </c>
      <c r="G80" s="2"/>
    </row>
    <row r="81" spans="1:8">
      <c r="A81" s="15">
        <v>1170861</v>
      </c>
      <c r="B81" s="15" t="s">
        <v>7</v>
      </c>
      <c r="C81" s="15" t="s">
        <v>13</v>
      </c>
      <c r="D81" s="42">
        <v>300000</v>
      </c>
      <c r="E81" s="15">
        <v>1.5644100000000001</v>
      </c>
      <c r="F81" s="43">
        <v>41094.549432870372</v>
      </c>
      <c r="G81" s="85">
        <v>3.888888888888889E-2</v>
      </c>
    </row>
    <row r="82" spans="1:8">
      <c r="A82" s="15">
        <v>1170851</v>
      </c>
      <c r="B82" s="15" t="s">
        <v>9</v>
      </c>
      <c r="C82" s="15" t="s">
        <v>13</v>
      </c>
      <c r="D82" s="42">
        <v>-300000</v>
      </c>
      <c r="E82" s="15">
        <v>1.5653699999999999</v>
      </c>
      <c r="F82" s="43">
        <v>41094.505277777775</v>
      </c>
      <c r="G82" s="2"/>
    </row>
    <row r="83" spans="1:8">
      <c r="A83" s="15">
        <v>1170735</v>
      </c>
      <c r="B83" s="15" t="s">
        <v>7</v>
      </c>
      <c r="C83" s="15" t="s">
        <v>14</v>
      </c>
      <c r="D83" s="42">
        <v>286000</v>
      </c>
      <c r="E83" s="15">
        <v>0.95428999999999997</v>
      </c>
      <c r="F83" s="43">
        <v>41093.575590277775</v>
      </c>
      <c r="G83" s="85">
        <v>2.9166666666666664E-2</v>
      </c>
      <c r="H83" s="82"/>
    </row>
    <row r="84" spans="1:8">
      <c r="A84" s="15">
        <v>1170728</v>
      </c>
      <c r="B84" s="15" t="s">
        <v>9</v>
      </c>
      <c r="C84" s="15" t="s">
        <v>14</v>
      </c>
      <c r="D84" s="42">
        <v>-286000</v>
      </c>
      <c r="E84" s="15">
        <v>0.95411000000000001</v>
      </c>
      <c r="F84" s="43">
        <v>41093.546469907407</v>
      </c>
      <c r="G84" s="2"/>
    </row>
    <row r="85" spans="1:8">
      <c r="A85" s="40"/>
      <c r="B85" s="40"/>
      <c r="C85" s="40"/>
      <c r="D85" s="40"/>
      <c r="E85" s="40"/>
      <c r="F85" s="40"/>
    </row>
    <row r="86" spans="1:8">
      <c r="A86" s="40"/>
      <c r="B86" s="40"/>
      <c r="C86" s="40"/>
      <c r="D86" s="40"/>
      <c r="E86" s="40"/>
      <c r="F86" s="40"/>
    </row>
    <row r="87" spans="1:8" ht="17">
      <c r="A87" s="39" t="s">
        <v>15</v>
      </c>
      <c r="B87" s="40"/>
      <c r="C87" s="40"/>
      <c r="D87" s="40"/>
      <c r="E87" s="40"/>
      <c r="F87" s="40"/>
    </row>
    <row r="88" spans="1:8" ht="16">
      <c r="A88" s="1" t="s">
        <v>16</v>
      </c>
      <c r="B88" s="1" t="s">
        <v>17</v>
      </c>
      <c r="C88" s="1" t="s">
        <v>4</v>
      </c>
      <c r="D88" s="1" t="s">
        <v>18</v>
      </c>
      <c r="E88" s="1" t="s">
        <v>19</v>
      </c>
    </row>
    <row r="89" spans="1:8">
      <c r="A89" s="2" t="s">
        <v>20</v>
      </c>
      <c r="B89" s="3">
        <v>41123.772939814815</v>
      </c>
      <c r="C89" s="4">
        <v>2474</v>
      </c>
      <c r="D89" s="2">
        <v>1</v>
      </c>
      <c r="E89" s="4">
        <v>109701.55</v>
      </c>
    </row>
    <row r="90" spans="1:8">
      <c r="A90" s="2" t="s">
        <v>20</v>
      </c>
      <c r="B90" s="3">
        <v>41123.548518518517</v>
      </c>
      <c r="C90" s="2">
        <v>413.2</v>
      </c>
      <c r="D90" s="2">
        <v>1</v>
      </c>
      <c r="E90" s="4">
        <v>107227.55</v>
      </c>
    </row>
    <row r="91" spans="1:8">
      <c r="A91" s="2" t="s">
        <v>20</v>
      </c>
      <c r="B91" s="3">
        <v>41122.626111111109</v>
      </c>
      <c r="C91" s="2">
        <v>-90</v>
      </c>
      <c r="D91" s="2">
        <v>1</v>
      </c>
      <c r="E91" s="4">
        <v>106814.35</v>
      </c>
    </row>
    <row r="92" spans="1:8">
      <c r="A92" s="2" t="s">
        <v>20</v>
      </c>
      <c r="B92" s="3">
        <v>41121.71770833333</v>
      </c>
      <c r="C92" s="2">
        <v>-213</v>
      </c>
      <c r="D92" s="2">
        <v>1</v>
      </c>
      <c r="E92" s="4">
        <v>106904.35</v>
      </c>
    </row>
    <row r="93" spans="1:8">
      <c r="A93" s="2" t="s">
        <v>20</v>
      </c>
      <c r="B93" s="3">
        <v>41120.997025462966</v>
      </c>
      <c r="C93" s="2">
        <v>383.55</v>
      </c>
      <c r="D93" s="2">
        <v>1.2999999999999999E-2</v>
      </c>
      <c r="E93" s="4">
        <v>107117.35</v>
      </c>
    </row>
    <row r="94" spans="1:8">
      <c r="A94" s="2" t="s">
        <v>20</v>
      </c>
      <c r="B94" s="3">
        <v>41117.834421296298</v>
      </c>
      <c r="C94" s="2">
        <v>3.07</v>
      </c>
      <c r="D94" s="2">
        <v>1.2999999999999999E-2</v>
      </c>
      <c r="E94" s="4">
        <v>106733.8</v>
      </c>
    </row>
    <row r="95" spans="1:8">
      <c r="A95" s="2" t="s">
        <v>20</v>
      </c>
      <c r="B95" s="3">
        <v>41113.697546296295</v>
      </c>
      <c r="C95" s="4">
        <v>2679.9</v>
      </c>
      <c r="D95" s="2">
        <v>1</v>
      </c>
      <c r="E95" s="4">
        <v>106730.73</v>
      </c>
    </row>
    <row r="96" spans="1:8">
      <c r="A96" s="2" t="s">
        <v>20</v>
      </c>
      <c r="B96" s="3">
        <v>41113.602129629631</v>
      </c>
      <c r="C96" s="2">
        <v>612</v>
      </c>
      <c r="D96" s="2">
        <v>1</v>
      </c>
      <c r="E96" s="4">
        <v>104050.83</v>
      </c>
    </row>
    <row r="97" spans="1:5">
      <c r="A97" s="2" t="s">
        <v>20</v>
      </c>
      <c r="B97" s="3">
        <v>41113.437893518516</v>
      </c>
      <c r="C97" s="2">
        <v>-356.5</v>
      </c>
      <c r="D97" s="2">
        <v>1</v>
      </c>
      <c r="E97" s="4">
        <v>103438.83</v>
      </c>
    </row>
    <row r="98" spans="1:5">
      <c r="A98" s="2" t="s">
        <v>20</v>
      </c>
      <c r="B98" s="3">
        <v>41110.456585648149</v>
      </c>
      <c r="C98" s="2">
        <v>1.7</v>
      </c>
      <c r="D98" s="2">
        <v>1</v>
      </c>
      <c r="E98" s="4">
        <v>103795.33</v>
      </c>
    </row>
    <row r="99" spans="1:5">
      <c r="A99" s="2" t="s">
        <v>20</v>
      </c>
      <c r="B99" s="3">
        <v>41109.64738425926</v>
      </c>
      <c r="C99" s="2">
        <v>355.8</v>
      </c>
      <c r="D99" s="2">
        <v>1</v>
      </c>
      <c r="E99" s="4">
        <v>103793.63</v>
      </c>
    </row>
    <row r="100" spans="1:5">
      <c r="A100" s="2" t="s">
        <v>20</v>
      </c>
      <c r="B100" s="3">
        <v>41109.542731481481</v>
      </c>
      <c r="C100" s="2">
        <v>222</v>
      </c>
      <c r="D100" s="2">
        <v>1</v>
      </c>
      <c r="E100" s="4">
        <v>103437.83</v>
      </c>
    </row>
    <row r="101" spans="1:5">
      <c r="A101" s="2" t="s">
        <v>20</v>
      </c>
      <c r="B101" s="3">
        <v>41107.78833333333</v>
      </c>
      <c r="C101" s="4">
        <v>1119.0999999999999</v>
      </c>
      <c r="D101" s="2">
        <v>1</v>
      </c>
      <c r="E101" s="4">
        <v>103215.83</v>
      </c>
    </row>
    <row r="102" spans="1:5">
      <c r="A102" s="2" t="s">
        <v>20</v>
      </c>
      <c r="B102" s="3">
        <v>41106.915208333332</v>
      </c>
      <c r="C102" s="2">
        <v>0.4</v>
      </c>
      <c r="D102" s="2">
        <v>1</v>
      </c>
      <c r="E102" s="4">
        <v>102096.73</v>
      </c>
    </row>
    <row r="103" spans="1:5">
      <c r="A103" s="2" t="s">
        <v>20</v>
      </c>
      <c r="B103" s="3">
        <v>41102.674421296295</v>
      </c>
      <c r="C103" s="2">
        <v>463.1</v>
      </c>
      <c r="D103" s="2">
        <v>1</v>
      </c>
      <c r="E103" s="4">
        <v>102096.33</v>
      </c>
    </row>
    <row r="104" spans="1:5">
      <c r="A104" s="2" t="s">
        <v>20</v>
      </c>
      <c r="B104" s="3">
        <v>41102.566250000003</v>
      </c>
      <c r="C104" s="2">
        <v>24.8</v>
      </c>
      <c r="D104" s="2">
        <v>1</v>
      </c>
      <c r="E104" s="4">
        <v>101633.23</v>
      </c>
    </row>
    <row r="105" spans="1:5">
      <c r="A105" s="2" t="s">
        <v>20</v>
      </c>
      <c r="B105" s="3">
        <v>41102.469826388886</v>
      </c>
      <c r="C105" s="2">
        <v>48</v>
      </c>
      <c r="D105" s="2">
        <v>1</v>
      </c>
      <c r="E105" s="4">
        <v>101608.43</v>
      </c>
    </row>
    <row r="106" spans="1:5">
      <c r="A106" s="2" t="s">
        <v>20</v>
      </c>
      <c r="B106" s="3">
        <v>41101.714537037034</v>
      </c>
      <c r="C106" s="2">
        <v>3</v>
      </c>
      <c r="D106" s="2">
        <v>1</v>
      </c>
      <c r="E106" s="4">
        <v>101560.43</v>
      </c>
    </row>
    <row r="107" spans="1:5">
      <c r="A107" s="2" t="s">
        <v>20</v>
      </c>
      <c r="B107" s="3">
        <v>41101.541828703703</v>
      </c>
      <c r="C107" s="2">
        <v>141.1</v>
      </c>
      <c r="D107" s="2">
        <v>1</v>
      </c>
      <c r="E107" s="4">
        <v>101557.43</v>
      </c>
    </row>
    <row r="108" spans="1:5">
      <c r="A108" s="2" t="s">
        <v>20</v>
      </c>
      <c r="B108" s="3">
        <v>41100.654814814814</v>
      </c>
      <c r="C108" s="2">
        <v>180</v>
      </c>
      <c r="D108" s="2">
        <v>1</v>
      </c>
      <c r="E108" s="4">
        <v>101416.33</v>
      </c>
    </row>
    <row r="109" spans="1:5">
      <c r="A109" s="2" t="s">
        <v>20</v>
      </c>
      <c r="B109" s="3">
        <v>41100.450694444444</v>
      </c>
      <c r="C109" s="2">
        <v>378.4</v>
      </c>
      <c r="D109" s="2">
        <v>1</v>
      </c>
      <c r="E109" s="4">
        <v>101236.33</v>
      </c>
    </row>
    <row r="110" spans="1:5">
      <c r="A110" s="2" t="s">
        <v>20</v>
      </c>
      <c r="B110" s="3">
        <v>41099.838807870372</v>
      </c>
      <c r="C110" s="2">
        <v>404.5</v>
      </c>
      <c r="D110" s="2">
        <v>1</v>
      </c>
      <c r="E110" s="4">
        <v>100857.93</v>
      </c>
    </row>
    <row r="111" spans="1:5">
      <c r="A111" s="2" t="s">
        <v>20</v>
      </c>
      <c r="B111" s="3">
        <v>41099.646296296298</v>
      </c>
      <c r="C111" s="2">
        <v>63.3</v>
      </c>
      <c r="D111" s="2">
        <v>1</v>
      </c>
      <c r="E111" s="4">
        <v>100453.43</v>
      </c>
    </row>
    <row r="112" spans="1:5">
      <c r="A112" s="2" t="s">
        <v>20</v>
      </c>
      <c r="B112" s="3">
        <v>41099.500798611109</v>
      </c>
      <c r="C112" s="2">
        <v>342</v>
      </c>
      <c r="D112" s="2">
        <v>1</v>
      </c>
      <c r="E112" s="4">
        <v>100390.13</v>
      </c>
    </row>
    <row r="113" spans="1:5">
      <c r="A113" s="2" t="s">
        <v>20</v>
      </c>
      <c r="B113" s="3">
        <v>41096.603206018517</v>
      </c>
      <c r="C113" s="2">
        <v>-205.92</v>
      </c>
      <c r="D113" s="2">
        <v>1.2999999999999999E-2</v>
      </c>
      <c r="E113" s="4">
        <v>100048.13</v>
      </c>
    </row>
    <row r="114" spans="1:5">
      <c r="A114" s="2" t="s">
        <v>20</v>
      </c>
      <c r="B114" s="3">
        <v>41095.474895833337</v>
      </c>
      <c r="C114" s="2">
        <v>-63.9</v>
      </c>
      <c r="D114" s="2">
        <v>1</v>
      </c>
      <c r="E114" s="4">
        <v>100254.05</v>
      </c>
    </row>
    <row r="115" spans="1:5">
      <c r="A115" s="2" t="s">
        <v>20</v>
      </c>
      <c r="B115" s="3">
        <v>41095.423958333333</v>
      </c>
      <c r="C115" s="2">
        <v>84</v>
      </c>
      <c r="D115" s="2">
        <v>1</v>
      </c>
      <c r="E115" s="4">
        <v>100317.95</v>
      </c>
    </row>
    <row r="116" spans="1:5">
      <c r="A116" s="2" t="s">
        <v>20</v>
      </c>
      <c r="B116" s="3">
        <v>41094.549432870372</v>
      </c>
      <c r="C116" s="2">
        <v>288</v>
      </c>
      <c r="D116" s="2">
        <v>1</v>
      </c>
      <c r="E116" s="4">
        <v>100233.95</v>
      </c>
    </row>
    <row r="117" spans="1:5">
      <c r="A117" s="2" t="s">
        <v>20</v>
      </c>
      <c r="B117" s="3">
        <v>41093.575590277775</v>
      </c>
      <c r="C117" s="2">
        <v>-54.05</v>
      </c>
      <c r="D117" s="2">
        <v>1.0495399999999999</v>
      </c>
      <c r="E117" s="4">
        <v>99945.95</v>
      </c>
    </row>
    <row r="118" spans="1:5">
      <c r="A118" s="2" t="s">
        <v>21</v>
      </c>
      <c r="B118" s="3">
        <v>41092.47252314815</v>
      </c>
      <c r="C118" s="4">
        <v>100000</v>
      </c>
      <c r="D118" s="2">
        <v>1</v>
      </c>
      <c r="E118" s="4">
        <v>100000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D28" sqref="D28"/>
    </sheetView>
  </sheetViews>
  <sheetFormatPr baseColWidth="10" defaultRowHeight="15" x14ac:dyDescent="0"/>
  <cols>
    <col min="1" max="1" width="23" bestFit="1" customWidth="1"/>
    <col min="2" max="2" width="21" bestFit="1" customWidth="1"/>
    <col min="3" max="3" width="12.1640625" bestFit="1" customWidth="1"/>
    <col min="4" max="4" width="16.6640625" bestFit="1" customWidth="1"/>
    <col min="5" max="5" width="15.33203125" bestFit="1" customWidth="1"/>
    <col min="6" max="6" width="25" bestFit="1" customWidth="1"/>
    <col min="7" max="7" width="25.5" customWidth="1"/>
  </cols>
  <sheetData>
    <row r="1" spans="1:7">
      <c r="A1" s="6" t="s">
        <v>74</v>
      </c>
      <c r="B1" s="6" t="s">
        <v>75</v>
      </c>
      <c r="C1" s="6" t="s">
        <v>76</v>
      </c>
      <c r="D1" s="6" t="s">
        <v>108</v>
      </c>
      <c r="E1" s="6" t="s">
        <v>77</v>
      </c>
      <c r="F1" s="6" t="s">
        <v>78</v>
      </c>
      <c r="G1" s="6" t="s">
        <v>74</v>
      </c>
    </row>
    <row r="2" spans="1:7">
      <c r="A2" s="86"/>
    </row>
    <row r="3" spans="1:7">
      <c r="A3" s="86">
        <v>41124</v>
      </c>
      <c r="B3" s="79">
        <v>1.1100000000000001E-3</v>
      </c>
      <c r="C3" s="79">
        <f t="shared" ref="C3:C23" si="0">LN(1+B3)</f>
        <v>1.1093844054977636E-3</v>
      </c>
      <c r="D3" s="79">
        <f t="shared" ref="D3:D23" si="1">F3-C3</f>
        <v>-1.1093844054977636E-3</v>
      </c>
      <c r="E3" s="4">
        <v>109701.55</v>
      </c>
      <c r="F3" s="79">
        <f>LN(E3)-LN(E4)</f>
        <v>0</v>
      </c>
      <c r="G3" s="88">
        <v>41124</v>
      </c>
    </row>
    <row r="4" spans="1:7">
      <c r="A4" s="86">
        <v>41123</v>
      </c>
      <c r="B4" s="79">
        <v>1.09E-3</v>
      </c>
      <c r="C4" s="79">
        <f t="shared" si="0"/>
        <v>1.0894063813237807E-3</v>
      </c>
      <c r="D4" s="79">
        <f t="shared" si="1"/>
        <v>2.5581809447943901E-2</v>
      </c>
      <c r="E4" s="4">
        <v>109701.55</v>
      </c>
      <c r="F4" s="79">
        <f>LN(E4)-LN(E5)</f>
        <v>2.667121582926768E-2</v>
      </c>
      <c r="G4" s="88">
        <v>41123</v>
      </c>
    </row>
    <row r="5" spans="1:7">
      <c r="A5" s="86">
        <v>41122</v>
      </c>
      <c r="B5" s="79">
        <v>1.1199999999999999E-3</v>
      </c>
      <c r="C5" s="79">
        <f t="shared" si="0"/>
        <v>1.1193732679163155E-3</v>
      </c>
      <c r="D5" s="79">
        <f t="shared" si="1"/>
        <v>-1.96160191070858E-3</v>
      </c>
      <c r="E5" s="4">
        <v>106814.35</v>
      </c>
      <c r="F5" s="79">
        <f>LN(E5)-LN(E6)</f>
        <v>-8.4222864279226428E-4</v>
      </c>
      <c r="G5" s="88">
        <v>41122</v>
      </c>
    </row>
    <row r="6" spans="1:7">
      <c r="A6" s="86">
        <v>41121</v>
      </c>
      <c r="B6" s="79">
        <v>1.1100000000000001E-3</v>
      </c>
      <c r="C6" s="79">
        <f t="shared" si="0"/>
        <v>1.1093844054977636E-3</v>
      </c>
      <c r="D6" s="79">
        <f t="shared" si="1"/>
        <v>-3.0998374326790239E-3</v>
      </c>
      <c r="E6" s="4">
        <v>106904.35</v>
      </c>
      <c r="F6" s="79">
        <f>LN(E6)-LN(E7)</f>
        <v>-1.9904530271812604E-3</v>
      </c>
      <c r="G6" s="88">
        <v>41121</v>
      </c>
    </row>
    <row r="7" spans="1:7">
      <c r="A7" s="86">
        <v>41120</v>
      </c>
      <c r="B7" s="79">
        <v>1.1199999999999999E-3</v>
      </c>
      <c r="C7" s="79">
        <f t="shared" si="0"/>
        <v>1.1193732679163155E-3</v>
      </c>
      <c r="D7" s="79">
        <f t="shared" si="1"/>
        <v>2.4677050458120822E-3</v>
      </c>
      <c r="E7" s="4">
        <v>107117.35</v>
      </c>
      <c r="F7" s="79">
        <f>LN(E7)-LN(E8)</f>
        <v>3.5870783137283979E-3</v>
      </c>
      <c r="G7" s="88">
        <v>41120</v>
      </c>
    </row>
    <row r="8" spans="1:7">
      <c r="A8" s="86">
        <v>41117</v>
      </c>
      <c r="B8" s="79">
        <v>1.1100000000000001E-3</v>
      </c>
      <c r="C8" s="79">
        <f t="shared" si="0"/>
        <v>1.1093844054977636E-3</v>
      </c>
      <c r="D8" s="79">
        <f t="shared" si="1"/>
        <v>-1.0806208446348647E-3</v>
      </c>
      <c r="E8" s="4">
        <v>106733.8</v>
      </c>
      <c r="F8" s="79">
        <f>LN(E8)-LN(E9)</f>
        <v>2.8763560862898885E-5</v>
      </c>
      <c r="G8" s="88">
        <v>41117</v>
      </c>
    </row>
    <row r="9" spans="1:7">
      <c r="A9" s="86">
        <v>41116</v>
      </c>
      <c r="B9" s="79">
        <v>1.1199999999999999E-3</v>
      </c>
      <c r="C9" s="79">
        <f t="shared" si="0"/>
        <v>1.1193732679163155E-3</v>
      </c>
      <c r="D9" s="79">
        <f t="shared" si="1"/>
        <v>-1.1193732679163155E-3</v>
      </c>
      <c r="E9" s="4">
        <v>106730.73</v>
      </c>
      <c r="F9" s="79">
        <f>LN(E9)-LN(E10)</f>
        <v>0</v>
      </c>
      <c r="G9" s="88">
        <v>41114</v>
      </c>
    </row>
    <row r="10" spans="1:7">
      <c r="A10" s="86">
        <v>41115</v>
      </c>
      <c r="B10" s="79">
        <v>1.14E-3</v>
      </c>
      <c r="C10" s="79">
        <f t="shared" si="0"/>
        <v>1.1393506934260637E-3</v>
      </c>
      <c r="D10" s="79">
        <f t="shared" si="1"/>
        <v>2.674879054438907E-2</v>
      </c>
      <c r="E10" s="4">
        <v>106730.73</v>
      </c>
      <c r="F10" s="79">
        <f>LN(E10)-LN(E11)</f>
        <v>2.7888141237815134E-2</v>
      </c>
      <c r="G10" s="88">
        <v>41113</v>
      </c>
    </row>
    <row r="11" spans="1:7">
      <c r="A11" s="86">
        <v>41114</v>
      </c>
      <c r="B11" s="79">
        <v>1.1299999999999999E-3</v>
      </c>
      <c r="C11" s="79">
        <f t="shared" si="0"/>
        <v>1.1293620305584918E-3</v>
      </c>
      <c r="D11" s="79">
        <f t="shared" si="1"/>
        <v>-1.1129835102371667E-3</v>
      </c>
      <c r="E11" s="4">
        <v>103795.33</v>
      </c>
      <c r="F11" s="79">
        <f>LN(E11)-LN(E12)</f>
        <v>1.6378520321325141E-5</v>
      </c>
      <c r="G11" s="88">
        <v>41110</v>
      </c>
    </row>
    <row r="12" spans="1:7">
      <c r="A12" s="86">
        <v>41113</v>
      </c>
      <c r="B12" s="79">
        <v>1.16E-3</v>
      </c>
      <c r="C12" s="79">
        <f t="shared" si="0"/>
        <v>1.1593277198464764E-3</v>
      </c>
      <c r="D12" s="79">
        <f t="shared" si="1"/>
        <v>4.4230403563723366E-3</v>
      </c>
      <c r="E12" s="4">
        <v>103793.63</v>
      </c>
      <c r="F12" s="79">
        <f>LN(E12)-LN(E13)</f>
        <v>5.5823680762188133E-3</v>
      </c>
      <c r="G12" s="88">
        <v>41109</v>
      </c>
    </row>
    <row r="13" spans="1:7">
      <c r="A13" s="86">
        <v>41110</v>
      </c>
      <c r="B13" s="79">
        <v>1.15E-3</v>
      </c>
      <c r="C13" s="79">
        <f t="shared" si="0"/>
        <v>1.149339256521468E-3</v>
      </c>
      <c r="D13" s="79">
        <f t="shared" si="1"/>
        <v>-1.149339256521468E-3</v>
      </c>
      <c r="E13" s="4">
        <v>103215.83</v>
      </c>
      <c r="F13" s="79">
        <f>LN(E13)-LN(E14)</f>
        <v>0</v>
      </c>
      <c r="G13" s="88">
        <v>41108</v>
      </c>
    </row>
    <row r="14" spans="1:7">
      <c r="A14" s="86">
        <v>41109</v>
      </c>
      <c r="B14" s="79">
        <v>1.1999999999999999E-3</v>
      </c>
      <c r="C14" s="79">
        <f t="shared" si="0"/>
        <v>1.1992805754821869E-3</v>
      </c>
      <c r="D14" s="79">
        <f t="shared" si="1"/>
        <v>9.7022549479430231E-3</v>
      </c>
      <c r="E14" s="4">
        <v>103215.83</v>
      </c>
      <c r="F14" s="79">
        <f>LN(E14)-LN(E15)</f>
        <v>1.090153552342521E-2</v>
      </c>
      <c r="G14" s="88">
        <v>41107</v>
      </c>
    </row>
    <row r="15" spans="1:7">
      <c r="A15" s="86">
        <v>41108</v>
      </c>
      <c r="B15" s="79">
        <v>1.1900000000000001E-3</v>
      </c>
      <c r="C15" s="79">
        <f t="shared" si="0"/>
        <v>1.1892925112188331E-3</v>
      </c>
      <c r="D15" s="79">
        <f t="shared" si="1"/>
        <v>-1.18537465034755E-3</v>
      </c>
      <c r="E15" s="4">
        <v>102096.73</v>
      </c>
      <c r="F15" s="79">
        <f>LN(E15)-LN(E16)</f>
        <v>3.9178608712830965E-6</v>
      </c>
      <c r="G15" s="88">
        <v>41106</v>
      </c>
    </row>
    <row r="16" spans="1:7">
      <c r="A16" s="86">
        <v>41107</v>
      </c>
      <c r="B16" s="79">
        <v>1.1900000000000001E-3</v>
      </c>
      <c r="C16" s="79">
        <f t="shared" si="0"/>
        <v>1.1892925112188331E-3</v>
      </c>
      <c r="D16" s="79">
        <f t="shared" si="1"/>
        <v>-1.1892925112188331E-3</v>
      </c>
      <c r="E16" s="4">
        <v>102096.33</v>
      </c>
      <c r="F16" s="79">
        <f>LN(E16)-LN(E17)</f>
        <v>0</v>
      </c>
      <c r="G16" s="88">
        <v>41103</v>
      </c>
    </row>
    <row r="17" spans="1:7">
      <c r="A17" s="86">
        <v>41106</v>
      </c>
      <c r="B17" s="79">
        <v>1.14E-3</v>
      </c>
      <c r="C17" s="79">
        <f t="shared" si="0"/>
        <v>1.1393506934260637E-3</v>
      </c>
      <c r="D17" s="79">
        <f t="shared" si="1"/>
        <v>4.1234379014505468E-3</v>
      </c>
      <c r="E17" s="4">
        <v>102096.33</v>
      </c>
      <c r="F17" s="79">
        <f>LN(E17)-LN(E18)</f>
        <v>5.2627885948766107E-3</v>
      </c>
      <c r="G17" s="88">
        <v>41102</v>
      </c>
    </row>
    <row r="18" spans="1:7">
      <c r="A18" s="86">
        <v>41103</v>
      </c>
      <c r="B18" s="79">
        <v>1.17E-3</v>
      </c>
      <c r="C18" s="79">
        <f t="shared" si="0"/>
        <v>1.1693160834028598E-3</v>
      </c>
      <c r="D18" s="79">
        <f t="shared" si="1"/>
        <v>2.5055113892337227E-4</v>
      </c>
      <c r="E18" s="4">
        <v>101560.43</v>
      </c>
      <c r="F18" s="79">
        <f>LN(E18)-LN(E19)</f>
        <v>1.4198672223262321E-3</v>
      </c>
      <c r="G18" s="88">
        <v>41101</v>
      </c>
    </row>
    <row r="19" spans="1:7">
      <c r="A19" s="86">
        <v>41102</v>
      </c>
      <c r="B19" s="79">
        <v>1.2800000000000001E-3</v>
      </c>
      <c r="C19" s="79">
        <f t="shared" si="0"/>
        <v>1.2791814983802124E-3</v>
      </c>
      <c r="D19" s="79">
        <f t="shared" si="1"/>
        <v>4.2420491171303622E-3</v>
      </c>
      <c r="E19" s="4">
        <v>101416.33</v>
      </c>
      <c r="F19" s="79">
        <f>LN(E19)-LN(E20)</f>
        <v>5.521230615510575E-3</v>
      </c>
      <c r="G19" s="88">
        <v>41100</v>
      </c>
    </row>
    <row r="20" spans="1:7">
      <c r="A20" s="86">
        <v>41099</v>
      </c>
      <c r="B20" s="79">
        <v>3.2499999999999999E-3</v>
      </c>
      <c r="C20" s="79">
        <f t="shared" si="0"/>
        <v>3.2447301648890294E-3</v>
      </c>
      <c r="D20" s="79">
        <f t="shared" si="1"/>
        <v>4.8167925747648523E-3</v>
      </c>
      <c r="E20" s="4">
        <v>100857.93</v>
      </c>
      <c r="F20" s="79">
        <f>LN(E20)-LN(E21)</f>
        <v>8.0615227396538813E-3</v>
      </c>
      <c r="G20" s="88">
        <v>41099</v>
      </c>
    </row>
    <row r="21" spans="1:7">
      <c r="A21" s="86">
        <v>41096</v>
      </c>
      <c r="B21" s="79">
        <v>3.29E-3</v>
      </c>
      <c r="C21" s="79">
        <f t="shared" si="0"/>
        <v>3.2845997912162779E-3</v>
      </c>
      <c r="D21" s="79">
        <f t="shared" si="1"/>
        <v>-5.340693963972595E-3</v>
      </c>
      <c r="E21" s="4">
        <v>100048.13</v>
      </c>
      <c r="F21" s="79">
        <f>LN(E21)-LN(E22)</f>
        <v>-2.0560941727563176E-3</v>
      </c>
      <c r="G21" s="88">
        <v>41096</v>
      </c>
    </row>
    <row r="22" spans="1:7">
      <c r="A22" s="86">
        <v>41095</v>
      </c>
      <c r="B22" s="79">
        <v>3.31E-3</v>
      </c>
      <c r="C22" s="79">
        <f t="shared" si="0"/>
        <v>3.3045340083004715E-3</v>
      </c>
      <c r="D22" s="79">
        <f t="shared" si="1"/>
        <v>-3.104023253868412E-3</v>
      </c>
      <c r="E22" s="4">
        <v>100254.05</v>
      </c>
      <c r="F22" s="79">
        <f>LN(E22)-LN(E23)</f>
        <v>2.0051075443205946E-4</v>
      </c>
      <c r="G22" s="86">
        <v>41095</v>
      </c>
    </row>
    <row r="23" spans="1:7">
      <c r="A23" s="86">
        <v>41094</v>
      </c>
      <c r="B23" s="79">
        <v>3.32E-3</v>
      </c>
      <c r="C23" s="79">
        <f t="shared" si="0"/>
        <v>3.31450096782978E-3</v>
      </c>
      <c r="D23" s="79">
        <f t="shared" si="1"/>
        <v>-4.3708721441800729E-4</v>
      </c>
      <c r="E23" s="4">
        <v>100233.95</v>
      </c>
      <c r="F23" s="79">
        <f>LN(E23)-LN(E24)</f>
        <v>2.8774137534117727E-3</v>
      </c>
      <c r="G23" s="88">
        <v>41094</v>
      </c>
    </row>
    <row r="24" spans="1:7">
      <c r="A24" s="86">
        <v>41093</v>
      </c>
      <c r="B24" s="79">
        <v>3.32E-3</v>
      </c>
      <c r="C24" s="79">
        <f>LN(1+B24)</f>
        <v>3.31450096782978E-3</v>
      </c>
      <c r="D24" s="79">
        <f>F24-C24</f>
        <v>-3.8551470906108211E-3</v>
      </c>
      <c r="E24" s="4">
        <v>99945.95</v>
      </c>
      <c r="F24" s="79">
        <f>LN(E24)-LN(E25)</f>
        <v>-5.4064612278104107E-4</v>
      </c>
      <c r="G24" s="88">
        <v>41093</v>
      </c>
    </row>
    <row r="25" spans="1:7">
      <c r="E25" s="4">
        <v>100000</v>
      </c>
      <c r="G25" s="88">
        <v>41092</v>
      </c>
    </row>
    <row r="26" spans="1:7">
      <c r="A26" s="86"/>
    </row>
    <row r="27" spans="1:7">
      <c r="A27" s="6" t="s">
        <v>79</v>
      </c>
      <c r="B27" s="6"/>
      <c r="C27" s="6"/>
      <c r="D27" s="6" t="s">
        <v>111</v>
      </c>
      <c r="G27" s="4"/>
    </row>
    <row r="28" spans="1:7">
      <c r="A28" t="s">
        <v>80</v>
      </c>
      <c r="B28" s="87">
        <f>AVERAGE(F3:F24)</f>
        <v>4.208786847145954E-3</v>
      </c>
      <c r="D28" s="79">
        <f>AVERAGE(D3:D24)</f>
        <v>2.573257807368098E-3</v>
      </c>
      <c r="F28" s="87"/>
    </row>
    <row r="29" spans="1:7">
      <c r="A29" t="s">
        <v>81</v>
      </c>
      <c r="B29">
        <f>(1+AVERAGE(C3:C24))^(1/250)-1</f>
        <v>6.5367934394267024E-6</v>
      </c>
      <c r="F29" s="79"/>
    </row>
    <row r="30" spans="1:7">
      <c r="A30" t="s">
        <v>82</v>
      </c>
      <c r="B30">
        <f>STDEV(F3:F24)</f>
        <v>8.1794373739892765E-3</v>
      </c>
      <c r="D30">
        <f>STDEV(D3:D24)</f>
        <v>8.3893291117736295E-3</v>
      </c>
    </row>
    <row r="31" spans="1:7">
      <c r="A31" s="6" t="s">
        <v>48</v>
      </c>
      <c r="B31" s="6">
        <f>((B28-B29)/B30)</f>
        <v>0.5137578370695447</v>
      </c>
      <c r="C31" s="6"/>
      <c r="D31">
        <f>D28/D30</f>
        <v>0.3067298675595852</v>
      </c>
    </row>
    <row r="32" spans="1:7">
      <c r="A32" s="6" t="s">
        <v>107</v>
      </c>
      <c r="B32" s="6">
        <f>((B28-B29)/B30)*250^0.5</f>
        <v>8.1232246545072364</v>
      </c>
      <c r="D32" s="6">
        <f>(D28/D30)*250^0.5</f>
        <v>4.8498250394504101</v>
      </c>
      <c r="E32" t="s">
        <v>110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opLeftCell="A4" workbookViewId="0">
      <selection activeCell="F36" sqref="F36"/>
    </sheetView>
  </sheetViews>
  <sheetFormatPr baseColWidth="10" defaultRowHeight="15" x14ac:dyDescent="0"/>
  <cols>
    <col min="1" max="1" width="22" bestFit="1" customWidth="1"/>
    <col min="2" max="2" width="21" bestFit="1" customWidth="1"/>
    <col min="3" max="3" width="12.1640625" bestFit="1" customWidth="1"/>
    <col min="4" max="4" width="8.33203125" bestFit="1" customWidth="1"/>
    <col min="5" max="5" width="11.1640625" bestFit="1" customWidth="1"/>
    <col min="6" max="6" width="25.5" bestFit="1" customWidth="1"/>
    <col min="7" max="7" width="21.6640625" bestFit="1" customWidth="1"/>
    <col min="8" max="8" width="21.83203125" bestFit="1" customWidth="1"/>
    <col min="9" max="9" width="14.33203125" bestFit="1" customWidth="1"/>
    <col min="10" max="10" width="16.6640625" bestFit="1" customWidth="1"/>
    <col min="11" max="11" width="19.1640625" bestFit="1" customWidth="1"/>
    <col min="12" max="12" width="19.5" bestFit="1" customWidth="1"/>
  </cols>
  <sheetData>
    <row r="1" spans="1:12">
      <c r="A1" s="6" t="s">
        <v>74</v>
      </c>
      <c r="B1" s="6" t="s">
        <v>75</v>
      </c>
      <c r="C1" s="6" t="s">
        <v>76</v>
      </c>
      <c r="D1" s="6" t="s">
        <v>74</v>
      </c>
      <c r="E1" s="6" t="s">
        <v>77</v>
      </c>
      <c r="F1" s="6" t="s">
        <v>78</v>
      </c>
      <c r="G1" s="6" t="s">
        <v>74</v>
      </c>
      <c r="H1" s="6" t="s">
        <v>83</v>
      </c>
      <c r="I1" s="6" t="s">
        <v>84</v>
      </c>
      <c r="J1" s="6" t="s">
        <v>85</v>
      </c>
      <c r="K1" s="6" t="s">
        <v>76</v>
      </c>
    </row>
    <row r="2" spans="1:12">
      <c r="A2" s="86"/>
      <c r="L2" s="91">
        <f>L3*(1+J3)</f>
        <v>99758.148426032218</v>
      </c>
    </row>
    <row r="3" spans="1:12">
      <c r="A3" s="86">
        <v>41124</v>
      </c>
      <c r="B3" s="79">
        <v>1.1100000000000001E-3</v>
      </c>
      <c r="C3" s="79">
        <f t="shared" ref="C3:C23" si="0">LN(1+B3)</f>
        <v>1.1093844054977636E-3</v>
      </c>
      <c r="D3" s="88">
        <v>41124</v>
      </c>
      <c r="E3" s="4">
        <v>109701.55</v>
      </c>
      <c r="F3" s="79">
        <f>LN(E3)-LN(E4)</f>
        <v>0</v>
      </c>
      <c r="G3" s="88">
        <v>41124</v>
      </c>
      <c r="I3" s="89">
        <v>1390.99</v>
      </c>
      <c r="J3" s="90">
        <f t="shared" ref="J3:J21" si="1">I3/I4-1</f>
        <v>1.9040293040293088E-2</v>
      </c>
      <c r="K3" s="91">
        <f t="shared" ref="K3:K23" si="2">LN(1+J3)</f>
        <v>1.8861295205931709E-2</v>
      </c>
      <c r="L3" s="91">
        <f>L4*(1+J4)</f>
        <v>97894.213906306992</v>
      </c>
    </row>
    <row r="4" spans="1:12">
      <c r="A4" s="86">
        <v>41123</v>
      </c>
      <c r="B4" s="79">
        <v>1.09E-3</v>
      </c>
      <c r="C4" s="79">
        <f t="shared" si="0"/>
        <v>1.0894063813237807E-3</v>
      </c>
      <c r="D4" s="88">
        <v>41123</v>
      </c>
      <c r="E4" s="4">
        <v>109701.55</v>
      </c>
      <c r="F4" s="79">
        <f>LN(E4)-LN(E5)</f>
        <v>2.667121582926768E-2</v>
      </c>
      <c r="G4" s="88">
        <v>41123</v>
      </c>
      <c r="I4" s="89">
        <v>1365</v>
      </c>
      <c r="J4" s="90">
        <f t="shared" si="1"/>
        <v>-7.5037082279032497E-3</v>
      </c>
      <c r="K4" s="91">
        <f t="shared" si="2"/>
        <v>-7.532002677547946E-3</v>
      </c>
      <c r="L4" s="91">
        <f>L5*(1+J5)</f>
        <v>98634.33719386236</v>
      </c>
    </row>
    <row r="5" spans="1:12">
      <c r="A5" s="86">
        <v>41122</v>
      </c>
      <c r="B5" s="79">
        <v>1.1199999999999999E-3</v>
      </c>
      <c r="C5" s="79">
        <f t="shared" si="0"/>
        <v>1.1193732679163155E-3</v>
      </c>
      <c r="D5" s="88">
        <v>41122</v>
      </c>
      <c r="E5" s="4">
        <v>106814.35</v>
      </c>
      <c r="F5" s="79">
        <f>LN(E5)-LN(E6)</f>
        <v>-8.4222864279226428E-4</v>
      </c>
      <c r="G5" s="88">
        <v>41122</v>
      </c>
      <c r="I5" s="89">
        <v>1375.32</v>
      </c>
      <c r="J5" s="90">
        <f t="shared" si="1"/>
        <v>-2.8999797001421079E-3</v>
      </c>
      <c r="K5" s="91">
        <f t="shared" si="2"/>
        <v>-2.9041927884913225E-3</v>
      </c>
      <c r="L5" s="91">
        <f>L6*(1+J6)</f>
        <v>98921.206685162892</v>
      </c>
    </row>
    <row r="6" spans="1:12">
      <c r="A6" s="86">
        <v>41121</v>
      </c>
      <c r="B6" s="79">
        <v>1.1100000000000001E-3</v>
      </c>
      <c r="C6" s="79">
        <f t="shared" si="0"/>
        <v>1.1093844054977636E-3</v>
      </c>
      <c r="D6" s="88">
        <v>41121</v>
      </c>
      <c r="E6" s="4">
        <v>106904.35</v>
      </c>
      <c r="F6" s="79">
        <f>LN(E6)-LN(E7)</f>
        <v>-1.9904530271812604E-3</v>
      </c>
      <c r="G6" s="88">
        <v>41121</v>
      </c>
      <c r="I6" s="89">
        <v>1379.32</v>
      </c>
      <c r="J6" s="90">
        <f t="shared" si="1"/>
        <v>-4.3167544936114632E-3</v>
      </c>
      <c r="K6" s="91">
        <f t="shared" si="2"/>
        <v>-4.3260985787338772E-3</v>
      </c>
      <c r="L6" s="91">
        <f>L7*(1+J7)</f>
        <v>99350.076574657185</v>
      </c>
    </row>
    <row r="7" spans="1:12">
      <c r="A7" s="86">
        <v>41120</v>
      </c>
      <c r="B7" s="79">
        <v>1.1199999999999999E-3</v>
      </c>
      <c r="C7" s="79">
        <f t="shared" si="0"/>
        <v>1.1193732679163155E-3</v>
      </c>
      <c r="D7" s="88">
        <v>41120</v>
      </c>
      <c r="E7" s="4">
        <v>107117.35</v>
      </c>
      <c r="F7" s="79">
        <f>LN(E7)-LN(E8)</f>
        <v>3.5870783137283979E-3</v>
      </c>
      <c r="G7" s="88">
        <v>41120</v>
      </c>
      <c r="I7" s="89">
        <v>1385.3</v>
      </c>
      <c r="J7" s="90">
        <f t="shared" si="1"/>
        <v>-4.834159469542243E-4</v>
      </c>
      <c r="K7" s="91">
        <f t="shared" si="2"/>
        <v>-4.8353283011341573E-4</v>
      </c>
      <c r="L7" s="91">
        <f>L8*(1+J8)</f>
        <v>99398.12721445004</v>
      </c>
    </row>
    <row r="8" spans="1:12">
      <c r="A8" s="86">
        <v>41117</v>
      </c>
      <c r="B8" s="79">
        <v>1.1100000000000001E-3</v>
      </c>
      <c r="C8" s="79">
        <f t="shared" si="0"/>
        <v>1.1093844054977636E-3</v>
      </c>
      <c r="D8" s="88">
        <v>41117</v>
      </c>
      <c r="E8" s="4">
        <v>106733.8</v>
      </c>
      <c r="F8" s="79">
        <f>LN(E8)-LN(E9)</f>
        <v>2.8763560862898885E-5</v>
      </c>
      <c r="G8" s="88">
        <v>41117</v>
      </c>
      <c r="H8">
        <v>1367.95</v>
      </c>
      <c r="I8" s="89">
        <v>1385.97</v>
      </c>
      <c r="J8" s="90">
        <f>I8/H8-1</f>
        <v>1.3172996089038325E-2</v>
      </c>
      <c r="K8" s="91">
        <f t="shared" si="2"/>
        <v>1.3086986687010048E-2</v>
      </c>
      <c r="L8" s="91">
        <f>L9*(1+J9)</f>
        <v>98105.780156141132</v>
      </c>
    </row>
    <row r="9" spans="1:12">
      <c r="A9" s="86">
        <v>41116</v>
      </c>
      <c r="B9" s="79">
        <v>1.1199999999999999E-3</v>
      </c>
      <c r="C9" s="79">
        <f t="shared" si="0"/>
        <v>1.1193732679163155E-3</v>
      </c>
      <c r="D9" s="88">
        <v>41114</v>
      </c>
      <c r="E9" s="4">
        <v>106730.73</v>
      </c>
      <c r="F9" s="79">
        <f>LN(E9)-LN(E10)</f>
        <v>0</v>
      </c>
      <c r="G9" s="88">
        <v>41114</v>
      </c>
      <c r="I9" s="89">
        <v>1338.31</v>
      </c>
      <c r="J9" s="90">
        <f t="shared" si="1"/>
        <v>-9.0409619998222945E-3</v>
      </c>
      <c r="K9" s="91">
        <f t="shared" si="2"/>
        <v>-9.0820795122977943E-3</v>
      </c>
      <c r="L9" s="91">
        <f>L10*(1+J10)</f>
        <v>99000.843015797334</v>
      </c>
    </row>
    <row r="10" spans="1:12">
      <c r="A10" s="86">
        <v>41115</v>
      </c>
      <c r="B10" s="79">
        <v>1.14E-3</v>
      </c>
      <c r="C10" s="79">
        <f t="shared" si="0"/>
        <v>1.1393506934260637E-3</v>
      </c>
      <c r="D10" s="88">
        <v>41113</v>
      </c>
      <c r="E10" s="4">
        <v>106730.73</v>
      </c>
      <c r="F10" s="79">
        <f>LN(E10)-LN(E11)</f>
        <v>2.7888141237815134E-2</v>
      </c>
      <c r="G10" s="88">
        <v>41113</v>
      </c>
      <c r="I10" s="89">
        <v>1350.52</v>
      </c>
      <c r="J10" s="90">
        <f t="shared" si="1"/>
        <v>-8.909045543275762E-3</v>
      </c>
      <c r="K10" s="91">
        <f t="shared" si="2"/>
        <v>-8.9489683826660012E-3</v>
      </c>
      <c r="L10" s="91">
        <f>L11*(1+J11)</f>
        <v>99890.774474947728</v>
      </c>
    </row>
    <row r="11" spans="1:12">
      <c r="A11" s="86">
        <v>41114</v>
      </c>
      <c r="B11" s="79">
        <v>1.1299999999999999E-3</v>
      </c>
      <c r="C11" s="79">
        <f t="shared" si="0"/>
        <v>1.1293620305584918E-3</v>
      </c>
      <c r="D11" s="88">
        <v>41110</v>
      </c>
      <c r="E11" s="4">
        <v>103795.33</v>
      </c>
      <c r="F11" s="79">
        <f>LN(E11)-LN(E12)</f>
        <v>1.6378520321325141E-5</v>
      </c>
      <c r="G11" s="88">
        <v>41110</v>
      </c>
      <c r="I11" s="89">
        <v>1362.66</v>
      </c>
      <c r="J11" s="90">
        <f t="shared" si="1"/>
        <v>-1.0061677721193374E-2</v>
      </c>
      <c r="K11" s="91">
        <f t="shared" si="2"/>
        <v>-1.011263852275059E-2</v>
      </c>
      <c r="L11" s="91">
        <f>L12*(1+J12)</f>
        <v>100906.05871788289</v>
      </c>
    </row>
    <row r="12" spans="1:12">
      <c r="A12" s="86">
        <v>41113</v>
      </c>
      <c r="B12" s="79">
        <v>1.16E-3</v>
      </c>
      <c r="C12" s="79">
        <f t="shared" si="0"/>
        <v>1.1593277198464764E-3</v>
      </c>
      <c r="D12" s="88">
        <v>41109</v>
      </c>
      <c r="E12" s="4">
        <v>103793.63</v>
      </c>
      <c r="F12" s="79">
        <f>LN(E12)-LN(E13)</f>
        <v>5.5823680762188133E-3</v>
      </c>
      <c r="G12" s="88">
        <v>41109</v>
      </c>
      <c r="I12" s="89">
        <v>1376.51</v>
      </c>
      <c r="J12" s="90">
        <f t="shared" si="1"/>
        <v>2.7171141770714335E-3</v>
      </c>
      <c r="K12" s="91">
        <f t="shared" si="2"/>
        <v>2.7134294953041031E-3</v>
      </c>
      <c r="L12" s="91">
        <f>L13*(1+J13)</f>
        <v>100632.62837664475</v>
      </c>
    </row>
    <row r="13" spans="1:12">
      <c r="A13" s="86">
        <v>41110</v>
      </c>
      <c r="B13" s="79">
        <v>1.15E-3</v>
      </c>
      <c r="C13" s="79">
        <f t="shared" si="0"/>
        <v>1.149339256521468E-3</v>
      </c>
      <c r="D13" s="88">
        <v>41108</v>
      </c>
      <c r="E13" s="4">
        <v>103215.83</v>
      </c>
      <c r="F13" s="79">
        <f>LN(E13)-LN(E14)</f>
        <v>0</v>
      </c>
      <c r="G13" s="88">
        <v>41108</v>
      </c>
      <c r="I13" s="89">
        <v>1372.78</v>
      </c>
      <c r="J13" s="90">
        <f t="shared" si="1"/>
        <v>6.6805018809534822E-3</v>
      </c>
      <c r="K13" s="91">
        <f t="shared" si="2"/>
        <v>6.6582862145774472E-3</v>
      </c>
      <c r="L13" s="91">
        <f>L14*(1+J14)</f>
        <v>99964.813253674409</v>
      </c>
    </row>
    <row r="14" spans="1:12">
      <c r="A14" s="86">
        <v>41109</v>
      </c>
      <c r="B14" s="79">
        <v>1.1999999999999999E-3</v>
      </c>
      <c r="C14" s="79">
        <f t="shared" si="0"/>
        <v>1.1992805754821869E-3</v>
      </c>
      <c r="D14" s="88">
        <v>41107</v>
      </c>
      <c r="E14" s="4">
        <v>103215.83</v>
      </c>
      <c r="F14" s="79">
        <f>LN(E14)-LN(E15)</f>
        <v>1.090153552342521E-2</v>
      </c>
      <c r="G14" s="88">
        <v>41107</v>
      </c>
      <c r="I14" s="89">
        <v>1363.67</v>
      </c>
      <c r="J14" s="90">
        <f t="shared" si="1"/>
        <v>7.4096510150409856E-3</v>
      </c>
      <c r="K14" s="91">
        <f t="shared" si="2"/>
        <v>7.3823344056611782E-3</v>
      </c>
      <c r="L14" s="91">
        <f>L15*(1+J15)</f>
        <v>99229.556866913423</v>
      </c>
    </row>
    <row r="15" spans="1:12">
      <c r="A15" s="86">
        <v>41108</v>
      </c>
      <c r="B15" s="79">
        <v>1.1900000000000001E-3</v>
      </c>
      <c r="C15" s="79">
        <f t="shared" si="0"/>
        <v>1.1892925112188331E-3</v>
      </c>
      <c r="D15" s="88">
        <v>41106</v>
      </c>
      <c r="E15" s="4">
        <v>102096.73</v>
      </c>
      <c r="F15" s="79">
        <f>LN(E15)-LN(E16)</f>
        <v>3.9178608712830965E-6</v>
      </c>
      <c r="G15" s="88">
        <v>41106</v>
      </c>
      <c r="I15" s="89">
        <v>1353.64</v>
      </c>
      <c r="J15" s="90">
        <f t="shared" si="1"/>
        <v>-2.3143029820603678E-3</v>
      </c>
      <c r="K15" s="91">
        <f t="shared" si="2"/>
        <v>-2.316985120192678E-3</v>
      </c>
      <c r="L15" s="91">
        <f>L16*(1+J16)</f>
        <v>99459.736832459719</v>
      </c>
    </row>
    <row r="16" spans="1:12">
      <c r="A16" s="86">
        <v>41107</v>
      </c>
      <c r="B16" s="79">
        <v>1.1900000000000001E-3</v>
      </c>
      <c r="C16" s="79">
        <f t="shared" si="0"/>
        <v>1.1892925112188331E-3</v>
      </c>
      <c r="D16" s="88">
        <v>41103</v>
      </c>
      <c r="E16" s="4">
        <v>102096.33</v>
      </c>
      <c r="F16" s="79">
        <f>LN(E16)-LN(E17)</f>
        <v>0</v>
      </c>
      <c r="G16" s="88">
        <v>41103</v>
      </c>
      <c r="I16" s="89">
        <v>1356.78</v>
      </c>
      <c r="J16" s="90">
        <f t="shared" si="1"/>
        <v>1.6497347837813425E-2</v>
      </c>
      <c r="K16" s="91">
        <f t="shared" si="2"/>
        <v>1.636274497101934E-2</v>
      </c>
      <c r="L16" s="91">
        <f>L17*(1+J17)</f>
        <v>97845.544844775097</v>
      </c>
    </row>
    <row r="17" spans="1:12">
      <c r="A17" s="86">
        <v>41106</v>
      </c>
      <c r="B17" s="79">
        <v>1.14E-3</v>
      </c>
      <c r="C17" s="79">
        <f t="shared" si="0"/>
        <v>1.1393506934260637E-3</v>
      </c>
      <c r="D17" s="88">
        <v>41102</v>
      </c>
      <c r="E17" s="4">
        <v>102096.33</v>
      </c>
      <c r="F17" s="79">
        <f>LN(E17)-LN(E18)</f>
        <v>5.2627885948766107E-3</v>
      </c>
      <c r="G17" s="88">
        <v>41102</v>
      </c>
      <c r="I17" s="89">
        <v>1334.76</v>
      </c>
      <c r="J17" s="90">
        <f t="shared" si="1"/>
        <v>-4.9871407804987777E-3</v>
      </c>
      <c r="K17" s="91">
        <f t="shared" si="2"/>
        <v>-4.9996180683616704E-3</v>
      </c>
      <c r="L17" s="91">
        <f>L18*(1+J18)</f>
        <v>98335.960121687473</v>
      </c>
    </row>
    <row r="18" spans="1:12">
      <c r="A18" s="86">
        <v>41103</v>
      </c>
      <c r="B18" s="79">
        <v>1.17E-3</v>
      </c>
      <c r="C18" s="79">
        <f t="shared" si="0"/>
        <v>1.1693160834028598E-3</v>
      </c>
      <c r="D18" s="88">
        <v>41101</v>
      </c>
      <c r="E18" s="4">
        <v>101560.43</v>
      </c>
      <c r="F18" s="79">
        <f>LN(E18)-LN(E19)</f>
        <v>1.4198672223262321E-3</v>
      </c>
      <c r="G18" s="88">
        <v>41101</v>
      </c>
      <c r="I18" s="89">
        <v>1341.45</v>
      </c>
      <c r="J18" s="90">
        <f t="shared" si="1"/>
        <v>-1.4909017719388906E-5</v>
      </c>
      <c r="K18" s="91">
        <f t="shared" si="2"/>
        <v>-1.490912885989825E-5</v>
      </c>
      <c r="L18" s="91">
        <f>L19*(1+J19)</f>
        <v>98337.42623611771</v>
      </c>
    </row>
    <row r="19" spans="1:12">
      <c r="A19" s="86">
        <v>41102</v>
      </c>
      <c r="B19" s="79">
        <v>1.2800000000000001E-3</v>
      </c>
      <c r="C19" s="79">
        <f t="shared" si="0"/>
        <v>1.2791814983802124E-3</v>
      </c>
      <c r="D19" s="88">
        <v>41100</v>
      </c>
      <c r="E19" s="4">
        <v>101416.33</v>
      </c>
      <c r="F19" s="79">
        <f>LN(E19)-LN(E20)</f>
        <v>5.521230615510575E-3</v>
      </c>
      <c r="G19" s="88">
        <v>41100</v>
      </c>
      <c r="I19" s="89">
        <v>1341.47</v>
      </c>
      <c r="J19" s="90">
        <f t="shared" si="1"/>
        <v>-8.1259334841695674E-3</v>
      </c>
      <c r="K19" s="91">
        <f t="shared" si="2"/>
        <v>-8.1591288327641839E-3</v>
      </c>
      <c r="L19" s="91">
        <f>L20*(1+J20)</f>
        <v>99143.056115529791</v>
      </c>
    </row>
    <row r="20" spans="1:12">
      <c r="A20" s="86">
        <v>41099</v>
      </c>
      <c r="B20" s="79">
        <v>3.2499999999999999E-3</v>
      </c>
      <c r="C20" s="79">
        <f t="shared" si="0"/>
        <v>3.2447301648890294E-3</v>
      </c>
      <c r="D20" s="88">
        <v>41099</v>
      </c>
      <c r="E20" s="4">
        <v>100857.93</v>
      </c>
      <c r="F20" s="79">
        <f>LN(E20)-LN(E21)</f>
        <v>8.0615227396538813E-3</v>
      </c>
      <c r="G20" s="88">
        <v>41099</v>
      </c>
      <c r="I20" s="89">
        <v>1352.46</v>
      </c>
      <c r="J20" s="90">
        <f t="shared" si="1"/>
        <v>-1.6387633979980665E-3</v>
      </c>
      <c r="K20" s="91">
        <f t="shared" si="2"/>
        <v>-1.6401076395319903E-3</v>
      </c>
      <c r="L20" s="91">
        <f>L21*(1+J21)</f>
        <v>99305.794817285467</v>
      </c>
    </row>
    <row r="21" spans="1:12">
      <c r="A21" s="86">
        <v>41096</v>
      </c>
      <c r="B21" s="79">
        <v>3.29E-3</v>
      </c>
      <c r="C21" s="79">
        <f t="shared" si="0"/>
        <v>3.2845997912162779E-3</v>
      </c>
      <c r="D21" s="88">
        <v>41096</v>
      </c>
      <c r="E21" s="4">
        <v>100048.13</v>
      </c>
      <c r="F21" s="79">
        <f>LN(E21)-LN(E22)</f>
        <v>-2.0560941727563176E-3</v>
      </c>
      <c r="G21" s="88">
        <v>41096</v>
      </c>
      <c r="I21" s="89">
        <v>1354.68</v>
      </c>
      <c r="J21" s="90">
        <f t="shared" si="1"/>
        <v>-9.4327205721054241E-3</v>
      </c>
      <c r="K21" s="91">
        <f t="shared" si="2"/>
        <v>-9.4774904376453764E-3</v>
      </c>
      <c r="L21" s="91">
        <f>L22*(1+J22)</f>
        <v>100251.43862478464</v>
      </c>
    </row>
    <row r="22" spans="1:12">
      <c r="A22" s="86">
        <v>41095</v>
      </c>
      <c r="B22" s="79">
        <v>3.31E-3</v>
      </c>
      <c r="C22" s="79">
        <f t="shared" si="0"/>
        <v>3.3045340083004715E-3</v>
      </c>
      <c r="D22" s="86">
        <v>41095</v>
      </c>
      <c r="E22" s="4">
        <v>100254.05</v>
      </c>
      <c r="F22" s="79">
        <f>LN(E22)-LN(E23)</f>
        <v>2.0051075443205946E-4</v>
      </c>
      <c r="G22" s="86">
        <v>41095</v>
      </c>
      <c r="I22" s="89">
        <v>1367.58</v>
      </c>
      <c r="J22" s="90">
        <f>I22/I23-1</f>
        <v>-4.6869768998996086E-3</v>
      </c>
      <c r="K22" s="91">
        <f t="shared" si="2"/>
        <v>-4.6979952180121604E-3</v>
      </c>
      <c r="L22" s="91">
        <f>L23*(1+J23)</f>
        <v>100723.52747131912</v>
      </c>
    </row>
    <row r="23" spans="1:12">
      <c r="A23" s="86">
        <v>41094</v>
      </c>
      <c r="B23" s="79">
        <v>3.32E-3</v>
      </c>
      <c r="C23" s="79">
        <f t="shared" si="0"/>
        <v>3.31450096782978E-3</v>
      </c>
      <c r="D23" s="88">
        <v>41094</v>
      </c>
      <c r="E23" s="4">
        <v>100233.95</v>
      </c>
      <c r="F23" s="79">
        <f>LN(E23)-LN(E24)</f>
        <v>2.8774137534117727E-3</v>
      </c>
      <c r="G23" s="88">
        <v>41094</v>
      </c>
      <c r="I23" s="89">
        <v>1374.02</v>
      </c>
      <c r="J23" s="90">
        <f>I23/I24-1</f>
        <v>0</v>
      </c>
      <c r="K23" s="91">
        <f t="shared" si="2"/>
        <v>0</v>
      </c>
      <c r="L23" s="91">
        <f>L24*(1+J24)</f>
        <v>100723.52747131912</v>
      </c>
    </row>
    <row r="24" spans="1:12">
      <c r="A24" s="86">
        <v>41093</v>
      </c>
      <c r="B24" s="79">
        <v>3.32E-3</v>
      </c>
      <c r="C24" s="79">
        <f>LN(1+B24)</f>
        <v>3.31450096782978E-3</v>
      </c>
      <c r="D24" s="88">
        <v>41093</v>
      </c>
      <c r="E24" s="4">
        <v>99945.95</v>
      </c>
      <c r="F24" s="79">
        <f>LN(E24)-LN(E25)</f>
        <v>-5.4064612278104107E-4</v>
      </c>
      <c r="G24" s="88">
        <v>41093</v>
      </c>
      <c r="H24">
        <v>1364.15</v>
      </c>
      <c r="I24" s="89">
        <v>1374.02</v>
      </c>
      <c r="J24" s="90">
        <f>I24/H24-1</f>
        <v>7.2352747131911865E-3</v>
      </c>
      <c r="K24" s="91">
        <f>LN(1+J24)</f>
        <v>7.2092256855503896E-3</v>
      </c>
      <c r="L24" s="92">
        <v>100000</v>
      </c>
    </row>
    <row r="25" spans="1:12">
      <c r="D25" s="88">
        <v>41092</v>
      </c>
      <c r="E25" s="4">
        <v>100000</v>
      </c>
      <c r="G25" s="88">
        <v>41092</v>
      </c>
    </row>
    <row r="26" spans="1:12">
      <c r="L26" s="93"/>
    </row>
    <row r="27" spans="1:12">
      <c r="A27" s="6" t="s">
        <v>79</v>
      </c>
      <c r="B27" s="6"/>
      <c r="C27" s="6" t="s">
        <v>109</v>
      </c>
      <c r="D27" s="6"/>
      <c r="E27" s="6"/>
    </row>
    <row r="28" spans="1:12">
      <c r="A28" t="s">
        <v>80</v>
      </c>
      <c r="B28" s="87">
        <f>AVERAGE(F3:F18)</f>
        <v>4.9080858168587538E-3</v>
      </c>
      <c r="C28">
        <f>(1+B28)^250</f>
        <v>3.4008319997266638</v>
      </c>
    </row>
    <row r="29" spans="1:12">
      <c r="A29" t="s">
        <v>86</v>
      </c>
      <c r="B29">
        <f>(1+AVERAGE(C3:C24))^(1/250)-1</f>
        <v>6.5367934394267024E-6</v>
      </c>
      <c r="C29">
        <f>(1+B29)^250</f>
        <v>1.0016355290397385</v>
      </c>
    </row>
    <row r="30" spans="1:12">
      <c r="A30" s="6" t="s">
        <v>87</v>
      </c>
      <c r="B30">
        <f>_xlfn.COVARIANCE.P(F3:F24,K3:K24)/_xlfn.VAR.P(K3:K24)</f>
        <v>-0.2677057032815528</v>
      </c>
      <c r="C30">
        <f>B30</f>
        <v>-0.2677057032815528</v>
      </c>
    </row>
    <row r="31" spans="1:12">
      <c r="A31" s="6" t="s">
        <v>88</v>
      </c>
      <c r="B31" s="6">
        <f>((B28-B29)/B30)</f>
        <v>-1.83094680589014E-2</v>
      </c>
      <c r="C31" s="6">
        <f>(C28-C29)/C30</f>
        <v>-8.962067080668918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opLeftCell="A3" workbookViewId="0">
      <selection activeCell="D33" sqref="D33"/>
    </sheetView>
  </sheetViews>
  <sheetFormatPr baseColWidth="10" defaultRowHeight="15" x14ac:dyDescent="0"/>
  <cols>
    <col min="1" max="1" width="25.5" bestFit="1" customWidth="1"/>
    <col min="2" max="2" width="22.83203125" bestFit="1" customWidth="1"/>
    <col min="3" max="3" width="12.1640625" bestFit="1" customWidth="1"/>
    <col min="4" max="4" width="21" bestFit="1" customWidth="1"/>
    <col min="5" max="5" width="11.1640625" bestFit="1" customWidth="1"/>
    <col min="6" max="6" width="25.5" bestFit="1" customWidth="1"/>
    <col min="7" max="7" width="8.33203125" bestFit="1" customWidth="1"/>
    <col min="8" max="8" width="21.83203125" bestFit="1" customWidth="1"/>
    <col min="10" max="10" width="7.1640625" bestFit="1" customWidth="1"/>
    <col min="11" max="11" width="12.83203125" bestFit="1" customWidth="1"/>
  </cols>
  <sheetData>
    <row r="1" spans="1:11">
      <c r="A1" s="95"/>
    </row>
    <row r="3" spans="1:11">
      <c r="A3" s="6" t="s">
        <v>74</v>
      </c>
      <c r="B3" s="6" t="s">
        <v>75</v>
      </c>
      <c r="C3" s="6" t="s">
        <v>76</v>
      </c>
      <c r="D3" s="6" t="s">
        <v>74</v>
      </c>
      <c r="E3" s="6" t="s">
        <v>77</v>
      </c>
      <c r="F3" s="6" t="s">
        <v>78</v>
      </c>
      <c r="G3" s="6" t="s">
        <v>74</v>
      </c>
      <c r="H3" s="6" t="s">
        <v>83</v>
      </c>
      <c r="I3" s="6" t="s">
        <v>84</v>
      </c>
      <c r="J3" s="6" t="s">
        <v>85</v>
      </c>
      <c r="K3" s="6" t="s">
        <v>76</v>
      </c>
    </row>
    <row r="4" spans="1:11">
      <c r="A4" s="86"/>
      <c r="D4" s="88">
        <v>41124</v>
      </c>
      <c r="E4" s="4">
        <v>109701.55</v>
      </c>
      <c r="F4" s="87">
        <f t="shared" ref="F4:F24" si="0">LN(E4)-LN(E5)</f>
        <v>0</v>
      </c>
      <c r="G4" s="88">
        <v>41124</v>
      </c>
      <c r="I4" s="89">
        <v>1390.99</v>
      </c>
      <c r="J4" s="90">
        <f t="shared" ref="J4:J22" si="1">I4/I5-1</f>
        <v>1.9040293040293088E-2</v>
      </c>
      <c r="K4" s="91">
        <f t="shared" ref="K4:K24" si="2">LN(1+J4)</f>
        <v>1.8861295205931709E-2</v>
      </c>
    </row>
    <row r="5" spans="1:11">
      <c r="A5" s="86">
        <v>41093</v>
      </c>
      <c r="B5" s="79">
        <v>3.32E-3</v>
      </c>
      <c r="C5">
        <f t="shared" ref="C5:C25" si="3">LN(1+B5)</f>
        <v>3.31450096782978E-3</v>
      </c>
      <c r="D5" s="88">
        <v>41123</v>
      </c>
      <c r="E5" s="4">
        <v>109701.55</v>
      </c>
      <c r="F5" s="87">
        <f t="shared" si="0"/>
        <v>2.667121582926768E-2</v>
      </c>
      <c r="G5" s="88">
        <v>41123</v>
      </c>
      <c r="I5" s="89">
        <v>1365</v>
      </c>
      <c r="J5" s="90">
        <f t="shared" si="1"/>
        <v>-7.5037082279032497E-3</v>
      </c>
      <c r="K5" s="91">
        <f t="shared" si="2"/>
        <v>-7.532002677547946E-3</v>
      </c>
    </row>
    <row r="6" spans="1:11">
      <c r="A6" s="86">
        <v>41094</v>
      </c>
      <c r="B6" s="79">
        <v>3.32E-3</v>
      </c>
      <c r="C6">
        <f t="shared" si="3"/>
        <v>3.31450096782978E-3</v>
      </c>
      <c r="D6" s="88">
        <v>41122</v>
      </c>
      <c r="E6" s="4">
        <v>106814.35</v>
      </c>
      <c r="F6" s="87">
        <f t="shared" si="0"/>
        <v>-8.4222864279226428E-4</v>
      </c>
      <c r="G6" s="88">
        <v>41122</v>
      </c>
      <c r="I6" s="89">
        <v>1375.32</v>
      </c>
      <c r="J6" s="90">
        <f t="shared" si="1"/>
        <v>-2.8999797001421079E-3</v>
      </c>
      <c r="K6" s="91">
        <f t="shared" si="2"/>
        <v>-2.9041927884913225E-3</v>
      </c>
    </row>
    <row r="7" spans="1:11">
      <c r="A7" s="86">
        <v>41095</v>
      </c>
      <c r="B7" s="79">
        <v>3.31E-3</v>
      </c>
      <c r="C7">
        <f t="shared" si="3"/>
        <v>3.3045340083004715E-3</v>
      </c>
      <c r="D7" s="88">
        <v>41121</v>
      </c>
      <c r="E7" s="4">
        <v>106904.35</v>
      </c>
      <c r="F7" s="87">
        <f t="shared" si="0"/>
        <v>-1.9904530271812604E-3</v>
      </c>
      <c r="G7" s="88">
        <v>41121</v>
      </c>
      <c r="I7" s="89">
        <v>1379.32</v>
      </c>
      <c r="J7" s="90">
        <f t="shared" si="1"/>
        <v>-4.3167544936114632E-3</v>
      </c>
      <c r="K7" s="91">
        <f t="shared" si="2"/>
        <v>-4.3260985787338772E-3</v>
      </c>
    </row>
    <row r="8" spans="1:11">
      <c r="A8" s="86">
        <v>41096</v>
      </c>
      <c r="B8" s="79">
        <v>3.29E-3</v>
      </c>
      <c r="C8">
        <f t="shared" si="3"/>
        <v>3.2845997912162779E-3</v>
      </c>
      <c r="D8" s="88">
        <v>41120</v>
      </c>
      <c r="E8" s="4">
        <v>107117.35</v>
      </c>
      <c r="F8" s="87">
        <f t="shared" si="0"/>
        <v>3.5870783137283979E-3</v>
      </c>
      <c r="G8" s="88">
        <v>41120</v>
      </c>
      <c r="I8" s="89">
        <v>1385.3</v>
      </c>
      <c r="J8" s="90">
        <f t="shared" si="1"/>
        <v>-4.834159469542243E-4</v>
      </c>
      <c r="K8" s="91">
        <f t="shared" si="2"/>
        <v>-4.8353283011341573E-4</v>
      </c>
    </row>
    <row r="9" spans="1:11">
      <c r="A9" s="86">
        <v>41099</v>
      </c>
      <c r="B9" s="79">
        <v>3.2499999999999999E-3</v>
      </c>
      <c r="C9">
        <f t="shared" si="3"/>
        <v>3.2447301648890294E-3</v>
      </c>
      <c r="D9" s="88">
        <v>41117</v>
      </c>
      <c r="E9" s="4">
        <v>106733.8</v>
      </c>
      <c r="F9" s="87">
        <f>LN(E9)-LN(E10)</f>
        <v>2.8763560862898885E-5</v>
      </c>
      <c r="G9" s="88">
        <v>41117</v>
      </c>
      <c r="H9">
        <v>1367.95</v>
      </c>
      <c r="I9" s="89">
        <v>1385.97</v>
      </c>
      <c r="J9" s="90">
        <f>I9/H9-1</f>
        <v>1.3172996089038325E-2</v>
      </c>
      <c r="K9" s="91">
        <f t="shared" si="2"/>
        <v>1.3086986687010048E-2</v>
      </c>
    </row>
    <row r="10" spans="1:11">
      <c r="A10" s="86">
        <v>41102</v>
      </c>
      <c r="B10" s="79">
        <v>1.2800000000000001E-3</v>
      </c>
      <c r="C10">
        <f t="shared" si="3"/>
        <v>1.2791814983802124E-3</v>
      </c>
      <c r="D10" s="88">
        <v>41114</v>
      </c>
      <c r="E10" s="4">
        <v>106730.73</v>
      </c>
      <c r="F10" s="87">
        <f t="shared" si="0"/>
        <v>0</v>
      </c>
      <c r="G10" s="88">
        <v>41114</v>
      </c>
      <c r="I10" s="89">
        <v>1338.31</v>
      </c>
      <c r="J10" s="90">
        <f t="shared" si="1"/>
        <v>-9.0409619998222945E-3</v>
      </c>
      <c r="K10" s="91">
        <f t="shared" si="2"/>
        <v>-9.0820795122977943E-3</v>
      </c>
    </row>
    <row r="11" spans="1:11">
      <c r="A11" s="86">
        <v>41103</v>
      </c>
      <c r="B11" s="79">
        <v>1.17E-3</v>
      </c>
      <c r="C11">
        <f t="shared" si="3"/>
        <v>1.1693160834028598E-3</v>
      </c>
      <c r="D11" s="88">
        <v>41113</v>
      </c>
      <c r="E11" s="4">
        <v>106730.73</v>
      </c>
      <c r="F11" s="87">
        <f t="shared" si="0"/>
        <v>2.7888141237815134E-2</v>
      </c>
      <c r="G11" s="88">
        <v>41113</v>
      </c>
      <c r="I11" s="89">
        <v>1350.52</v>
      </c>
      <c r="J11" s="90">
        <f t="shared" si="1"/>
        <v>-8.909045543275762E-3</v>
      </c>
      <c r="K11" s="91">
        <f t="shared" si="2"/>
        <v>-8.9489683826660012E-3</v>
      </c>
    </row>
    <row r="12" spans="1:11">
      <c r="A12" s="86">
        <v>41106</v>
      </c>
      <c r="B12" s="79">
        <v>1.14E-3</v>
      </c>
      <c r="C12">
        <f t="shared" si="3"/>
        <v>1.1393506934260637E-3</v>
      </c>
      <c r="D12" s="88">
        <v>41110</v>
      </c>
      <c r="E12" s="4">
        <v>103795.33</v>
      </c>
      <c r="F12" s="87">
        <f t="shared" si="0"/>
        <v>1.6378520321325141E-5</v>
      </c>
      <c r="G12" s="88">
        <v>41110</v>
      </c>
      <c r="I12" s="89">
        <v>1362.66</v>
      </c>
      <c r="J12" s="90">
        <f t="shared" si="1"/>
        <v>-1.0061677721193374E-2</v>
      </c>
      <c r="K12" s="91">
        <f t="shared" si="2"/>
        <v>-1.011263852275059E-2</v>
      </c>
    </row>
    <row r="13" spans="1:11">
      <c r="A13" s="86">
        <v>41107</v>
      </c>
      <c r="B13" s="79">
        <v>1.1900000000000001E-3</v>
      </c>
      <c r="C13">
        <f t="shared" si="3"/>
        <v>1.1892925112188331E-3</v>
      </c>
      <c r="D13" s="88">
        <v>41109</v>
      </c>
      <c r="E13" s="4">
        <v>103793.63</v>
      </c>
      <c r="F13" s="87">
        <f t="shared" si="0"/>
        <v>5.5823680762188133E-3</v>
      </c>
      <c r="G13" s="88">
        <v>41109</v>
      </c>
      <c r="I13" s="89">
        <v>1376.51</v>
      </c>
      <c r="J13" s="90">
        <f t="shared" si="1"/>
        <v>2.7171141770714335E-3</v>
      </c>
      <c r="K13" s="91">
        <f t="shared" si="2"/>
        <v>2.7134294953041031E-3</v>
      </c>
    </row>
    <row r="14" spans="1:11">
      <c r="A14" s="86">
        <v>41108</v>
      </c>
      <c r="B14" s="79">
        <v>1.1900000000000001E-3</v>
      </c>
      <c r="C14">
        <f t="shared" si="3"/>
        <v>1.1892925112188331E-3</v>
      </c>
      <c r="D14" s="88">
        <v>41108</v>
      </c>
      <c r="E14" s="4">
        <v>103215.83</v>
      </c>
      <c r="F14" s="87">
        <f t="shared" si="0"/>
        <v>0</v>
      </c>
      <c r="G14" s="88">
        <v>41108</v>
      </c>
      <c r="I14" s="89">
        <v>1372.78</v>
      </c>
      <c r="J14" s="90">
        <f t="shared" si="1"/>
        <v>6.6805018809534822E-3</v>
      </c>
      <c r="K14" s="91">
        <f t="shared" si="2"/>
        <v>6.6582862145774472E-3</v>
      </c>
    </row>
    <row r="15" spans="1:11">
      <c r="A15" s="86">
        <v>41109</v>
      </c>
      <c r="B15" s="79">
        <v>1.1999999999999999E-3</v>
      </c>
      <c r="C15">
        <f t="shared" si="3"/>
        <v>1.1992805754821869E-3</v>
      </c>
      <c r="D15" s="88">
        <v>41107</v>
      </c>
      <c r="E15" s="4">
        <v>103215.83</v>
      </c>
      <c r="F15" s="87">
        <f t="shared" si="0"/>
        <v>1.090153552342521E-2</v>
      </c>
      <c r="G15" s="88">
        <v>41107</v>
      </c>
      <c r="I15" s="89">
        <v>1363.67</v>
      </c>
      <c r="J15" s="90">
        <f t="shared" si="1"/>
        <v>7.4096510150409856E-3</v>
      </c>
      <c r="K15" s="91">
        <f t="shared" si="2"/>
        <v>7.3823344056611782E-3</v>
      </c>
    </row>
    <row r="16" spans="1:11">
      <c r="A16" s="86">
        <v>41110</v>
      </c>
      <c r="B16" s="79">
        <v>1.15E-3</v>
      </c>
      <c r="C16">
        <f t="shared" si="3"/>
        <v>1.149339256521468E-3</v>
      </c>
      <c r="D16" s="88">
        <v>41106</v>
      </c>
      <c r="E16" s="4">
        <v>102096.73</v>
      </c>
      <c r="F16" s="87">
        <f t="shared" si="0"/>
        <v>3.9178608712830965E-6</v>
      </c>
      <c r="G16" s="88">
        <v>41106</v>
      </c>
      <c r="I16" s="89">
        <v>1353.64</v>
      </c>
      <c r="J16" s="90">
        <f t="shared" si="1"/>
        <v>-2.3143029820603678E-3</v>
      </c>
      <c r="K16" s="91">
        <f t="shared" si="2"/>
        <v>-2.316985120192678E-3</v>
      </c>
    </row>
    <row r="17" spans="1:11">
      <c r="A17" s="86">
        <v>41113</v>
      </c>
      <c r="B17" s="79">
        <v>1.16E-3</v>
      </c>
      <c r="C17">
        <f t="shared" si="3"/>
        <v>1.1593277198464764E-3</v>
      </c>
      <c r="D17" s="88">
        <v>41103</v>
      </c>
      <c r="E17" s="4">
        <v>102096.33</v>
      </c>
      <c r="F17" s="87">
        <f t="shared" si="0"/>
        <v>0</v>
      </c>
      <c r="G17" s="88">
        <v>41103</v>
      </c>
      <c r="I17" s="89">
        <v>1356.78</v>
      </c>
      <c r="J17" s="90">
        <f t="shared" si="1"/>
        <v>1.6497347837813425E-2</v>
      </c>
      <c r="K17" s="91">
        <f t="shared" si="2"/>
        <v>1.636274497101934E-2</v>
      </c>
    </row>
    <row r="18" spans="1:11">
      <c r="A18" s="86">
        <v>41114</v>
      </c>
      <c r="B18" s="79">
        <v>1.1299999999999999E-3</v>
      </c>
      <c r="C18">
        <f t="shared" si="3"/>
        <v>1.1293620305584918E-3</v>
      </c>
      <c r="D18" s="88">
        <v>41102</v>
      </c>
      <c r="E18" s="4">
        <v>102096.33</v>
      </c>
      <c r="F18" s="87">
        <f t="shared" si="0"/>
        <v>5.2627885948766107E-3</v>
      </c>
      <c r="G18" s="88">
        <v>41102</v>
      </c>
      <c r="I18" s="89">
        <v>1334.76</v>
      </c>
      <c r="J18" s="90">
        <f t="shared" si="1"/>
        <v>-4.9871407804987777E-3</v>
      </c>
      <c r="K18" s="91">
        <f t="shared" si="2"/>
        <v>-4.9996180683616704E-3</v>
      </c>
    </row>
    <row r="19" spans="1:11">
      <c r="A19" s="86">
        <v>41115</v>
      </c>
      <c r="B19" s="79">
        <v>1.14E-3</v>
      </c>
      <c r="C19">
        <f t="shared" si="3"/>
        <v>1.1393506934260637E-3</v>
      </c>
      <c r="D19" s="88">
        <v>41101</v>
      </c>
      <c r="E19" s="4">
        <v>101560.43</v>
      </c>
      <c r="F19" s="87">
        <f t="shared" si="0"/>
        <v>1.4198672223262321E-3</v>
      </c>
      <c r="G19" s="88">
        <v>41101</v>
      </c>
      <c r="I19" s="89">
        <v>1341.45</v>
      </c>
      <c r="J19" s="90">
        <f t="shared" si="1"/>
        <v>-1.4909017719388906E-5</v>
      </c>
      <c r="K19" s="91">
        <f t="shared" si="2"/>
        <v>-1.490912885989825E-5</v>
      </c>
    </row>
    <row r="20" spans="1:11">
      <c r="A20" s="86">
        <v>41116</v>
      </c>
      <c r="B20" s="79">
        <v>1.1199999999999999E-3</v>
      </c>
      <c r="C20">
        <f t="shared" si="3"/>
        <v>1.1193732679163155E-3</v>
      </c>
      <c r="D20" s="88">
        <v>41100</v>
      </c>
      <c r="E20" s="4">
        <v>101416.33</v>
      </c>
      <c r="F20" s="87">
        <f t="shared" si="0"/>
        <v>5.521230615510575E-3</v>
      </c>
      <c r="G20" s="88">
        <v>41100</v>
      </c>
      <c r="I20" s="89">
        <v>1341.47</v>
      </c>
      <c r="J20" s="90">
        <f t="shared" si="1"/>
        <v>-8.1259334841695674E-3</v>
      </c>
      <c r="K20" s="91">
        <f t="shared" si="2"/>
        <v>-8.1591288327641839E-3</v>
      </c>
    </row>
    <row r="21" spans="1:11">
      <c r="A21" s="86">
        <v>41117</v>
      </c>
      <c r="B21" s="79">
        <v>1.1100000000000001E-3</v>
      </c>
      <c r="C21">
        <f t="shared" si="3"/>
        <v>1.1093844054977636E-3</v>
      </c>
      <c r="D21" s="88">
        <v>41099</v>
      </c>
      <c r="E21" s="4">
        <v>100857.93</v>
      </c>
      <c r="F21" s="87">
        <f t="shared" si="0"/>
        <v>8.0615227396538813E-3</v>
      </c>
      <c r="G21" s="88">
        <v>41099</v>
      </c>
      <c r="I21" s="89">
        <v>1352.46</v>
      </c>
      <c r="J21" s="90">
        <f t="shared" si="1"/>
        <v>-1.6387633979980665E-3</v>
      </c>
      <c r="K21" s="91">
        <f t="shared" si="2"/>
        <v>-1.6401076395319903E-3</v>
      </c>
    </row>
    <row r="22" spans="1:11">
      <c r="A22" s="86">
        <v>41120</v>
      </c>
      <c r="B22" s="79">
        <v>1.1199999999999999E-3</v>
      </c>
      <c r="C22">
        <f t="shared" si="3"/>
        <v>1.1193732679163155E-3</v>
      </c>
      <c r="D22" s="88">
        <v>41096</v>
      </c>
      <c r="E22" s="4">
        <v>100048.13</v>
      </c>
      <c r="F22" s="87">
        <f t="shared" si="0"/>
        <v>-2.0560941727563176E-3</v>
      </c>
      <c r="G22" s="88">
        <v>41096</v>
      </c>
      <c r="I22" s="89">
        <v>1354.68</v>
      </c>
      <c r="J22" s="90">
        <f t="shared" si="1"/>
        <v>-9.4327205721054241E-3</v>
      </c>
      <c r="K22" s="91">
        <f t="shared" si="2"/>
        <v>-9.4774904376453764E-3</v>
      </c>
    </row>
    <row r="23" spans="1:11">
      <c r="A23" s="86">
        <v>41121</v>
      </c>
      <c r="B23" s="79">
        <v>1.1100000000000001E-3</v>
      </c>
      <c r="C23">
        <f t="shared" si="3"/>
        <v>1.1093844054977636E-3</v>
      </c>
      <c r="D23" s="86">
        <v>41095</v>
      </c>
      <c r="E23" s="4">
        <v>100254.05</v>
      </c>
      <c r="F23" s="87">
        <f t="shared" si="0"/>
        <v>2.0051075443205946E-4</v>
      </c>
      <c r="G23" s="86">
        <v>41095</v>
      </c>
      <c r="I23" s="89">
        <v>1367.58</v>
      </c>
      <c r="J23" s="90">
        <f>I23/I24-1</f>
        <v>-4.6869768998996086E-3</v>
      </c>
      <c r="K23" s="91">
        <f t="shared" si="2"/>
        <v>-4.6979952180121604E-3</v>
      </c>
    </row>
    <row r="24" spans="1:11">
      <c r="A24" s="86">
        <v>41122</v>
      </c>
      <c r="B24" s="79">
        <v>1.1199999999999999E-3</v>
      </c>
      <c r="C24">
        <f t="shared" si="3"/>
        <v>1.1193732679163155E-3</v>
      </c>
      <c r="D24" s="88">
        <v>41094</v>
      </c>
      <c r="E24" s="4">
        <v>100233.95</v>
      </c>
      <c r="F24" s="87">
        <f t="shared" si="0"/>
        <v>2.8774137534117727E-3</v>
      </c>
      <c r="G24" s="88">
        <v>41094</v>
      </c>
      <c r="I24" s="89">
        <v>1374.02</v>
      </c>
      <c r="J24" s="90">
        <f>I24/I25-1</f>
        <v>0</v>
      </c>
      <c r="K24" s="91">
        <f t="shared" si="2"/>
        <v>0</v>
      </c>
    </row>
    <row r="25" spans="1:11">
      <c r="A25" s="86">
        <v>41123</v>
      </c>
      <c r="B25" s="79">
        <v>1.09E-3</v>
      </c>
      <c r="C25">
        <f t="shared" si="3"/>
        <v>1.0894063813237807E-3</v>
      </c>
      <c r="D25" s="88">
        <v>41093</v>
      </c>
      <c r="E25" s="4">
        <v>99945.95</v>
      </c>
      <c r="F25" s="87">
        <f>LN(E25)-LN(E26)</f>
        <v>-5.4064612278104107E-4</v>
      </c>
      <c r="G25" s="88">
        <v>41093</v>
      </c>
      <c r="H25">
        <v>1364.15</v>
      </c>
      <c r="I25" s="89">
        <v>1374.02</v>
      </c>
      <c r="J25" s="90">
        <f>I25/H25-1</f>
        <v>7.2352747131911865E-3</v>
      </c>
      <c r="K25" s="91">
        <f>LN(1+J25)</f>
        <v>7.2092256855503896E-3</v>
      </c>
    </row>
    <row r="26" spans="1:11">
      <c r="A26" s="86">
        <v>41124</v>
      </c>
      <c r="B26" s="79">
        <v>1.1100000000000001E-3</v>
      </c>
      <c r="C26">
        <f>LN(1+B26)</f>
        <v>1.1093844054977636E-3</v>
      </c>
      <c r="D26" s="88">
        <v>41092</v>
      </c>
      <c r="E26" s="4">
        <v>100000</v>
      </c>
      <c r="G26" s="88">
        <v>41092</v>
      </c>
    </row>
    <row r="28" spans="1:11">
      <c r="D28" s="6" t="s">
        <v>109</v>
      </c>
    </row>
    <row r="29" spans="1:11">
      <c r="A29" t="s">
        <v>80</v>
      </c>
      <c r="B29" s="87">
        <f>AVERAGE(F4:F25)</f>
        <v>4.208786847145954E-3</v>
      </c>
      <c r="D29" s="87">
        <f>(1+B29)^250</f>
        <v>2.8576187388632093</v>
      </c>
    </row>
    <row r="30" spans="1:11">
      <c r="A30" t="s">
        <v>81</v>
      </c>
      <c r="B30">
        <f>(1+AVERAGE(C5:C26))^(1/250)-1</f>
        <v>6.5367934394267024E-6</v>
      </c>
      <c r="D30">
        <f>(1+B30)^250</f>
        <v>1.0016355290397385</v>
      </c>
    </row>
    <row r="31" spans="1:11">
      <c r="A31" t="s">
        <v>87</v>
      </c>
      <c r="B31" s="96">
        <f>_xlfn.COVARIANCE.P(F4:F25,K4:K25)/_xlfn.VAR.P(K4:K25)</f>
        <v>-0.2677057032815528</v>
      </c>
      <c r="D31" s="96">
        <f>B31</f>
        <v>-0.2677057032815528</v>
      </c>
    </row>
    <row r="32" spans="1:11">
      <c r="A32" t="s">
        <v>91</v>
      </c>
      <c r="B32">
        <f>AVERAGE(K4:K25)</f>
        <v>-1.1006568513248593E-4</v>
      </c>
      <c r="D32">
        <f>(1+B32)^250</f>
        <v>0.97285723352038833</v>
      </c>
    </row>
    <row r="33" spans="1:4">
      <c r="A33" s="6" t="s">
        <v>92</v>
      </c>
      <c r="B33" s="100">
        <f>(B29-B30)-B31*(B32-B30)</f>
        <v>4.1710349051760614E-3</v>
      </c>
      <c r="C33" s="79"/>
      <c r="D33" s="100">
        <f>(D29-D30)-D31*(D32-D30)</f>
        <v>1.8482790959822188</v>
      </c>
    </row>
  </sheetData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9" workbookViewId="0">
      <selection activeCell="A40" sqref="A40"/>
    </sheetView>
  </sheetViews>
  <sheetFormatPr baseColWidth="10" defaultRowHeight="15" x14ac:dyDescent="0"/>
  <cols>
    <col min="1" max="1" width="25.5" bestFit="1" customWidth="1"/>
    <col min="2" max="2" width="22.83203125" bestFit="1" customWidth="1"/>
    <col min="3" max="3" width="12.1640625" bestFit="1" customWidth="1"/>
    <col min="4" max="4" width="8.33203125" bestFit="1" customWidth="1"/>
    <col min="5" max="5" width="11.1640625" bestFit="1" customWidth="1"/>
    <col min="6" max="6" width="25.5" bestFit="1" customWidth="1"/>
    <col min="7" max="7" width="8.33203125" bestFit="1" customWidth="1"/>
    <col min="8" max="8" width="21.83203125" bestFit="1" customWidth="1"/>
    <col min="10" max="10" width="7.1640625" bestFit="1" customWidth="1"/>
    <col min="11" max="11" width="12.83203125" bestFit="1" customWidth="1"/>
    <col min="13" max="13" width="21.6640625" bestFit="1" customWidth="1"/>
  </cols>
  <sheetData>
    <row r="1" spans="1:13">
      <c r="A1" s="95"/>
    </row>
    <row r="5" spans="1:13">
      <c r="A5" s="95"/>
    </row>
    <row r="6" spans="1:13">
      <c r="A6" s="97"/>
    </row>
    <row r="11" spans="1:13">
      <c r="A11" s="6" t="s">
        <v>74</v>
      </c>
      <c r="B11" s="6" t="s">
        <v>75</v>
      </c>
      <c r="C11" s="6" t="s">
        <v>76</v>
      </c>
      <c r="D11" s="6" t="s">
        <v>74</v>
      </c>
      <c r="E11" s="6" t="s">
        <v>77</v>
      </c>
      <c r="F11" s="6" t="s">
        <v>78</v>
      </c>
      <c r="G11" s="6" t="s">
        <v>74</v>
      </c>
      <c r="H11" s="6" t="s">
        <v>83</v>
      </c>
      <c r="I11" s="6" t="s">
        <v>84</v>
      </c>
      <c r="J11" s="6" t="s">
        <v>85</v>
      </c>
      <c r="K11" s="6" t="s">
        <v>76</v>
      </c>
      <c r="M11" s="98" t="s">
        <v>95</v>
      </c>
    </row>
    <row r="12" spans="1:13">
      <c r="A12" s="86"/>
      <c r="D12" s="88">
        <v>41124</v>
      </c>
      <c r="E12" s="4">
        <v>109701.55</v>
      </c>
      <c r="F12" s="87">
        <f t="shared" ref="F12:F32" si="0">LN(E12)-LN(E13)</f>
        <v>0</v>
      </c>
      <c r="G12" s="88">
        <v>41124</v>
      </c>
      <c r="I12" s="89">
        <v>1390.99</v>
      </c>
      <c r="J12" s="90">
        <f t="shared" ref="J12:J30" si="1">I12/I13-1</f>
        <v>1.9040293040293088E-2</v>
      </c>
      <c r="K12" s="91">
        <f t="shared" ref="K12:K32" si="2">LN(1+J12)</f>
        <v>1.8861295205931709E-2</v>
      </c>
      <c r="M12" s="87">
        <f t="shared" ref="M12:M32" si="3">((F12-K12)-($B$37-$B$38))^2</f>
        <v>5.3731924916524917E-4</v>
      </c>
    </row>
    <row r="13" spans="1:13">
      <c r="A13" s="86">
        <v>41093</v>
      </c>
      <c r="B13" s="79">
        <v>3.32E-3</v>
      </c>
      <c r="C13">
        <f t="shared" ref="C13:C33" si="4">LN(1+B13)</f>
        <v>3.31450096782978E-3</v>
      </c>
      <c r="D13" s="88">
        <v>41123</v>
      </c>
      <c r="E13" s="4">
        <v>109701.55</v>
      </c>
      <c r="F13" s="87">
        <f t="shared" si="0"/>
        <v>2.667121582926768E-2</v>
      </c>
      <c r="G13" s="88">
        <v>41123</v>
      </c>
      <c r="I13" s="89">
        <v>1365</v>
      </c>
      <c r="J13" s="90">
        <f t="shared" si="1"/>
        <v>-7.5037082279032497E-3</v>
      </c>
      <c r="K13" s="91">
        <f t="shared" si="2"/>
        <v>-7.532002677547946E-3</v>
      </c>
      <c r="M13" s="87">
        <f t="shared" si="3"/>
        <v>8.9307532970007574E-4</v>
      </c>
    </row>
    <row r="14" spans="1:13">
      <c r="A14" s="86">
        <v>41094</v>
      </c>
      <c r="B14" s="79">
        <v>3.32E-3</v>
      </c>
      <c r="C14">
        <f t="shared" si="4"/>
        <v>3.31450096782978E-3</v>
      </c>
      <c r="D14" s="88">
        <v>41122</v>
      </c>
      <c r="E14" s="4">
        <v>106814.35</v>
      </c>
      <c r="F14" s="87">
        <f t="shared" si="0"/>
        <v>-8.4222864279226428E-4</v>
      </c>
      <c r="G14" s="88">
        <v>41122</v>
      </c>
      <c r="I14" s="89">
        <v>1375.32</v>
      </c>
      <c r="J14" s="90">
        <f t="shared" si="1"/>
        <v>-2.8999797001421079E-3</v>
      </c>
      <c r="K14" s="91">
        <f t="shared" si="2"/>
        <v>-2.9041927884913225E-3</v>
      </c>
      <c r="M14" s="87">
        <f t="shared" si="3"/>
        <v>5.0935451894768846E-6</v>
      </c>
    </row>
    <row r="15" spans="1:13">
      <c r="A15" s="86">
        <v>41095</v>
      </c>
      <c r="B15" s="79">
        <v>3.31E-3</v>
      </c>
      <c r="C15">
        <f t="shared" si="4"/>
        <v>3.3045340083004715E-3</v>
      </c>
      <c r="D15" s="88">
        <v>41121</v>
      </c>
      <c r="E15" s="4">
        <v>106904.35</v>
      </c>
      <c r="F15" s="87">
        <f t="shared" si="0"/>
        <v>-1.9904530271812604E-3</v>
      </c>
      <c r="G15" s="88">
        <v>41121</v>
      </c>
      <c r="I15" s="89">
        <v>1379.32</v>
      </c>
      <c r="J15" s="90">
        <f t="shared" si="1"/>
        <v>-4.3167544936114632E-3</v>
      </c>
      <c r="K15" s="91">
        <f t="shared" si="2"/>
        <v>-4.3260985787338772E-3</v>
      </c>
      <c r="M15" s="87">
        <f t="shared" si="3"/>
        <v>3.9331099283996345E-6</v>
      </c>
    </row>
    <row r="16" spans="1:13">
      <c r="A16" s="86">
        <v>41096</v>
      </c>
      <c r="B16" s="79">
        <v>3.29E-3</v>
      </c>
      <c r="C16">
        <f t="shared" si="4"/>
        <v>3.2845997912162779E-3</v>
      </c>
      <c r="D16" s="88">
        <v>41120</v>
      </c>
      <c r="E16" s="4">
        <v>107117.35</v>
      </c>
      <c r="F16" s="87">
        <f t="shared" si="0"/>
        <v>3.5870783137283979E-3</v>
      </c>
      <c r="G16" s="88">
        <v>41120</v>
      </c>
      <c r="I16" s="89">
        <v>1385.3</v>
      </c>
      <c r="J16" s="90">
        <f t="shared" si="1"/>
        <v>-4.834159469542243E-4</v>
      </c>
      <c r="K16" s="91">
        <f t="shared" si="2"/>
        <v>-4.8353283011341573E-4</v>
      </c>
      <c r="M16" s="87">
        <f t="shared" si="3"/>
        <v>6.1623786932944006E-8</v>
      </c>
    </row>
    <row r="17" spans="1:13">
      <c r="A17" s="86">
        <v>41099</v>
      </c>
      <c r="B17" s="79">
        <v>3.2499999999999999E-3</v>
      </c>
      <c r="C17">
        <f t="shared" si="4"/>
        <v>3.2447301648890294E-3</v>
      </c>
      <c r="D17" s="88">
        <v>41117</v>
      </c>
      <c r="E17" s="4">
        <v>106733.8</v>
      </c>
      <c r="F17" s="87">
        <f>LN(E17)-LN(E18)</f>
        <v>2.8763560862898885E-5</v>
      </c>
      <c r="G17" s="88">
        <v>41117</v>
      </c>
      <c r="H17">
        <v>1367.95</v>
      </c>
      <c r="I17" s="89">
        <v>1385.97</v>
      </c>
      <c r="J17" s="90">
        <f>I17/H17-1</f>
        <v>1.3172996089038325E-2</v>
      </c>
      <c r="K17" s="91">
        <f t="shared" si="2"/>
        <v>1.3086986687010048E-2</v>
      </c>
      <c r="M17" s="87">
        <f t="shared" si="3"/>
        <v>3.0196275843864719E-4</v>
      </c>
    </row>
    <row r="18" spans="1:13">
      <c r="A18" s="86">
        <v>41102</v>
      </c>
      <c r="B18" s="79">
        <v>1.2800000000000001E-3</v>
      </c>
      <c r="C18">
        <f t="shared" si="4"/>
        <v>1.2791814983802124E-3</v>
      </c>
      <c r="D18" s="88">
        <v>41114</v>
      </c>
      <c r="E18" s="4">
        <v>106730.73</v>
      </c>
      <c r="F18" s="87">
        <f t="shared" si="0"/>
        <v>0</v>
      </c>
      <c r="G18" s="88">
        <v>41114</v>
      </c>
      <c r="I18" s="89">
        <v>1338.31</v>
      </c>
      <c r="J18" s="90">
        <f t="shared" si="1"/>
        <v>-9.0409619998222945E-3</v>
      </c>
      <c r="K18" s="91">
        <f t="shared" si="2"/>
        <v>-9.0820795122977943E-3</v>
      </c>
      <c r="M18" s="87">
        <f t="shared" si="3"/>
        <v>2.26883312631843E-5</v>
      </c>
    </row>
    <row r="19" spans="1:13">
      <c r="A19" s="86">
        <v>41103</v>
      </c>
      <c r="B19" s="79">
        <v>1.17E-3</v>
      </c>
      <c r="C19">
        <f t="shared" si="4"/>
        <v>1.1693160834028598E-3</v>
      </c>
      <c r="D19" s="88">
        <v>41113</v>
      </c>
      <c r="E19" s="4">
        <v>106730.73</v>
      </c>
      <c r="F19" s="87">
        <f t="shared" si="0"/>
        <v>2.7888141237815134E-2</v>
      </c>
      <c r="G19" s="88">
        <v>41113</v>
      </c>
      <c r="I19" s="89">
        <v>1350.52</v>
      </c>
      <c r="J19" s="90">
        <f t="shared" si="1"/>
        <v>-8.909045543275762E-3</v>
      </c>
      <c r="K19" s="91">
        <f t="shared" si="2"/>
        <v>-8.9489683826660012E-3</v>
      </c>
      <c r="M19" s="87">
        <f t="shared" si="3"/>
        <v>1.0574370440544444E-3</v>
      </c>
    </row>
    <row r="20" spans="1:13">
      <c r="A20" s="86">
        <v>41106</v>
      </c>
      <c r="B20" s="79">
        <v>1.14E-3</v>
      </c>
      <c r="C20">
        <f t="shared" si="4"/>
        <v>1.1393506934260637E-3</v>
      </c>
      <c r="D20" s="88">
        <v>41110</v>
      </c>
      <c r="E20" s="4">
        <v>103795.33</v>
      </c>
      <c r="F20" s="87">
        <f t="shared" si="0"/>
        <v>1.6378520321325141E-5</v>
      </c>
      <c r="G20" s="88">
        <v>41110</v>
      </c>
      <c r="I20" s="89">
        <v>1362.66</v>
      </c>
      <c r="J20" s="90">
        <f t="shared" si="1"/>
        <v>-1.0061677721193374E-2</v>
      </c>
      <c r="K20" s="91">
        <f t="shared" si="2"/>
        <v>-1.011263852275059E-2</v>
      </c>
      <c r="M20" s="87">
        <f t="shared" si="3"/>
        <v>3.3758011642483978E-5</v>
      </c>
    </row>
    <row r="21" spans="1:13">
      <c r="A21" s="86">
        <v>41107</v>
      </c>
      <c r="B21" s="79">
        <v>1.1900000000000001E-3</v>
      </c>
      <c r="C21">
        <f t="shared" si="4"/>
        <v>1.1892925112188331E-3</v>
      </c>
      <c r="D21" s="88">
        <v>41109</v>
      </c>
      <c r="E21" s="4">
        <v>103793.63</v>
      </c>
      <c r="F21" s="87">
        <f t="shared" si="0"/>
        <v>5.5823680762188133E-3</v>
      </c>
      <c r="G21" s="88">
        <v>41109</v>
      </c>
      <c r="I21" s="89">
        <v>1376.51</v>
      </c>
      <c r="J21" s="90">
        <f t="shared" si="1"/>
        <v>2.7171141770714335E-3</v>
      </c>
      <c r="K21" s="91">
        <f t="shared" si="2"/>
        <v>2.7134294953041031E-3</v>
      </c>
      <c r="M21" s="87">
        <f t="shared" si="3"/>
        <v>2.1022504663591838E-6</v>
      </c>
    </row>
    <row r="22" spans="1:13">
      <c r="A22" s="86">
        <v>41108</v>
      </c>
      <c r="B22" s="79">
        <v>1.1900000000000001E-3</v>
      </c>
      <c r="C22">
        <f t="shared" si="4"/>
        <v>1.1892925112188331E-3</v>
      </c>
      <c r="D22" s="88">
        <v>41108</v>
      </c>
      <c r="E22" s="4">
        <v>103215.83</v>
      </c>
      <c r="F22" s="87">
        <f t="shared" si="0"/>
        <v>0</v>
      </c>
      <c r="G22" s="88">
        <v>41108</v>
      </c>
      <c r="I22" s="89">
        <v>1372.78</v>
      </c>
      <c r="J22" s="90">
        <f t="shared" si="1"/>
        <v>6.6805018809534822E-3</v>
      </c>
      <c r="K22" s="91">
        <f t="shared" si="2"/>
        <v>6.6582862145774472E-3</v>
      </c>
      <c r="M22" s="87">
        <f t="shared" si="3"/>
        <v>1.2049757506772484E-4</v>
      </c>
    </row>
    <row r="23" spans="1:13">
      <c r="A23" s="86">
        <v>41109</v>
      </c>
      <c r="B23" s="79">
        <v>1.1999999999999999E-3</v>
      </c>
      <c r="C23">
        <f t="shared" si="4"/>
        <v>1.1992805754821869E-3</v>
      </c>
      <c r="D23" s="88">
        <v>41107</v>
      </c>
      <c r="E23" s="4">
        <v>103215.83</v>
      </c>
      <c r="F23" s="87">
        <f t="shared" si="0"/>
        <v>1.090153552342521E-2</v>
      </c>
      <c r="G23" s="88">
        <v>41107</v>
      </c>
      <c r="I23" s="89">
        <v>1363.67</v>
      </c>
      <c r="J23" s="90">
        <f t="shared" si="1"/>
        <v>7.4096510150409856E-3</v>
      </c>
      <c r="K23" s="91">
        <f t="shared" si="2"/>
        <v>7.3823344056611782E-3</v>
      </c>
      <c r="M23" s="87">
        <f t="shared" si="3"/>
        <v>6.3944238473489392E-7</v>
      </c>
    </row>
    <row r="24" spans="1:13">
      <c r="A24" s="86">
        <v>41110</v>
      </c>
      <c r="B24" s="79">
        <v>1.15E-3</v>
      </c>
      <c r="C24">
        <f t="shared" si="4"/>
        <v>1.149339256521468E-3</v>
      </c>
      <c r="D24" s="88">
        <v>41106</v>
      </c>
      <c r="E24" s="4">
        <v>102096.73</v>
      </c>
      <c r="F24" s="87">
        <f t="shared" si="0"/>
        <v>3.9178608712830965E-6</v>
      </c>
      <c r="G24" s="88">
        <v>41106</v>
      </c>
      <c r="I24" s="89">
        <v>1353.64</v>
      </c>
      <c r="J24" s="90">
        <f t="shared" si="1"/>
        <v>-2.3143029820603678E-3</v>
      </c>
      <c r="K24" s="91">
        <f t="shared" si="2"/>
        <v>-2.316985120192678E-3</v>
      </c>
      <c r="M24" s="87">
        <f t="shared" si="3"/>
        <v>3.9918024091981373E-6</v>
      </c>
    </row>
    <row r="25" spans="1:13">
      <c r="A25" s="86">
        <v>41113</v>
      </c>
      <c r="B25" s="79">
        <v>1.16E-3</v>
      </c>
      <c r="C25">
        <f t="shared" si="4"/>
        <v>1.1593277198464764E-3</v>
      </c>
      <c r="D25" s="88">
        <v>41103</v>
      </c>
      <c r="E25" s="4">
        <v>102096.33</v>
      </c>
      <c r="F25" s="87">
        <f t="shared" si="0"/>
        <v>0</v>
      </c>
      <c r="G25" s="88">
        <v>41103</v>
      </c>
      <c r="I25" s="89">
        <v>1356.78</v>
      </c>
      <c r="J25" s="90">
        <f t="shared" si="1"/>
        <v>1.6497347837813425E-2</v>
      </c>
      <c r="K25" s="91">
        <f t="shared" si="2"/>
        <v>1.636274497101934E-2</v>
      </c>
      <c r="M25" s="87">
        <f t="shared" si="3"/>
        <v>4.2772847528841301E-4</v>
      </c>
    </row>
    <row r="26" spans="1:13">
      <c r="A26" s="86">
        <v>41114</v>
      </c>
      <c r="B26" s="79">
        <v>1.1299999999999999E-3</v>
      </c>
      <c r="C26">
        <f t="shared" si="4"/>
        <v>1.1293620305584918E-3</v>
      </c>
      <c r="D26" s="88">
        <v>41102</v>
      </c>
      <c r="E26" s="4">
        <v>102096.33</v>
      </c>
      <c r="F26" s="87">
        <f t="shared" si="0"/>
        <v>5.2627885948766107E-3</v>
      </c>
      <c r="G26" s="88">
        <v>41102</v>
      </c>
      <c r="I26" s="89">
        <v>1334.76</v>
      </c>
      <c r="J26" s="90">
        <f t="shared" si="1"/>
        <v>-4.9871407804987777E-3</v>
      </c>
      <c r="K26" s="91">
        <f t="shared" si="2"/>
        <v>-4.9996180683616704E-3</v>
      </c>
      <c r="M26" s="87">
        <f t="shared" si="3"/>
        <v>3.5325835707649802E-5</v>
      </c>
    </row>
    <row r="27" spans="1:13">
      <c r="A27" s="86">
        <v>41115</v>
      </c>
      <c r="B27" s="79">
        <v>1.14E-3</v>
      </c>
      <c r="C27">
        <f t="shared" si="4"/>
        <v>1.1393506934260637E-3</v>
      </c>
      <c r="D27" s="88">
        <v>41101</v>
      </c>
      <c r="E27" s="4">
        <v>101560.43</v>
      </c>
      <c r="F27" s="87">
        <f t="shared" si="0"/>
        <v>1.4198672223262321E-3</v>
      </c>
      <c r="G27" s="88">
        <v>41101</v>
      </c>
      <c r="I27" s="89">
        <v>1341.45</v>
      </c>
      <c r="J27" s="90">
        <f t="shared" si="1"/>
        <v>-1.4909017719388906E-5</v>
      </c>
      <c r="K27" s="91">
        <f t="shared" si="2"/>
        <v>-1.490912885989825E-5</v>
      </c>
      <c r="M27" s="87">
        <f t="shared" si="3"/>
        <v>8.317895418344001E-6</v>
      </c>
    </row>
    <row r="28" spans="1:13">
      <c r="A28" s="86">
        <v>41116</v>
      </c>
      <c r="B28" s="79">
        <v>1.1199999999999999E-3</v>
      </c>
      <c r="C28">
        <f t="shared" si="4"/>
        <v>1.1193732679163155E-3</v>
      </c>
      <c r="D28" s="88">
        <v>41100</v>
      </c>
      <c r="E28" s="4">
        <v>101416.33</v>
      </c>
      <c r="F28" s="87">
        <f t="shared" si="0"/>
        <v>5.521230615510575E-3</v>
      </c>
      <c r="G28" s="88">
        <v>41100</v>
      </c>
      <c r="I28" s="89">
        <v>1341.47</v>
      </c>
      <c r="J28" s="90">
        <f t="shared" si="1"/>
        <v>-8.1259334841695674E-3</v>
      </c>
      <c r="K28" s="91">
        <f t="shared" si="2"/>
        <v>-8.1591288327641839E-3</v>
      </c>
      <c r="M28" s="87">
        <f t="shared" si="3"/>
        <v>8.7637811738246906E-5</v>
      </c>
    </row>
    <row r="29" spans="1:13">
      <c r="A29" s="86">
        <v>41117</v>
      </c>
      <c r="B29" s="79">
        <v>1.1100000000000001E-3</v>
      </c>
      <c r="C29">
        <f t="shared" si="4"/>
        <v>1.1093844054977636E-3</v>
      </c>
      <c r="D29" s="88">
        <v>41099</v>
      </c>
      <c r="E29" s="4">
        <v>100857.93</v>
      </c>
      <c r="F29" s="87">
        <f t="shared" si="0"/>
        <v>8.0615227396538813E-3</v>
      </c>
      <c r="G29" s="88">
        <v>41099</v>
      </c>
      <c r="I29" s="89">
        <v>1352.46</v>
      </c>
      <c r="J29" s="90">
        <f t="shared" si="1"/>
        <v>-1.6387633979980665E-3</v>
      </c>
      <c r="K29" s="91">
        <f t="shared" si="2"/>
        <v>-1.6401076395319903E-3</v>
      </c>
      <c r="M29" s="87">
        <f t="shared" si="3"/>
        <v>2.8974297349157403E-5</v>
      </c>
    </row>
    <row r="30" spans="1:13">
      <c r="A30" s="86">
        <v>41120</v>
      </c>
      <c r="B30" s="79">
        <v>1.1199999999999999E-3</v>
      </c>
      <c r="C30">
        <f t="shared" si="4"/>
        <v>1.1193732679163155E-3</v>
      </c>
      <c r="D30" s="88">
        <v>41096</v>
      </c>
      <c r="E30" s="4">
        <v>100048.13</v>
      </c>
      <c r="F30" s="87">
        <f t="shared" si="0"/>
        <v>-2.0560941727563176E-3</v>
      </c>
      <c r="G30" s="88">
        <v>41096</v>
      </c>
      <c r="I30" s="89">
        <v>1354.68</v>
      </c>
      <c r="J30" s="90">
        <f t="shared" si="1"/>
        <v>-9.4327205721054241E-3</v>
      </c>
      <c r="K30" s="91">
        <f t="shared" si="2"/>
        <v>-9.4774904376453764E-3</v>
      </c>
      <c r="M30" s="87">
        <f t="shared" si="3"/>
        <v>9.6257776127614326E-6</v>
      </c>
    </row>
    <row r="31" spans="1:13">
      <c r="A31" s="86">
        <v>41121</v>
      </c>
      <c r="B31" s="79">
        <v>1.1100000000000001E-3</v>
      </c>
      <c r="C31">
        <f t="shared" si="4"/>
        <v>1.1093844054977636E-3</v>
      </c>
      <c r="D31" s="86">
        <v>41095</v>
      </c>
      <c r="E31" s="4">
        <v>100254.05</v>
      </c>
      <c r="F31" s="87">
        <f t="shared" si="0"/>
        <v>2.0051075443205946E-4</v>
      </c>
      <c r="G31" s="86">
        <v>41095</v>
      </c>
      <c r="I31" s="89">
        <v>1367.58</v>
      </c>
      <c r="J31" s="90">
        <f>I31/I32-1</f>
        <v>-4.6869768998996086E-3</v>
      </c>
      <c r="K31" s="91">
        <f t="shared" si="2"/>
        <v>-4.6979952180121604E-3</v>
      </c>
      <c r="M31" s="87">
        <f t="shared" si="3"/>
        <v>3.3599811069602345E-7</v>
      </c>
    </row>
    <row r="32" spans="1:13">
      <c r="A32" s="86">
        <v>41122</v>
      </c>
      <c r="B32" s="79">
        <v>1.1199999999999999E-3</v>
      </c>
      <c r="C32">
        <f t="shared" si="4"/>
        <v>1.1193732679163155E-3</v>
      </c>
      <c r="D32" s="88">
        <v>41094</v>
      </c>
      <c r="E32" s="4">
        <v>100233.95</v>
      </c>
      <c r="F32" s="87">
        <f t="shared" si="0"/>
        <v>2.8774137534117727E-3</v>
      </c>
      <c r="G32" s="88">
        <v>41094</v>
      </c>
      <c r="I32" s="89">
        <v>1374.02</v>
      </c>
      <c r="J32" s="90">
        <f>I32/I33-1</f>
        <v>0</v>
      </c>
      <c r="K32" s="91">
        <f t="shared" si="2"/>
        <v>0</v>
      </c>
      <c r="M32" s="87">
        <f t="shared" si="3"/>
        <v>2.0777457532206282E-6</v>
      </c>
    </row>
    <row r="33" spans="1:13">
      <c r="A33" s="86">
        <v>41123</v>
      </c>
      <c r="B33" s="79">
        <v>1.09E-3</v>
      </c>
      <c r="C33">
        <f t="shared" si="4"/>
        <v>1.0894063813237807E-3</v>
      </c>
      <c r="D33" s="88">
        <v>41093</v>
      </c>
      <c r="E33" s="4">
        <v>99945.95</v>
      </c>
      <c r="F33" s="87">
        <f>LN(E33)-LN(E34)</f>
        <v>-5.4064612278104107E-4</v>
      </c>
      <c r="G33" s="88">
        <v>41093</v>
      </c>
      <c r="H33">
        <v>1364.15</v>
      </c>
      <c r="I33" s="89">
        <v>1374.02</v>
      </c>
      <c r="J33" s="90">
        <f>I33/H33-1</f>
        <v>7.2352747131911865E-3</v>
      </c>
      <c r="K33" s="91">
        <f>LN(1+J33)</f>
        <v>7.2092256855503896E-3</v>
      </c>
      <c r="M33" s="87">
        <f>((F33-K33)-($B$37-$B$38))^2</f>
        <v>1.4565410720962914E-4</v>
      </c>
    </row>
    <row r="34" spans="1:13">
      <c r="A34" s="86">
        <v>41124</v>
      </c>
      <c r="B34" s="79">
        <v>1.1100000000000001E-3</v>
      </c>
      <c r="C34">
        <f>LN(1+B34)</f>
        <v>1.1093844054977636E-3</v>
      </c>
      <c r="D34" s="88">
        <v>41092</v>
      </c>
      <c r="E34" s="4">
        <v>100000</v>
      </c>
      <c r="G34" s="88">
        <v>41092</v>
      </c>
    </row>
    <row r="37" spans="1:13">
      <c r="A37" t="s">
        <v>94</v>
      </c>
      <c r="B37" s="87">
        <f>AVERAGE(F12:F33)</f>
        <v>4.208786847145954E-3</v>
      </c>
    </row>
    <row r="38" spans="1:13">
      <c r="A38" t="s">
        <v>93</v>
      </c>
      <c r="B38">
        <f>AVERAGE(K12:K33)</f>
        <v>-1.1006568513248593E-4</v>
      </c>
    </row>
    <row r="39" spans="1:13">
      <c r="A39" s="6" t="s">
        <v>96</v>
      </c>
      <c r="B39" s="100">
        <f>SQRT((SUM(M12:M33)/21))</f>
        <v>1.3324231448728557E-2</v>
      </c>
    </row>
    <row r="40" spans="1:13">
      <c r="A40" s="6" t="s">
        <v>109</v>
      </c>
      <c r="B40" s="100">
        <f>B39*250^0.5</f>
        <v>0.21067459724613638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opLeftCell="A2" workbookViewId="0">
      <selection activeCell="K35" sqref="K35"/>
    </sheetView>
  </sheetViews>
  <sheetFormatPr baseColWidth="10" defaultRowHeight="15" x14ac:dyDescent="0"/>
  <cols>
    <col min="1" max="1" width="25.5" bestFit="1" customWidth="1"/>
    <col min="2" max="2" width="22.83203125" bestFit="1" customWidth="1"/>
    <col min="3" max="3" width="12.1640625" bestFit="1" customWidth="1"/>
    <col min="4" max="4" width="8.33203125" bestFit="1" customWidth="1"/>
    <col min="5" max="5" width="11.1640625" bestFit="1" customWidth="1"/>
    <col min="6" max="6" width="25.5" bestFit="1" customWidth="1"/>
    <col min="7" max="7" width="8.33203125" bestFit="1" customWidth="1"/>
    <col min="8" max="8" width="21.83203125" bestFit="1" customWidth="1"/>
    <col min="10" max="10" width="7.1640625" bestFit="1" customWidth="1"/>
    <col min="11" max="11" width="12.83203125" bestFit="1" customWidth="1"/>
  </cols>
  <sheetData>
    <row r="1" spans="1:11">
      <c r="A1" s="6" t="s">
        <v>74</v>
      </c>
      <c r="B1" s="6" t="s">
        <v>75</v>
      </c>
      <c r="C1" s="6" t="s">
        <v>76</v>
      </c>
      <c r="D1" s="6" t="s">
        <v>74</v>
      </c>
      <c r="E1" s="6" t="s">
        <v>77</v>
      </c>
      <c r="F1" s="6" t="s">
        <v>78</v>
      </c>
      <c r="G1" s="6" t="s">
        <v>74</v>
      </c>
      <c r="H1" s="6" t="s">
        <v>83</v>
      </c>
      <c r="I1" s="6" t="s">
        <v>84</v>
      </c>
      <c r="J1" s="6" t="s">
        <v>85</v>
      </c>
      <c r="K1" s="6" t="s">
        <v>76</v>
      </c>
    </row>
    <row r="2" spans="1:11">
      <c r="A2" s="86"/>
      <c r="D2" s="88">
        <v>41124</v>
      </c>
      <c r="E2" s="4">
        <v>109701.55</v>
      </c>
      <c r="F2" s="87">
        <f t="shared" ref="F2:F22" si="0">LN(E2)-LN(E3)</f>
        <v>0</v>
      </c>
      <c r="G2" s="88">
        <v>41124</v>
      </c>
      <c r="I2" s="89">
        <v>1390.99</v>
      </c>
      <c r="J2" s="90">
        <f t="shared" ref="J2:J20" si="1">I2/I3-1</f>
        <v>1.9040293040293088E-2</v>
      </c>
      <c r="K2" s="91">
        <f t="shared" ref="K2:K22" si="2">LN(1+J2)</f>
        <v>1.8861295205931709E-2</v>
      </c>
    </row>
    <row r="3" spans="1:11">
      <c r="A3" s="86">
        <v>41093</v>
      </c>
      <c r="B3" s="79">
        <v>3.32E-3</v>
      </c>
      <c r="C3">
        <f t="shared" ref="C3:C23" si="3">LN(1+B3)</f>
        <v>3.31450096782978E-3</v>
      </c>
      <c r="D3" s="88">
        <v>41123</v>
      </c>
      <c r="E3" s="4">
        <v>109701.55</v>
      </c>
      <c r="F3" s="87">
        <f t="shared" si="0"/>
        <v>2.667121582926768E-2</v>
      </c>
      <c r="G3" s="88">
        <v>41123</v>
      </c>
      <c r="I3" s="89">
        <v>1365</v>
      </c>
      <c r="J3" s="90">
        <f t="shared" si="1"/>
        <v>-7.5037082279032497E-3</v>
      </c>
      <c r="K3" s="91">
        <f t="shared" si="2"/>
        <v>-7.532002677547946E-3</v>
      </c>
    </row>
    <row r="4" spans="1:11">
      <c r="A4" s="86">
        <v>41094</v>
      </c>
      <c r="B4" s="79">
        <v>3.32E-3</v>
      </c>
      <c r="C4">
        <f t="shared" si="3"/>
        <v>3.31450096782978E-3</v>
      </c>
      <c r="D4" s="88">
        <v>41122</v>
      </c>
      <c r="E4" s="4">
        <v>106814.35</v>
      </c>
      <c r="F4" s="87">
        <f t="shared" si="0"/>
        <v>-8.4222864279226428E-4</v>
      </c>
      <c r="G4" s="88">
        <v>41122</v>
      </c>
      <c r="I4" s="89">
        <v>1375.32</v>
      </c>
      <c r="J4" s="90">
        <f t="shared" si="1"/>
        <v>-2.8999797001421079E-3</v>
      </c>
      <c r="K4" s="91">
        <f t="shared" si="2"/>
        <v>-2.9041927884913225E-3</v>
      </c>
    </row>
    <row r="5" spans="1:11">
      <c r="A5" s="86">
        <v>41095</v>
      </c>
      <c r="B5" s="79">
        <v>3.31E-3</v>
      </c>
      <c r="C5">
        <f t="shared" si="3"/>
        <v>3.3045340083004715E-3</v>
      </c>
      <c r="D5" s="88">
        <v>41121</v>
      </c>
      <c r="E5" s="4">
        <v>106904.35</v>
      </c>
      <c r="F5" s="87">
        <f t="shared" si="0"/>
        <v>-1.9904530271812604E-3</v>
      </c>
      <c r="G5" s="88">
        <v>41121</v>
      </c>
      <c r="I5" s="89">
        <v>1379.32</v>
      </c>
      <c r="J5" s="90">
        <f t="shared" si="1"/>
        <v>-4.3167544936114632E-3</v>
      </c>
      <c r="K5" s="91">
        <f t="shared" si="2"/>
        <v>-4.3260985787338772E-3</v>
      </c>
    </row>
    <row r="6" spans="1:11">
      <c r="A6" s="86">
        <v>41096</v>
      </c>
      <c r="B6" s="79">
        <v>3.29E-3</v>
      </c>
      <c r="C6">
        <f t="shared" si="3"/>
        <v>3.2845997912162779E-3</v>
      </c>
      <c r="D6" s="88">
        <v>41120</v>
      </c>
      <c r="E6" s="4">
        <v>107117.35</v>
      </c>
      <c r="F6" s="87">
        <f t="shared" si="0"/>
        <v>3.5870783137283979E-3</v>
      </c>
      <c r="G6" s="88">
        <v>41120</v>
      </c>
      <c r="I6" s="89">
        <v>1385.3</v>
      </c>
      <c r="J6" s="90">
        <f t="shared" si="1"/>
        <v>-4.834159469542243E-4</v>
      </c>
      <c r="K6" s="91">
        <f t="shared" si="2"/>
        <v>-4.8353283011341573E-4</v>
      </c>
    </row>
    <row r="7" spans="1:11">
      <c r="A7" s="86">
        <v>41099</v>
      </c>
      <c r="B7" s="79">
        <v>3.2499999999999999E-3</v>
      </c>
      <c r="C7">
        <f t="shared" si="3"/>
        <v>3.2447301648890294E-3</v>
      </c>
      <c r="D7" s="88">
        <v>41117</v>
      </c>
      <c r="E7" s="4">
        <v>106733.8</v>
      </c>
      <c r="F7" s="87">
        <f>LN(E7)-LN(E8)</f>
        <v>2.8763560862898885E-5</v>
      </c>
      <c r="G7" s="88">
        <v>41117</v>
      </c>
      <c r="H7">
        <v>1367.95</v>
      </c>
      <c r="I7" s="89">
        <v>1385.97</v>
      </c>
      <c r="J7" s="90">
        <f>I7/H7-1</f>
        <v>1.3172996089038325E-2</v>
      </c>
      <c r="K7" s="91">
        <f t="shared" si="2"/>
        <v>1.3086986687010048E-2</v>
      </c>
    </row>
    <row r="8" spans="1:11">
      <c r="A8" s="86">
        <v>41102</v>
      </c>
      <c r="B8" s="79">
        <v>1.2800000000000001E-3</v>
      </c>
      <c r="C8">
        <f t="shared" si="3"/>
        <v>1.2791814983802124E-3</v>
      </c>
      <c r="D8" s="88">
        <v>41114</v>
      </c>
      <c r="E8" s="4">
        <v>106730.73</v>
      </c>
      <c r="F8" s="87">
        <f t="shared" si="0"/>
        <v>0</v>
      </c>
      <c r="G8" s="88">
        <v>41114</v>
      </c>
      <c r="I8" s="89">
        <v>1338.31</v>
      </c>
      <c r="J8" s="90">
        <f t="shared" si="1"/>
        <v>-9.0409619998222945E-3</v>
      </c>
      <c r="K8" s="91">
        <f t="shared" si="2"/>
        <v>-9.0820795122977943E-3</v>
      </c>
    </row>
    <row r="9" spans="1:11">
      <c r="A9" s="86">
        <v>41103</v>
      </c>
      <c r="B9" s="79">
        <v>1.17E-3</v>
      </c>
      <c r="C9">
        <f t="shared" si="3"/>
        <v>1.1693160834028598E-3</v>
      </c>
      <c r="D9" s="88">
        <v>41113</v>
      </c>
      <c r="E9" s="4">
        <v>106730.73</v>
      </c>
      <c r="F9" s="87">
        <f t="shared" si="0"/>
        <v>2.7888141237815134E-2</v>
      </c>
      <c r="G9" s="88">
        <v>41113</v>
      </c>
      <c r="I9" s="89">
        <v>1350.52</v>
      </c>
      <c r="J9" s="90">
        <f t="shared" si="1"/>
        <v>-8.909045543275762E-3</v>
      </c>
      <c r="K9" s="91">
        <f t="shared" si="2"/>
        <v>-8.9489683826660012E-3</v>
      </c>
    </row>
    <row r="10" spans="1:11">
      <c r="A10" s="86">
        <v>41106</v>
      </c>
      <c r="B10" s="79">
        <v>1.14E-3</v>
      </c>
      <c r="C10">
        <f t="shared" si="3"/>
        <v>1.1393506934260637E-3</v>
      </c>
      <c r="D10" s="88">
        <v>41110</v>
      </c>
      <c r="E10" s="4">
        <v>103795.33</v>
      </c>
      <c r="F10" s="87">
        <f t="shared" si="0"/>
        <v>1.6378520321325141E-5</v>
      </c>
      <c r="G10" s="88">
        <v>41110</v>
      </c>
      <c r="I10" s="89">
        <v>1362.66</v>
      </c>
      <c r="J10" s="90">
        <f t="shared" si="1"/>
        <v>-1.0061677721193374E-2</v>
      </c>
      <c r="K10" s="91">
        <f t="shared" si="2"/>
        <v>-1.011263852275059E-2</v>
      </c>
    </row>
    <row r="11" spans="1:11">
      <c r="A11" s="86">
        <v>41107</v>
      </c>
      <c r="B11" s="79">
        <v>1.1900000000000001E-3</v>
      </c>
      <c r="C11">
        <f t="shared" si="3"/>
        <v>1.1892925112188331E-3</v>
      </c>
      <c r="D11" s="88">
        <v>41109</v>
      </c>
      <c r="E11" s="4">
        <v>103793.63</v>
      </c>
      <c r="F11" s="87">
        <f t="shared" si="0"/>
        <v>5.5823680762188133E-3</v>
      </c>
      <c r="G11" s="88">
        <v>41109</v>
      </c>
      <c r="I11" s="89">
        <v>1376.51</v>
      </c>
      <c r="J11" s="90">
        <f t="shared" si="1"/>
        <v>2.7171141770714335E-3</v>
      </c>
      <c r="K11" s="91">
        <f t="shared" si="2"/>
        <v>2.7134294953041031E-3</v>
      </c>
    </row>
    <row r="12" spans="1:11">
      <c r="A12" s="86">
        <v>41108</v>
      </c>
      <c r="B12" s="79">
        <v>1.1900000000000001E-3</v>
      </c>
      <c r="C12">
        <f t="shared" si="3"/>
        <v>1.1892925112188331E-3</v>
      </c>
      <c r="D12" s="88">
        <v>41108</v>
      </c>
      <c r="E12" s="4">
        <v>103215.83</v>
      </c>
      <c r="F12" s="87">
        <f t="shared" si="0"/>
        <v>0</v>
      </c>
      <c r="G12" s="88">
        <v>41108</v>
      </c>
      <c r="I12" s="89">
        <v>1372.78</v>
      </c>
      <c r="J12" s="90">
        <f t="shared" si="1"/>
        <v>6.6805018809534822E-3</v>
      </c>
      <c r="K12" s="91">
        <f t="shared" si="2"/>
        <v>6.6582862145774472E-3</v>
      </c>
    </row>
    <row r="13" spans="1:11">
      <c r="A13" s="86">
        <v>41109</v>
      </c>
      <c r="B13" s="79">
        <v>1.1999999999999999E-3</v>
      </c>
      <c r="C13">
        <f t="shared" si="3"/>
        <v>1.1992805754821869E-3</v>
      </c>
      <c r="D13" s="88">
        <v>41107</v>
      </c>
      <c r="E13" s="4">
        <v>103215.83</v>
      </c>
      <c r="F13" s="87">
        <f t="shared" si="0"/>
        <v>1.090153552342521E-2</v>
      </c>
      <c r="G13" s="88">
        <v>41107</v>
      </c>
      <c r="I13" s="89">
        <v>1363.67</v>
      </c>
      <c r="J13" s="90">
        <f t="shared" si="1"/>
        <v>7.4096510150409856E-3</v>
      </c>
      <c r="K13" s="91">
        <f t="shared" si="2"/>
        <v>7.3823344056611782E-3</v>
      </c>
    </row>
    <row r="14" spans="1:11">
      <c r="A14" s="86">
        <v>41110</v>
      </c>
      <c r="B14" s="79">
        <v>1.15E-3</v>
      </c>
      <c r="C14">
        <f t="shared" si="3"/>
        <v>1.149339256521468E-3</v>
      </c>
      <c r="D14" s="88">
        <v>41106</v>
      </c>
      <c r="E14" s="4">
        <v>102096.73</v>
      </c>
      <c r="F14" s="87">
        <f t="shared" si="0"/>
        <v>3.9178608712830965E-6</v>
      </c>
      <c r="G14" s="88">
        <v>41106</v>
      </c>
      <c r="I14" s="89">
        <v>1353.64</v>
      </c>
      <c r="J14" s="90">
        <f t="shared" si="1"/>
        <v>-2.3143029820603678E-3</v>
      </c>
      <c r="K14" s="91">
        <f t="shared" si="2"/>
        <v>-2.316985120192678E-3</v>
      </c>
    </row>
    <row r="15" spans="1:11">
      <c r="A15" s="86">
        <v>41113</v>
      </c>
      <c r="B15" s="79">
        <v>1.16E-3</v>
      </c>
      <c r="C15">
        <f t="shared" si="3"/>
        <v>1.1593277198464764E-3</v>
      </c>
      <c r="D15" s="88">
        <v>41103</v>
      </c>
      <c r="E15" s="4">
        <v>102096.33</v>
      </c>
      <c r="F15" s="87">
        <f t="shared" si="0"/>
        <v>0</v>
      </c>
      <c r="G15" s="88">
        <v>41103</v>
      </c>
      <c r="I15" s="89">
        <v>1356.78</v>
      </c>
      <c r="J15" s="90">
        <f t="shared" si="1"/>
        <v>1.6497347837813425E-2</v>
      </c>
      <c r="K15" s="91">
        <f t="shared" si="2"/>
        <v>1.636274497101934E-2</v>
      </c>
    </row>
    <row r="16" spans="1:11">
      <c r="A16" s="86">
        <v>41114</v>
      </c>
      <c r="B16" s="79">
        <v>1.1299999999999999E-3</v>
      </c>
      <c r="C16">
        <f t="shared" si="3"/>
        <v>1.1293620305584918E-3</v>
      </c>
      <c r="D16" s="88">
        <v>41102</v>
      </c>
      <c r="E16" s="4">
        <v>102096.33</v>
      </c>
      <c r="F16" s="87">
        <f t="shared" si="0"/>
        <v>5.2627885948766107E-3</v>
      </c>
      <c r="G16" s="88">
        <v>41102</v>
      </c>
      <c r="I16" s="89">
        <v>1334.76</v>
      </c>
      <c r="J16" s="90">
        <f t="shared" si="1"/>
        <v>-4.9871407804987777E-3</v>
      </c>
      <c r="K16" s="91">
        <f t="shared" si="2"/>
        <v>-4.9996180683616704E-3</v>
      </c>
    </row>
    <row r="17" spans="1:11">
      <c r="A17" s="86">
        <v>41115</v>
      </c>
      <c r="B17" s="79">
        <v>1.14E-3</v>
      </c>
      <c r="C17">
        <f t="shared" si="3"/>
        <v>1.1393506934260637E-3</v>
      </c>
      <c r="D17" s="88">
        <v>41101</v>
      </c>
      <c r="E17" s="4">
        <v>101560.43</v>
      </c>
      <c r="F17" s="87">
        <f t="shared" si="0"/>
        <v>1.4198672223262321E-3</v>
      </c>
      <c r="G17" s="88">
        <v>41101</v>
      </c>
      <c r="I17" s="89">
        <v>1341.45</v>
      </c>
      <c r="J17" s="90">
        <f t="shared" si="1"/>
        <v>-1.4909017719388906E-5</v>
      </c>
      <c r="K17" s="91">
        <f t="shared" si="2"/>
        <v>-1.490912885989825E-5</v>
      </c>
    </row>
    <row r="18" spans="1:11">
      <c r="A18" s="86">
        <v>41116</v>
      </c>
      <c r="B18" s="79">
        <v>1.1199999999999999E-3</v>
      </c>
      <c r="C18">
        <f t="shared" si="3"/>
        <v>1.1193732679163155E-3</v>
      </c>
      <c r="D18" s="88">
        <v>41100</v>
      </c>
      <c r="E18" s="4">
        <v>101416.33</v>
      </c>
      <c r="F18" s="87">
        <f t="shared" si="0"/>
        <v>5.521230615510575E-3</v>
      </c>
      <c r="G18" s="88">
        <v>41100</v>
      </c>
      <c r="I18" s="89">
        <v>1341.47</v>
      </c>
      <c r="J18" s="90">
        <f t="shared" si="1"/>
        <v>-8.1259334841695674E-3</v>
      </c>
      <c r="K18" s="91">
        <f t="shared" si="2"/>
        <v>-8.1591288327641839E-3</v>
      </c>
    </row>
    <row r="19" spans="1:11">
      <c r="A19" s="86">
        <v>41117</v>
      </c>
      <c r="B19" s="79">
        <v>1.1100000000000001E-3</v>
      </c>
      <c r="C19">
        <f t="shared" si="3"/>
        <v>1.1093844054977636E-3</v>
      </c>
      <c r="D19" s="88">
        <v>41099</v>
      </c>
      <c r="E19" s="4">
        <v>100857.93</v>
      </c>
      <c r="F19" s="87">
        <f t="shared" si="0"/>
        <v>8.0615227396538813E-3</v>
      </c>
      <c r="G19" s="88">
        <v>41099</v>
      </c>
      <c r="I19" s="89">
        <v>1352.46</v>
      </c>
      <c r="J19" s="90">
        <f t="shared" si="1"/>
        <v>-1.6387633979980665E-3</v>
      </c>
      <c r="K19" s="91">
        <f t="shared" si="2"/>
        <v>-1.6401076395319903E-3</v>
      </c>
    </row>
    <row r="20" spans="1:11">
      <c r="A20" s="86">
        <v>41120</v>
      </c>
      <c r="B20" s="79">
        <v>1.1199999999999999E-3</v>
      </c>
      <c r="C20">
        <f t="shared" si="3"/>
        <v>1.1193732679163155E-3</v>
      </c>
      <c r="D20" s="88">
        <v>41096</v>
      </c>
      <c r="E20" s="4">
        <v>100048.13</v>
      </c>
      <c r="F20" s="87">
        <f t="shared" si="0"/>
        <v>-2.0560941727563176E-3</v>
      </c>
      <c r="G20" s="88">
        <v>41096</v>
      </c>
      <c r="I20" s="89">
        <v>1354.68</v>
      </c>
      <c r="J20" s="90">
        <f t="shared" si="1"/>
        <v>-9.4327205721054241E-3</v>
      </c>
      <c r="K20" s="91">
        <f t="shared" si="2"/>
        <v>-9.4774904376453764E-3</v>
      </c>
    </row>
    <row r="21" spans="1:11">
      <c r="A21" s="86">
        <v>41121</v>
      </c>
      <c r="B21" s="79">
        <v>1.1100000000000001E-3</v>
      </c>
      <c r="C21">
        <f t="shared" si="3"/>
        <v>1.1093844054977636E-3</v>
      </c>
      <c r="D21" s="86">
        <v>41095</v>
      </c>
      <c r="E21" s="4">
        <v>100254.05</v>
      </c>
      <c r="F21" s="87">
        <f t="shared" si="0"/>
        <v>2.0051075443205946E-4</v>
      </c>
      <c r="G21" s="86">
        <v>41095</v>
      </c>
      <c r="I21" s="89">
        <v>1367.58</v>
      </c>
      <c r="J21" s="90">
        <f>I21/I22-1</f>
        <v>-4.6869768998996086E-3</v>
      </c>
      <c r="K21" s="91">
        <f t="shared" si="2"/>
        <v>-4.6979952180121604E-3</v>
      </c>
    </row>
    <row r="22" spans="1:11">
      <c r="A22" s="86">
        <v>41122</v>
      </c>
      <c r="B22" s="79">
        <v>1.1199999999999999E-3</v>
      </c>
      <c r="C22">
        <f t="shared" si="3"/>
        <v>1.1193732679163155E-3</v>
      </c>
      <c r="D22" s="88">
        <v>41094</v>
      </c>
      <c r="E22" s="4">
        <v>100233.95</v>
      </c>
      <c r="F22" s="87">
        <f t="shared" si="0"/>
        <v>2.8774137534117727E-3</v>
      </c>
      <c r="G22" s="88">
        <v>41094</v>
      </c>
      <c r="I22" s="89">
        <v>1374.02</v>
      </c>
      <c r="J22" s="90">
        <f>I22/I23-1</f>
        <v>0</v>
      </c>
      <c r="K22" s="91">
        <f t="shared" si="2"/>
        <v>0</v>
      </c>
    </row>
    <row r="23" spans="1:11">
      <c r="A23" s="86">
        <v>41123</v>
      </c>
      <c r="B23" s="79">
        <v>1.09E-3</v>
      </c>
      <c r="C23">
        <f t="shared" si="3"/>
        <v>1.0894063813237807E-3</v>
      </c>
      <c r="D23" s="88">
        <v>41093</v>
      </c>
      <c r="E23" s="4">
        <v>99945.95</v>
      </c>
      <c r="F23" s="87">
        <f>LN(E23)-LN(E24)</f>
        <v>-5.4064612278104107E-4</v>
      </c>
      <c r="G23" s="88">
        <v>41093</v>
      </c>
      <c r="H23">
        <v>1364.15</v>
      </c>
      <c r="I23" s="89">
        <v>1374.02</v>
      </c>
      <c r="J23" s="90">
        <f>I23/H23-1</f>
        <v>7.2352747131911865E-3</v>
      </c>
      <c r="K23" s="91">
        <f>LN(1+J23)</f>
        <v>7.2092256855503896E-3</v>
      </c>
    </row>
    <row r="24" spans="1:11">
      <c r="A24" s="86">
        <v>41124</v>
      </c>
      <c r="B24" s="79">
        <v>1.1100000000000001E-3</v>
      </c>
      <c r="C24">
        <f>LN(1+B24)</f>
        <v>1.1093844054977636E-3</v>
      </c>
      <c r="D24" s="88">
        <v>41092</v>
      </c>
      <c r="E24" s="4">
        <v>100000</v>
      </c>
      <c r="G24" s="88">
        <v>41092</v>
      </c>
    </row>
    <row r="27" spans="1:11">
      <c r="A27" t="s">
        <v>97</v>
      </c>
      <c r="B27" s="87">
        <f>AVERAGE(F2:F23)</f>
        <v>4.208786847145954E-3</v>
      </c>
    </row>
    <row r="28" spans="1:11">
      <c r="A28" t="s">
        <v>93</v>
      </c>
      <c r="B28">
        <f>AVERAGE(K2:K23)</f>
        <v>-1.1006568513248593E-4</v>
      </c>
    </row>
    <row r="29" spans="1:11">
      <c r="A29" t="s">
        <v>96</v>
      </c>
      <c r="B29">
        <f>'Tracking Error'!$B$39</f>
        <v>1.3324231448728557E-2</v>
      </c>
    </row>
    <row r="30" spans="1:11">
      <c r="A30" s="6" t="s">
        <v>72</v>
      </c>
      <c r="B30" s="6">
        <f>(B27-B28)/B29</f>
        <v>0.32413520801536055</v>
      </c>
    </row>
    <row r="31" spans="1:11">
      <c r="A31" s="6" t="s">
        <v>109</v>
      </c>
      <c r="B31" s="6">
        <f>B30*250^0.5</f>
        <v>5.1250276359050266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8"/>
  <sheetViews>
    <sheetView tabSelected="1" workbookViewId="0">
      <selection activeCell="H8" sqref="H8"/>
    </sheetView>
  </sheetViews>
  <sheetFormatPr baseColWidth="10" defaultRowHeight="15" x14ac:dyDescent="0"/>
  <cols>
    <col min="7" max="7" width="28.1640625" bestFit="1" customWidth="1"/>
    <col min="8" max="8" width="12.1640625" bestFit="1" customWidth="1"/>
  </cols>
  <sheetData>
    <row r="4" spans="1:7" ht="16">
      <c r="A4" s="41" t="s">
        <v>2</v>
      </c>
      <c r="B4" s="41" t="s">
        <v>3</v>
      </c>
      <c r="C4" s="41" t="s">
        <v>4</v>
      </c>
      <c r="D4" s="41" t="s">
        <v>5</v>
      </c>
      <c r="E4" s="41" t="s">
        <v>98</v>
      </c>
      <c r="F4" s="41" t="s">
        <v>100</v>
      </c>
      <c r="G4" s="41" t="s">
        <v>99</v>
      </c>
    </row>
    <row r="5" spans="1:7">
      <c r="A5" t="s">
        <v>7</v>
      </c>
      <c r="B5" t="s">
        <v>11</v>
      </c>
      <c r="C5">
        <v>500</v>
      </c>
      <c r="D5" s="15">
        <v>85.738</v>
      </c>
      <c r="E5" s="86">
        <v>41099</v>
      </c>
      <c r="F5" s="11">
        <v>83.948999999999998</v>
      </c>
    </row>
    <row r="6" spans="1:7">
      <c r="C6" s="15">
        <v>1000</v>
      </c>
      <c r="D6" s="15">
        <v>85.742999999999995</v>
      </c>
    </row>
    <row r="7" spans="1:7">
      <c r="G7" s="99">
        <f>500*(F5-D5)+1000*(F5-D6)</f>
        <v>-2688.4999999999973</v>
      </c>
    </row>
    <row r="8" spans="1:7">
      <c r="A8" s="94"/>
      <c r="G8" s="100">
        <f>(F5/D6)-1</f>
        <v>-2.0922990798082575E-2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opLeftCell="A21" workbookViewId="0">
      <selection activeCell="G14" sqref="G14"/>
    </sheetView>
  </sheetViews>
  <sheetFormatPr baseColWidth="10" defaultRowHeight="15" x14ac:dyDescent="0"/>
  <cols>
    <col min="1" max="1" width="34.1640625" bestFit="1" customWidth="1"/>
    <col min="2" max="2" width="12.83203125" customWidth="1"/>
    <col min="3" max="3" width="13.1640625" bestFit="1" customWidth="1"/>
    <col min="4" max="4" width="14" bestFit="1" customWidth="1"/>
  </cols>
  <sheetData>
    <row r="1" spans="1:4">
      <c r="A1" s="6" t="s">
        <v>104</v>
      </c>
      <c r="B1" s="6" t="s">
        <v>25</v>
      </c>
      <c r="C1" s="6" t="s">
        <v>26</v>
      </c>
      <c r="D1" s="6" t="s">
        <v>27</v>
      </c>
    </row>
    <row r="3" spans="1:4">
      <c r="A3" s="6" t="s">
        <v>24</v>
      </c>
      <c r="B3" s="7">
        <f>SUM(B5+B4)</f>
        <v>9701.5499999999993</v>
      </c>
      <c r="C3" s="5">
        <f>'Long Trades'!H42</f>
        <v>2130.37</v>
      </c>
      <c r="D3" s="5">
        <f>'Short Trades'!H50</f>
        <v>7571.179999999993</v>
      </c>
    </row>
    <row r="4" spans="1:4">
      <c r="A4" s="6" t="s">
        <v>22</v>
      </c>
      <c r="B4" s="5">
        <f>SUM(C4+D4)</f>
        <v>10914.82</v>
      </c>
      <c r="C4">
        <v>2929.77</v>
      </c>
      <c r="D4">
        <v>7985.05</v>
      </c>
    </row>
    <row r="5" spans="1:4">
      <c r="A5" s="6" t="s">
        <v>23</v>
      </c>
      <c r="B5">
        <f>SUM(C5+D5)</f>
        <v>-1213.27</v>
      </c>
      <c r="C5">
        <v>-799.4</v>
      </c>
      <c r="D5">
        <v>-413.87</v>
      </c>
    </row>
    <row r="6" spans="1:4">
      <c r="A6" s="6" t="s">
        <v>28</v>
      </c>
      <c r="B6" s="5">
        <f>-B4/B5</f>
        <v>8.9962003511172277</v>
      </c>
      <c r="C6">
        <f>-C4/C5</f>
        <v>3.664961220915687</v>
      </c>
      <c r="D6">
        <f>-D4/D5</f>
        <v>19.293618769178728</v>
      </c>
    </row>
    <row r="7" spans="1:4">
      <c r="A7" s="6" t="s">
        <v>103</v>
      </c>
      <c r="B7" s="79">
        <f>B3/100000</f>
        <v>9.7015499999999991E-2</v>
      </c>
      <c r="C7" s="79">
        <f>C3/100000</f>
        <v>2.1303699999999998E-2</v>
      </c>
      <c r="D7" s="79">
        <f>D3/100000</f>
        <v>7.5711799999999926E-2</v>
      </c>
    </row>
    <row r="8" spans="1:4">
      <c r="A8" s="6"/>
      <c r="B8" s="79"/>
      <c r="C8" s="79"/>
      <c r="D8" s="79"/>
    </row>
    <row r="9" spans="1:4">
      <c r="A9" s="6" t="s">
        <v>29</v>
      </c>
      <c r="B9">
        <f>SUM(B10+B11)</f>
        <v>4960.1499999999996</v>
      </c>
      <c r="C9">
        <f>SUM(C10+C11)</f>
        <v>2486.8699999999994</v>
      </c>
      <c r="D9">
        <f>SUM(D10+D11)</f>
        <v>2473.2800000000002</v>
      </c>
    </row>
    <row r="10" spans="1:4">
      <c r="A10" s="6" t="s">
        <v>30</v>
      </c>
      <c r="B10">
        <f>SUM('Select '!E16+'Select '!G16)</f>
        <v>5816.92</v>
      </c>
      <c r="C10">
        <f>'Select '!E16</f>
        <v>2929.7699999999995</v>
      </c>
      <c r="D10">
        <f>'Select '!G16</f>
        <v>2887.15</v>
      </c>
    </row>
    <row r="11" spans="1:4">
      <c r="A11" s="6" t="s">
        <v>31</v>
      </c>
      <c r="B11">
        <f>SUM('Select '!I5+'Select '!K7)</f>
        <v>-856.77</v>
      </c>
      <c r="C11">
        <f>'Select '!I5</f>
        <v>-442.9</v>
      </c>
      <c r="D11">
        <f>'Select '!K7</f>
        <v>-413.86999999999995</v>
      </c>
    </row>
    <row r="12" spans="1:4">
      <c r="A12" s="6" t="s">
        <v>32</v>
      </c>
      <c r="B12">
        <f>-B10/B11</f>
        <v>6.7893600382833199</v>
      </c>
      <c r="C12">
        <f>-C10/C11</f>
        <v>6.614969519078798</v>
      </c>
      <c r="D12">
        <f>-D10/D11</f>
        <v>6.9759827965303129</v>
      </c>
    </row>
    <row r="13" spans="1:4">
      <c r="A13" s="6"/>
    </row>
    <row r="14" spans="1:4">
      <c r="A14" s="6" t="s">
        <v>33</v>
      </c>
      <c r="B14">
        <f>SUM(B15+B16)</f>
        <v>7142.4189554466584</v>
      </c>
      <c r="C14">
        <f>SUM(C15+C16)</f>
        <v>823.08444572796839</v>
      </c>
      <c r="D14">
        <f>SUM(D15+D16)</f>
        <v>5302.5139554244315</v>
      </c>
    </row>
    <row r="15" spans="1:4">
      <c r="A15" s="6" t="s">
        <v>34</v>
      </c>
      <c r="B15">
        <f>Adjusted!A30</f>
        <v>8814.2619116145634</v>
      </c>
      <c r="C15">
        <f>Adjusted!E15</f>
        <v>2084.018250918155</v>
      </c>
      <c r="D15">
        <f>Adjusted!G18</f>
        <v>5923.3189554244318</v>
      </c>
    </row>
    <row r="16" spans="1:4">
      <c r="A16" s="6" t="s">
        <v>35</v>
      </c>
      <c r="B16">
        <f>Adjusted!C10</f>
        <v>-1671.842956167905</v>
      </c>
      <c r="C16">
        <f>Adjusted!I6</f>
        <v>-1260.9338051901866</v>
      </c>
      <c r="D16">
        <f>Adjusted!K7</f>
        <v>-620.80499999999995</v>
      </c>
    </row>
    <row r="17" spans="1:4">
      <c r="A17" s="6" t="s">
        <v>36</v>
      </c>
      <c r="B17">
        <f>-B15/B16</f>
        <v>5.2721829398486504</v>
      </c>
      <c r="C17">
        <f>-C15/C16</f>
        <v>1.6527578548057267</v>
      </c>
      <c r="D17">
        <f>-D15/D16</f>
        <v>9.5413518825145296</v>
      </c>
    </row>
    <row r="18" spans="1:4">
      <c r="A18" s="6"/>
    </row>
    <row r="20" spans="1:4">
      <c r="A20" s="6" t="s">
        <v>37</v>
      </c>
      <c r="B20">
        <v>39</v>
      </c>
      <c r="C20">
        <v>18</v>
      </c>
      <c r="D20">
        <f>B20-C20</f>
        <v>21</v>
      </c>
    </row>
    <row r="21" spans="1:4">
      <c r="A21" s="6" t="s">
        <v>38</v>
      </c>
      <c r="B21" s="79">
        <f>'Weitere Kennzahlen'!C5</f>
        <v>0.69230769230769229</v>
      </c>
      <c r="C21" s="79">
        <f>'Weitere Kennzahlen'!D5</f>
        <v>0.66666666666666663</v>
      </c>
      <c r="D21" s="79">
        <f>'Weitere Kennzahlen'!E5</f>
        <v>0.7142857142857143</v>
      </c>
    </row>
    <row r="22" spans="1:4">
      <c r="A22" s="6" t="s">
        <v>39</v>
      </c>
      <c r="B22">
        <v>27</v>
      </c>
      <c r="C22">
        <v>12</v>
      </c>
      <c r="D22">
        <v>15</v>
      </c>
    </row>
    <row r="23" spans="1:4">
      <c r="A23" s="6" t="s">
        <v>40</v>
      </c>
      <c r="B23">
        <v>7</v>
      </c>
      <c r="C23">
        <v>3</v>
      </c>
      <c r="D23">
        <v>4</v>
      </c>
    </row>
    <row r="24" spans="1:4">
      <c r="A24" s="6" t="s">
        <v>41</v>
      </c>
      <c r="B24">
        <v>5</v>
      </c>
      <c r="C24">
        <v>3</v>
      </c>
      <c r="D24">
        <v>2</v>
      </c>
    </row>
    <row r="25" spans="1:4">
      <c r="A25" s="6"/>
    </row>
    <row r="26" spans="1:4">
      <c r="A26" s="6" t="s">
        <v>42</v>
      </c>
      <c r="B26">
        <f>SUM(B27+B28)</f>
        <v>168.13116402116398</v>
      </c>
      <c r="C26">
        <f>SUM(C27+C28)</f>
        <v>-22.319166666666689</v>
      </c>
      <c r="D26">
        <f>SUM(D27+D28)</f>
        <v>318.97416666666675</v>
      </c>
    </row>
    <row r="27" spans="1:4">
      <c r="A27" s="6" t="s">
        <v>43</v>
      </c>
      <c r="B27">
        <f>Durchschnittswertbetrachtung!A30</f>
        <v>404.25259259259258</v>
      </c>
      <c r="C27">
        <f>Durchschnittswertbetrachtung!E15</f>
        <v>244.14749999999995</v>
      </c>
      <c r="D27">
        <f>Durchschnittswertbetrachtung!G18</f>
        <v>532.3366666666667</v>
      </c>
    </row>
    <row r="28" spans="1:4">
      <c r="A28" s="6" t="s">
        <v>44</v>
      </c>
      <c r="B28">
        <f>Durchschnittswertbetrachtung!C10</f>
        <v>-236.12142857142859</v>
      </c>
      <c r="C28">
        <f>Durchschnittswertbetrachtung!I6</f>
        <v>-266.46666666666664</v>
      </c>
      <c r="D28">
        <f>Durchschnittswertbetrachtung!K7</f>
        <v>-213.36249999999998</v>
      </c>
    </row>
    <row r="29" spans="1:4">
      <c r="A29" s="6" t="s">
        <v>45</v>
      </c>
      <c r="B29">
        <f>-B27/B28</f>
        <v>1.7120538150153661</v>
      </c>
      <c r="C29">
        <f>-C27/C28</f>
        <v>0.91624030522892164</v>
      </c>
      <c r="D29">
        <f>-D27/D28</f>
        <v>2.4949870134942493</v>
      </c>
    </row>
    <row r="30" spans="1:4">
      <c r="A30" s="6" t="s">
        <v>46</v>
      </c>
      <c r="B30">
        <v>13</v>
      </c>
      <c r="C30">
        <v>8</v>
      </c>
      <c r="D30">
        <v>6</v>
      </c>
    </row>
    <row r="31" spans="1:4">
      <c r="A31" s="6" t="s">
        <v>47</v>
      </c>
      <c r="B31">
        <v>2</v>
      </c>
      <c r="C31">
        <v>1</v>
      </c>
      <c r="D31">
        <v>2</v>
      </c>
    </row>
    <row r="32" spans="1:4">
      <c r="A32" s="6"/>
    </row>
    <row r="33" spans="1:2">
      <c r="A33" s="6" t="s">
        <v>48</v>
      </c>
      <c r="B33">
        <f>'Sharpe Ratio'!B32</f>
        <v>8.1232246545072364</v>
      </c>
    </row>
    <row r="34" spans="1:2">
      <c r="A34" s="6" t="s">
        <v>71</v>
      </c>
      <c r="B34">
        <f>'Treynor Ratio'!B31</f>
        <v>-1.83094680589014E-2</v>
      </c>
    </row>
    <row r="35" spans="1:2">
      <c r="A35" s="6" t="s">
        <v>72</v>
      </c>
      <c r="B35">
        <f>'Information Ratio'!B30</f>
        <v>0.32413520801536055</v>
      </c>
    </row>
    <row r="36" spans="1:2">
      <c r="A36" s="6" t="s">
        <v>73</v>
      </c>
      <c r="B36">
        <f>'Jensen-Alpha'!B33</f>
        <v>4.1710349051760614E-3</v>
      </c>
    </row>
    <row r="37" spans="1:2">
      <c r="A37" s="6"/>
    </row>
    <row r="38" spans="1:2">
      <c r="A38" s="6" t="s">
        <v>90</v>
      </c>
      <c r="B38">
        <f>'Treynor Ratio'!B30</f>
        <v>-0.2677057032815528</v>
      </c>
    </row>
    <row r="39" spans="1:2">
      <c r="A39" s="6" t="s">
        <v>89</v>
      </c>
      <c r="B39">
        <f>'Tracking Error'!B39</f>
        <v>1.3324231448728557E-2</v>
      </c>
    </row>
    <row r="40" spans="1:2">
      <c r="A40" s="6" t="s">
        <v>102</v>
      </c>
      <c r="B40">
        <f>'Long Trades'!H14</f>
        <v>-356.5</v>
      </c>
    </row>
    <row r="41" spans="1:2">
      <c r="A41" s="6" t="s">
        <v>101</v>
      </c>
      <c r="B41" s="79">
        <f>'Max unrealiszed Drawdown'!G8</f>
        <v>-2.0922990798082575E-2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workbookViewId="0">
      <selection activeCell="H14" sqref="H14"/>
    </sheetView>
  </sheetViews>
  <sheetFormatPr baseColWidth="10" defaultRowHeight="15" x14ac:dyDescent="0"/>
  <cols>
    <col min="6" max="6" width="14.6640625" bestFit="1" customWidth="1"/>
    <col min="7" max="7" width="13.83203125" bestFit="1" customWidth="1"/>
    <col min="10" max="10" width="14.6640625" bestFit="1" customWidth="1"/>
    <col min="14" max="14" width="14.6640625" bestFit="1" customWidth="1"/>
    <col min="15" max="15" width="9" bestFit="1" customWidth="1"/>
    <col min="17" max="17" width="14.6640625" bestFit="1" customWidth="1"/>
  </cols>
  <sheetData>
    <row r="1" spans="1:15">
      <c r="A1" t="s">
        <v>51</v>
      </c>
    </row>
    <row r="3" spans="1:15">
      <c r="A3" s="12">
        <v>1233010</v>
      </c>
      <c r="B3" s="12" t="s">
        <v>9</v>
      </c>
      <c r="C3" s="12" t="s">
        <v>11</v>
      </c>
      <c r="D3" s="13">
        <v>-1400</v>
      </c>
      <c r="E3" s="12">
        <v>87.471000000000004</v>
      </c>
      <c r="F3" s="14">
        <v>41123.772916666669</v>
      </c>
      <c r="H3" s="5">
        <f>'ALL Trades'!C89-2418</f>
        <v>56</v>
      </c>
      <c r="J3" s="10">
        <v>56</v>
      </c>
    </row>
    <row r="4" spans="1:15">
      <c r="A4" s="12">
        <v>1233009</v>
      </c>
      <c r="B4" s="12" t="s">
        <v>7</v>
      </c>
      <c r="C4" s="12" t="s">
        <v>11</v>
      </c>
      <c r="D4" s="13">
        <v>1400</v>
      </c>
      <c r="E4" s="12">
        <v>87.430999999999997</v>
      </c>
      <c r="F4" s="14">
        <v>41123.771527777775</v>
      </c>
      <c r="J4">
        <v>0</v>
      </c>
      <c r="N4" s="3"/>
      <c r="O4" s="5"/>
    </row>
    <row r="5" spans="1:15">
      <c r="A5" s="17">
        <v>1232570</v>
      </c>
      <c r="B5" s="18" t="s">
        <v>9</v>
      </c>
      <c r="C5" s="18" t="s">
        <v>8</v>
      </c>
      <c r="D5" s="26">
        <v>-300000</v>
      </c>
      <c r="E5" s="18">
        <v>1.2312799999999999</v>
      </c>
      <c r="F5" s="19">
        <v>41122.625694444447</v>
      </c>
      <c r="H5">
        <v>0</v>
      </c>
      <c r="J5" s="9">
        <v>-213</v>
      </c>
      <c r="N5" s="3"/>
    </row>
    <row r="6" spans="1:15">
      <c r="A6" s="23">
        <v>1232534</v>
      </c>
      <c r="B6" s="24" t="s">
        <v>7</v>
      </c>
      <c r="C6" s="24" t="s">
        <v>8</v>
      </c>
      <c r="D6" s="31">
        <v>300000</v>
      </c>
      <c r="E6" s="24">
        <v>1.2312799999999999</v>
      </c>
      <c r="F6" s="25">
        <v>41122.578472222223</v>
      </c>
      <c r="J6" s="10">
        <v>3.07</v>
      </c>
      <c r="N6" s="3"/>
      <c r="O6" s="2"/>
    </row>
    <row r="7" spans="1:15">
      <c r="A7" s="17">
        <v>1232308</v>
      </c>
      <c r="B7" s="18" t="s">
        <v>9</v>
      </c>
      <c r="C7" s="18" t="s">
        <v>13</v>
      </c>
      <c r="D7" s="26">
        <v>-300000</v>
      </c>
      <c r="E7" s="18">
        <v>1.5689</v>
      </c>
      <c r="F7" s="19">
        <v>41121.717361111114</v>
      </c>
      <c r="H7">
        <f>'ALL Trades'!C92</f>
        <v>-213</v>
      </c>
      <c r="J7">
        <v>0</v>
      </c>
      <c r="N7" s="3"/>
      <c r="O7" s="2"/>
    </row>
    <row r="8" spans="1:15">
      <c r="A8" s="23">
        <v>1232216</v>
      </c>
      <c r="B8" s="24" t="s">
        <v>7</v>
      </c>
      <c r="C8" s="24" t="s">
        <v>13</v>
      </c>
      <c r="D8" s="31">
        <v>300000</v>
      </c>
      <c r="E8" s="24">
        <v>1.5696099999999999</v>
      </c>
      <c r="F8" s="25">
        <v>41121.448611111111</v>
      </c>
      <c r="J8">
        <v>0</v>
      </c>
      <c r="N8" s="3"/>
      <c r="O8" s="2"/>
    </row>
    <row r="9" spans="1:15">
      <c r="A9" s="45">
        <v>1231778</v>
      </c>
      <c r="B9" s="46" t="s">
        <v>9</v>
      </c>
      <c r="C9" s="33" t="s">
        <v>10</v>
      </c>
      <c r="D9" s="34">
        <v>236000</v>
      </c>
      <c r="E9" s="33">
        <v>78.635999999999996</v>
      </c>
      <c r="F9" s="35">
        <v>41117.834027777775</v>
      </c>
      <c r="H9">
        <f>'ALL Trades'!C94</f>
        <v>3.07</v>
      </c>
      <c r="J9" s="9">
        <v>-356.5</v>
      </c>
      <c r="N9" s="3"/>
      <c r="O9" s="2"/>
    </row>
    <row r="10" spans="1:15">
      <c r="A10" s="32">
        <v>1221528</v>
      </c>
      <c r="B10" s="33" t="s">
        <v>9</v>
      </c>
      <c r="C10" s="33" t="s">
        <v>8</v>
      </c>
      <c r="D10" s="34">
        <v>-300000</v>
      </c>
      <c r="E10" s="33">
        <v>1.2104200000000001</v>
      </c>
      <c r="F10" s="35">
        <v>41115.409722222219</v>
      </c>
      <c r="H10">
        <v>0</v>
      </c>
      <c r="J10" s="10">
        <v>1305.5</v>
      </c>
      <c r="N10" s="3"/>
      <c r="O10" s="2"/>
    </row>
    <row r="11" spans="1:15">
      <c r="A11" s="17">
        <v>1186826</v>
      </c>
      <c r="B11" s="18" t="s">
        <v>9</v>
      </c>
      <c r="C11" s="18" t="s">
        <v>13</v>
      </c>
      <c r="D11" s="26">
        <v>-300000</v>
      </c>
      <c r="E11" s="18">
        <v>1.5518700000000001</v>
      </c>
      <c r="F11" s="19">
        <v>41114.561111111114</v>
      </c>
      <c r="H11">
        <v>0</v>
      </c>
      <c r="J11" s="10">
        <v>6.7</v>
      </c>
      <c r="N11" s="3"/>
    </row>
    <row r="12" spans="1:15">
      <c r="A12" s="23">
        <v>1186738</v>
      </c>
      <c r="B12" s="24" t="s">
        <v>7</v>
      </c>
      <c r="C12" s="24" t="s">
        <v>13</v>
      </c>
      <c r="D12" s="31">
        <v>300000</v>
      </c>
      <c r="E12" s="24">
        <v>1.5518700000000001</v>
      </c>
      <c r="F12" s="25">
        <v>41114.369444444441</v>
      </c>
      <c r="J12" s="9">
        <v>-229.9</v>
      </c>
      <c r="N12" s="3"/>
    </row>
    <row r="13" spans="1:15">
      <c r="A13" s="17">
        <v>1186513</v>
      </c>
      <c r="B13" s="18" t="s">
        <v>7</v>
      </c>
      <c r="C13" s="36" t="s">
        <v>8</v>
      </c>
      <c r="D13" s="37">
        <v>300000</v>
      </c>
      <c r="E13" s="36">
        <v>1.2104200000000001</v>
      </c>
      <c r="F13" s="38">
        <v>41113.602083333331</v>
      </c>
      <c r="J13" s="10">
        <v>24.8</v>
      </c>
      <c r="N13" s="3"/>
      <c r="O13" s="2"/>
    </row>
    <row r="14" spans="1:15">
      <c r="A14" s="20">
        <v>1186460</v>
      </c>
      <c r="B14" s="21" t="s">
        <v>9</v>
      </c>
      <c r="C14" s="21" t="s">
        <v>12</v>
      </c>
      <c r="D14" s="21">
        <v>-100</v>
      </c>
      <c r="E14" s="27">
        <v>1569.82</v>
      </c>
      <c r="F14" s="22">
        <v>41113.4375</v>
      </c>
      <c r="H14">
        <v>-356.5</v>
      </c>
      <c r="J14" s="10">
        <v>48</v>
      </c>
      <c r="N14" s="3"/>
      <c r="O14" s="2"/>
    </row>
    <row r="15" spans="1:15">
      <c r="A15" s="23">
        <v>1186446</v>
      </c>
      <c r="B15" s="24" t="s">
        <v>7</v>
      </c>
      <c r="C15" s="24" t="s">
        <v>12</v>
      </c>
      <c r="D15" s="24">
        <v>100</v>
      </c>
      <c r="E15" s="29">
        <v>1573.39</v>
      </c>
      <c r="F15" s="25">
        <v>41113.419444444444</v>
      </c>
      <c r="J15" s="10">
        <v>141.1</v>
      </c>
      <c r="N15" s="3"/>
    </row>
    <row r="16" spans="1:15">
      <c r="A16" s="32">
        <v>1185809</v>
      </c>
      <c r="B16" s="33" t="s">
        <v>7</v>
      </c>
      <c r="C16" s="33" t="s">
        <v>10</v>
      </c>
      <c r="D16" s="34">
        <v>236000</v>
      </c>
      <c r="E16" s="33">
        <v>78.635000000000005</v>
      </c>
      <c r="F16" s="35">
        <v>41109.438888888886</v>
      </c>
      <c r="J16" s="8">
        <v>180</v>
      </c>
      <c r="N16" s="3"/>
      <c r="O16" s="4"/>
    </row>
    <row r="17" spans="1:15">
      <c r="A17" s="17">
        <v>1185522</v>
      </c>
      <c r="B17" s="18" t="s">
        <v>9</v>
      </c>
      <c r="C17" s="18" t="s">
        <v>12</v>
      </c>
      <c r="D17" s="18">
        <v>-100</v>
      </c>
      <c r="E17" s="30">
        <v>1588.94</v>
      </c>
      <c r="F17" s="19">
        <v>41107.788194444445</v>
      </c>
      <c r="H17">
        <v>1305.5</v>
      </c>
      <c r="J17" s="10">
        <v>378.4</v>
      </c>
      <c r="N17" s="3"/>
      <c r="O17" s="2"/>
    </row>
    <row r="18" spans="1:15">
      <c r="A18" s="20">
        <v>1185509</v>
      </c>
      <c r="B18" s="21" t="s">
        <v>9</v>
      </c>
      <c r="C18" s="21" t="s">
        <v>12</v>
      </c>
      <c r="D18" s="21">
        <v>-100</v>
      </c>
      <c r="E18" s="27">
        <v>1587.95</v>
      </c>
      <c r="F18" s="22">
        <v>41107.762499999997</v>
      </c>
      <c r="H18">
        <v>6.7</v>
      </c>
      <c r="J18" s="10">
        <v>404.5</v>
      </c>
      <c r="N18" s="3"/>
      <c r="O18" s="2"/>
    </row>
    <row r="19" spans="1:15">
      <c r="A19" s="20">
        <v>1185495</v>
      </c>
      <c r="B19" s="21" t="s">
        <v>7</v>
      </c>
      <c r="C19" s="21" t="s">
        <v>12</v>
      </c>
      <c r="D19" s="21">
        <v>100</v>
      </c>
      <c r="E19" s="27">
        <v>1575.89</v>
      </c>
      <c r="F19" s="22">
        <v>41107.709027777775</v>
      </c>
      <c r="J19" s="10">
        <v>39.700000000000003</v>
      </c>
      <c r="N19" s="3"/>
    </row>
    <row r="20" spans="1:15">
      <c r="A20" s="20">
        <v>1185414</v>
      </c>
      <c r="B20" s="21" t="s">
        <v>7</v>
      </c>
      <c r="C20" s="21" t="s">
        <v>12</v>
      </c>
      <c r="D20" s="21">
        <v>100</v>
      </c>
      <c r="E20" s="27">
        <v>1587.88</v>
      </c>
      <c r="F20" s="22">
        <v>41107.646527777775</v>
      </c>
      <c r="J20" s="10">
        <v>342</v>
      </c>
      <c r="N20" s="3"/>
    </row>
    <row r="21" spans="1:15">
      <c r="A21" s="20">
        <v>1185397</v>
      </c>
      <c r="B21" s="21" t="s">
        <v>9</v>
      </c>
      <c r="C21" s="21" t="s">
        <v>12</v>
      </c>
      <c r="D21" s="21">
        <v>-100</v>
      </c>
      <c r="E21" s="27">
        <v>1593.02</v>
      </c>
      <c r="F21" s="22">
        <v>41107.551388888889</v>
      </c>
      <c r="H21">
        <v>-229.9</v>
      </c>
      <c r="N21" s="3"/>
      <c r="O21" s="2"/>
    </row>
    <row r="22" spans="1:15">
      <c r="A22" s="23">
        <v>1185384</v>
      </c>
      <c r="B22" s="24" t="s">
        <v>7</v>
      </c>
      <c r="C22" s="24" t="s">
        <v>12</v>
      </c>
      <c r="D22" s="24">
        <v>100</v>
      </c>
      <c r="E22" s="29">
        <v>1595.31</v>
      </c>
      <c r="F22" s="25">
        <v>41107.520833333336</v>
      </c>
      <c r="N22" s="3"/>
      <c r="O22" s="2"/>
    </row>
    <row r="23" spans="1:15">
      <c r="A23" s="17">
        <v>1184588</v>
      </c>
      <c r="B23" s="18" t="s">
        <v>9</v>
      </c>
      <c r="C23" s="18" t="s">
        <v>12</v>
      </c>
      <c r="D23" s="18">
        <v>-100</v>
      </c>
      <c r="E23" s="30">
        <v>1565.15</v>
      </c>
      <c r="F23" s="19">
        <v>41102.565972222219</v>
      </c>
      <c r="H23">
        <f>'ALL Trades'!C104</f>
        <v>24.8</v>
      </c>
      <c r="N23" s="3"/>
    </row>
    <row r="24" spans="1:15">
      <c r="A24" s="20">
        <v>1184555</v>
      </c>
      <c r="B24" s="21" t="s">
        <v>7</v>
      </c>
      <c r="C24" s="21" t="s">
        <v>12</v>
      </c>
      <c r="D24" s="21">
        <v>100</v>
      </c>
      <c r="E24" s="27">
        <v>1564.9</v>
      </c>
      <c r="F24" s="22">
        <v>41102.534722222219</v>
      </c>
      <c r="N24" s="3"/>
    </row>
    <row r="25" spans="1:15">
      <c r="A25" s="20">
        <v>1184528</v>
      </c>
      <c r="B25" s="21" t="s">
        <v>9</v>
      </c>
      <c r="C25" s="21" t="s">
        <v>8</v>
      </c>
      <c r="D25" s="28">
        <v>-300000</v>
      </c>
      <c r="E25" s="21">
        <v>1.22207</v>
      </c>
      <c r="F25" s="22">
        <v>41102.469444444447</v>
      </c>
      <c r="H25">
        <f>'ALL Trades'!C105</f>
        <v>48</v>
      </c>
      <c r="N25" s="3"/>
    </row>
    <row r="26" spans="1:15">
      <c r="A26" s="23">
        <v>1184505</v>
      </c>
      <c r="B26" s="24" t="s">
        <v>7</v>
      </c>
      <c r="C26" s="24" t="s">
        <v>8</v>
      </c>
      <c r="D26" s="31">
        <v>300000</v>
      </c>
      <c r="E26" s="24">
        <v>1.2219100000000001</v>
      </c>
      <c r="F26" s="25">
        <v>41102.422222222223</v>
      </c>
      <c r="N26" s="3"/>
    </row>
    <row r="27" spans="1:15">
      <c r="A27" s="17">
        <v>1184361</v>
      </c>
      <c r="B27" s="18" t="s">
        <v>9</v>
      </c>
      <c r="C27" s="18" t="s">
        <v>12</v>
      </c>
      <c r="D27" s="18">
        <v>-100</v>
      </c>
      <c r="E27" s="30">
        <v>1578.32</v>
      </c>
      <c r="F27" s="19">
        <v>41101.541666666664</v>
      </c>
      <c r="H27">
        <f>'ALL Trades'!C107</f>
        <v>141.1</v>
      </c>
      <c r="N27" s="3"/>
    </row>
    <row r="28" spans="1:15">
      <c r="A28" s="23">
        <v>1184360</v>
      </c>
      <c r="B28" s="24" t="s">
        <v>7</v>
      </c>
      <c r="C28" s="24" t="s">
        <v>12</v>
      </c>
      <c r="D28" s="24">
        <v>100</v>
      </c>
      <c r="E28" s="29">
        <v>1576.91</v>
      </c>
      <c r="F28" s="25">
        <v>41101.52847222222</v>
      </c>
      <c r="N28" s="3"/>
      <c r="O28" s="2"/>
    </row>
    <row r="29" spans="1:15">
      <c r="A29" s="17">
        <v>1184235</v>
      </c>
      <c r="B29" s="18" t="s">
        <v>9</v>
      </c>
      <c r="C29" s="18" t="s">
        <v>8</v>
      </c>
      <c r="D29" s="26">
        <v>-300000</v>
      </c>
      <c r="E29" s="18">
        <v>1.22878</v>
      </c>
      <c r="F29" s="19">
        <v>41100.654166666667</v>
      </c>
      <c r="H29">
        <f>'ALL Trades'!C108</f>
        <v>180</v>
      </c>
      <c r="N29" s="3"/>
    </row>
    <row r="30" spans="1:15">
      <c r="A30" s="20">
        <v>1184227</v>
      </c>
      <c r="B30" s="21" t="s">
        <v>7</v>
      </c>
      <c r="C30" s="21" t="s">
        <v>8</v>
      </c>
      <c r="D30" s="28">
        <v>300000</v>
      </c>
      <c r="E30" s="21">
        <v>1.22818</v>
      </c>
      <c r="F30" s="22">
        <v>41100.625</v>
      </c>
      <c r="N30" s="3"/>
    </row>
    <row r="31" spans="1:15">
      <c r="A31" s="20">
        <v>1184147</v>
      </c>
      <c r="B31" s="21" t="s">
        <v>9</v>
      </c>
      <c r="C31" s="21" t="s">
        <v>12</v>
      </c>
      <c r="D31" s="21">
        <v>-100</v>
      </c>
      <c r="E31" s="27">
        <v>1589.44</v>
      </c>
      <c r="F31" s="22">
        <v>41100.450694444444</v>
      </c>
      <c r="H31">
        <f>'ALL Trades'!C109</f>
        <v>378.4</v>
      </c>
      <c r="N31" s="3"/>
      <c r="O31" s="2"/>
    </row>
    <row r="32" spans="1:15">
      <c r="A32" s="23">
        <v>1184141</v>
      </c>
      <c r="B32" s="24" t="s">
        <v>7</v>
      </c>
      <c r="C32" s="24" t="s">
        <v>12</v>
      </c>
      <c r="D32" s="24">
        <v>100</v>
      </c>
      <c r="E32" s="29">
        <v>1585.66</v>
      </c>
      <c r="F32" s="25">
        <v>41100.43472222222</v>
      </c>
      <c r="N32" s="3"/>
      <c r="O32" s="2"/>
    </row>
    <row r="33" spans="1:10">
      <c r="A33" s="17">
        <v>1184079</v>
      </c>
      <c r="B33" s="18" t="s">
        <v>9</v>
      </c>
      <c r="C33" s="18" t="s">
        <v>11</v>
      </c>
      <c r="D33" s="26">
        <v>-1500</v>
      </c>
      <c r="E33" s="18">
        <v>86.010999999999996</v>
      </c>
      <c r="F33" s="19">
        <v>41099.838194444441</v>
      </c>
      <c r="H33">
        <f>'ALL Trades'!C110</f>
        <v>404.5</v>
      </c>
    </row>
    <row r="34" spans="1:10">
      <c r="A34" s="20">
        <v>1184023</v>
      </c>
      <c r="B34" s="21" t="s">
        <v>9</v>
      </c>
      <c r="C34" s="21" t="s">
        <v>12</v>
      </c>
      <c r="D34" s="21">
        <v>-100</v>
      </c>
      <c r="E34" s="27">
        <v>1581.81</v>
      </c>
      <c r="F34" s="22">
        <v>41099.510416666664</v>
      </c>
      <c r="H34">
        <f>39.7</f>
        <v>39.700000000000003</v>
      </c>
    </row>
    <row r="35" spans="1:10">
      <c r="A35" s="20">
        <v>1184021</v>
      </c>
      <c r="B35" s="21" t="s">
        <v>9</v>
      </c>
      <c r="C35" s="21" t="s">
        <v>8</v>
      </c>
      <c r="D35" s="28">
        <v>-300000</v>
      </c>
      <c r="E35" s="21">
        <v>1.22875</v>
      </c>
      <c r="F35" s="22">
        <v>41099.500694444447</v>
      </c>
      <c r="H35">
        <f>'ALL Trades'!C112</f>
        <v>342</v>
      </c>
    </row>
    <row r="36" spans="1:10">
      <c r="A36" s="20">
        <v>1184011</v>
      </c>
      <c r="B36" s="21" t="s">
        <v>7</v>
      </c>
      <c r="C36" s="21" t="s">
        <v>8</v>
      </c>
      <c r="D36" s="28">
        <v>300000</v>
      </c>
      <c r="E36" s="21">
        <v>1.2276100000000001</v>
      </c>
      <c r="F36" s="22">
        <v>41099.46597222222</v>
      </c>
      <c r="J36" s="11"/>
    </row>
    <row r="37" spans="1:10">
      <c r="A37" s="23">
        <v>1184006</v>
      </c>
      <c r="B37" s="24" t="s">
        <v>7</v>
      </c>
      <c r="C37" s="24" t="s">
        <v>12</v>
      </c>
      <c r="D37" s="24">
        <v>100</v>
      </c>
      <c r="E37" s="29">
        <v>1581.41</v>
      </c>
      <c r="F37" s="25">
        <v>41099.441666666666</v>
      </c>
    </row>
    <row r="38" spans="1:10">
      <c r="A38" s="17">
        <v>1171046</v>
      </c>
      <c r="B38" s="18" t="s">
        <v>7</v>
      </c>
      <c r="C38" s="18" t="s">
        <v>11</v>
      </c>
      <c r="D38" s="18">
        <v>500</v>
      </c>
      <c r="E38" s="18">
        <v>85.738</v>
      </c>
      <c r="F38" s="19">
        <v>41096.522916666669</v>
      </c>
      <c r="J38" s="11"/>
    </row>
    <row r="39" spans="1:10">
      <c r="A39" s="20">
        <v>1171045</v>
      </c>
      <c r="B39" s="21" t="s">
        <v>7</v>
      </c>
      <c r="C39" s="21" t="s">
        <v>11</v>
      </c>
      <c r="D39" s="21">
        <v>900</v>
      </c>
      <c r="E39" s="21">
        <v>85.742999999999995</v>
      </c>
      <c r="F39" s="22">
        <v>41096.522222222222</v>
      </c>
    </row>
    <row r="40" spans="1:10">
      <c r="A40" s="23">
        <v>1171044</v>
      </c>
      <c r="B40" s="24" t="s">
        <v>7</v>
      </c>
      <c r="C40" s="24" t="s">
        <v>11</v>
      </c>
      <c r="D40" s="24">
        <v>100</v>
      </c>
      <c r="E40" s="24">
        <v>85.742999999999995</v>
      </c>
      <c r="F40" s="25">
        <v>41096.521527777775</v>
      </c>
      <c r="J40" s="2"/>
    </row>
    <row r="42" spans="1:10">
      <c r="G42" s="6" t="s">
        <v>24</v>
      </c>
      <c r="H42" s="73">
        <f>SUM(H3:H40)</f>
        <v>2130.37</v>
      </c>
      <c r="J42" s="2"/>
    </row>
    <row r="43" spans="1:10">
      <c r="G43" s="6" t="s">
        <v>22</v>
      </c>
      <c r="H43" s="6">
        <v>2929.77</v>
      </c>
    </row>
    <row r="44" spans="1:10">
      <c r="G44" s="6" t="s">
        <v>23</v>
      </c>
      <c r="H44" s="6">
        <v>-799.4</v>
      </c>
      <c r="J44" s="2"/>
    </row>
    <row r="46" spans="1:10">
      <c r="J46" s="2"/>
    </row>
    <row r="48" spans="1:10">
      <c r="J48" s="11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workbookViewId="0">
      <selection activeCell="H3" sqref="H3"/>
    </sheetView>
  </sheetViews>
  <sheetFormatPr baseColWidth="10" defaultRowHeight="15" x14ac:dyDescent="0"/>
  <cols>
    <col min="6" max="6" width="14.6640625" bestFit="1" customWidth="1"/>
    <col min="7" max="7" width="14.83203125" bestFit="1" customWidth="1"/>
    <col min="12" max="12" width="14.6640625" bestFit="1" customWidth="1"/>
  </cols>
  <sheetData>
    <row r="1" spans="1:10" ht="18">
      <c r="A1" s="16" t="s">
        <v>49</v>
      </c>
    </row>
    <row r="3" spans="1:10">
      <c r="A3" s="47">
        <v>1233008</v>
      </c>
      <c r="B3" s="48" t="s">
        <v>7</v>
      </c>
      <c r="C3" s="48" t="s">
        <v>11</v>
      </c>
      <c r="D3" s="48">
        <v>500</v>
      </c>
      <c r="E3" s="48">
        <v>87.460999999999999</v>
      </c>
      <c r="F3" s="50">
        <v>41123.771527777775</v>
      </c>
      <c r="G3" s="11"/>
      <c r="H3" s="11">
        <f>(E5-E4)*1500</f>
        <v>2417.9999999999923</v>
      </c>
      <c r="I3" s="84">
        <v>0.1763888888888889</v>
      </c>
      <c r="J3" s="10">
        <v>2418</v>
      </c>
    </row>
    <row r="4" spans="1:10">
      <c r="A4" s="56">
        <v>1233007</v>
      </c>
      <c r="B4" s="57" t="s">
        <v>7</v>
      </c>
      <c r="C4" s="57" t="s">
        <v>11</v>
      </c>
      <c r="D4" s="60">
        <v>1000</v>
      </c>
      <c r="E4" s="57">
        <v>87.460999999999999</v>
      </c>
      <c r="F4" s="59">
        <v>41123.771527777775</v>
      </c>
      <c r="G4" s="11"/>
      <c r="H4" s="11"/>
      <c r="I4" s="11"/>
      <c r="J4" s="10">
        <v>413.2</v>
      </c>
    </row>
    <row r="5" spans="1:10">
      <c r="A5" s="56">
        <v>1232850</v>
      </c>
      <c r="B5" s="57" t="s">
        <v>9</v>
      </c>
      <c r="C5" s="57" t="s">
        <v>11</v>
      </c>
      <c r="D5" s="60">
        <v>-1500</v>
      </c>
      <c r="E5" s="57">
        <v>89.072999999999993</v>
      </c>
      <c r="F5" s="59">
        <v>41123.595138888886</v>
      </c>
      <c r="G5" s="11"/>
      <c r="H5" s="76"/>
      <c r="I5" s="11"/>
      <c r="J5" s="9">
        <v>-90</v>
      </c>
    </row>
    <row r="6" spans="1:10">
      <c r="A6" s="56">
        <v>1232806</v>
      </c>
      <c r="B6" s="57" t="s">
        <v>7</v>
      </c>
      <c r="C6" s="57" t="s">
        <v>12</v>
      </c>
      <c r="D6" s="57">
        <v>100</v>
      </c>
      <c r="E6" s="58">
        <v>1600.49</v>
      </c>
      <c r="F6" s="59">
        <v>41123.54791666667</v>
      </c>
      <c r="G6" s="11"/>
      <c r="H6" s="11">
        <v>413.2</v>
      </c>
      <c r="I6" s="84">
        <v>3.5416666666666666E-2</v>
      </c>
      <c r="J6" s="10">
        <v>383.55</v>
      </c>
    </row>
    <row r="7" spans="1:10">
      <c r="A7" s="51">
        <v>1232796</v>
      </c>
      <c r="B7" s="52" t="s">
        <v>9</v>
      </c>
      <c r="C7" s="52" t="s">
        <v>12</v>
      </c>
      <c r="D7" s="52">
        <v>-100</v>
      </c>
      <c r="E7" s="61">
        <v>1604.62</v>
      </c>
      <c r="F7" s="54">
        <v>41123.512499999997</v>
      </c>
      <c r="G7" s="11"/>
      <c r="H7" s="11"/>
      <c r="I7" s="11"/>
      <c r="J7" s="40">
        <v>0</v>
      </c>
    </row>
    <row r="8" spans="1:10">
      <c r="A8" s="47">
        <v>1232438</v>
      </c>
      <c r="B8" s="48" t="s">
        <v>7</v>
      </c>
      <c r="C8" s="48" t="s">
        <v>8</v>
      </c>
      <c r="D8" s="49">
        <v>300000</v>
      </c>
      <c r="E8" s="48">
        <v>1.2323500000000001</v>
      </c>
      <c r="F8" s="50">
        <v>41122.431250000001</v>
      </c>
      <c r="G8" s="11"/>
      <c r="H8" s="11">
        <v>-90</v>
      </c>
      <c r="I8" s="84">
        <v>1.9444444444444445E-2</v>
      </c>
      <c r="J8" s="10">
        <v>2679.9</v>
      </c>
    </row>
    <row r="9" spans="1:10">
      <c r="A9" s="51">
        <v>1232417</v>
      </c>
      <c r="B9" s="52" t="s">
        <v>9</v>
      </c>
      <c r="C9" s="52" t="s">
        <v>8</v>
      </c>
      <c r="D9" s="53">
        <v>-300000</v>
      </c>
      <c r="E9" s="52">
        <v>1.2320500000000001</v>
      </c>
      <c r="F9" s="54">
        <v>41122.411805555559</v>
      </c>
      <c r="G9" s="11"/>
      <c r="H9" s="11"/>
      <c r="I9" s="11"/>
      <c r="J9" s="80">
        <v>612</v>
      </c>
    </row>
    <row r="10" spans="1:10">
      <c r="A10" s="66">
        <v>1232108</v>
      </c>
      <c r="B10" s="67" t="s">
        <v>7</v>
      </c>
      <c r="C10" s="67" t="s">
        <v>10</v>
      </c>
      <c r="D10" s="68">
        <v>64000</v>
      </c>
      <c r="E10" s="67">
        <v>78.174999999999997</v>
      </c>
      <c r="F10" s="69">
        <v>41120.996527777781</v>
      </c>
      <c r="G10" s="11"/>
      <c r="H10" s="11">
        <v>383.55</v>
      </c>
      <c r="I10" s="83">
        <v>0.1323148148148148</v>
      </c>
      <c r="J10" s="80">
        <v>1.7</v>
      </c>
    </row>
    <row r="11" spans="1:10">
      <c r="A11" s="47">
        <v>1231781</v>
      </c>
      <c r="B11" s="48" t="s">
        <v>7</v>
      </c>
      <c r="C11" s="48" t="s">
        <v>8</v>
      </c>
      <c r="D11" s="49">
        <v>300000</v>
      </c>
      <c r="E11" s="48">
        <v>1.2287699999999999</v>
      </c>
      <c r="F11" s="50">
        <v>41117.84097222222</v>
      </c>
      <c r="G11" s="11"/>
      <c r="H11" s="11">
        <v>0</v>
      </c>
      <c r="I11" s="84"/>
      <c r="J11" s="80">
        <v>355.8</v>
      </c>
    </row>
    <row r="12" spans="1:10">
      <c r="A12" s="56">
        <v>1231778</v>
      </c>
      <c r="B12" s="57" t="s">
        <v>9</v>
      </c>
      <c r="C12" s="57" t="s">
        <v>10</v>
      </c>
      <c r="D12" s="60">
        <v>64000</v>
      </c>
      <c r="E12" s="57">
        <v>78.635999999999996</v>
      </c>
      <c r="F12" s="59">
        <v>41117.834027777775</v>
      </c>
      <c r="G12" s="11"/>
      <c r="H12" s="11"/>
      <c r="I12" s="11"/>
      <c r="J12" s="75">
        <v>0</v>
      </c>
    </row>
    <row r="13" spans="1:10">
      <c r="A13" s="51">
        <v>1231680</v>
      </c>
      <c r="B13" s="52" t="s">
        <v>9</v>
      </c>
      <c r="C13" s="52" t="s">
        <v>8</v>
      </c>
      <c r="D13" s="53">
        <v>-300000</v>
      </c>
      <c r="E13" s="52">
        <v>1.2287699999999999</v>
      </c>
      <c r="F13" s="54">
        <v>41117.564583333333</v>
      </c>
      <c r="G13" s="11"/>
      <c r="H13" s="11"/>
      <c r="I13" s="11"/>
      <c r="J13" s="80">
        <v>222</v>
      </c>
    </row>
    <row r="14" spans="1:10">
      <c r="A14" s="56">
        <v>1186578</v>
      </c>
      <c r="B14" s="57" t="s">
        <v>7</v>
      </c>
      <c r="C14" s="57" t="s">
        <v>11</v>
      </c>
      <c r="D14" s="60">
        <v>1300</v>
      </c>
      <c r="E14" s="57">
        <v>88.497</v>
      </c>
      <c r="F14" s="59">
        <v>41113.697222222225</v>
      </c>
      <c r="G14" s="11"/>
      <c r="H14" s="40">
        <v>2679.9</v>
      </c>
      <c r="I14" s="83">
        <v>0.17076388888888891</v>
      </c>
      <c r="J14" s="80">
        <v>36.799999999999997</v>
      </c>
    </row>
    <row r="15" spans="1:10">
      <c r="A15" s="56">
        <v>1186577</v>
      </c>
      <c r="B15" s="57" t="s">
        <v>7</v>
      </c>
      <c r="C15" s="57" t="s">
        <v>11</v>
      </c>
      <c r="D15" s="57">
        <v>100</v>
      </c>
      <c r="E15" s="57">
        <v>88.537000000000006</v>
      </c>
      <c r="F15" s="59">
        <v>41113.696527777778</v>
      </c>
      <c r="G15" s="11"/>
      <c r="H15" s="11"/>
      <c r="I15" s="11"/>
      <c r="J15" s="80">
        <v>0.4</v>
      </c>
    </row>
    <row r="16" spans="1:10">
      <c r="A16" s="47">
        <v>1186513</v>
      </c>
      <c r="B16" s="48" t="s">
        <v>7</v>
      </c>
      <c r="C16" s="48" t="s">
        <v>8</v>
      </c>
      <c r="D16" s="49">
        <v>300000</v>
      </c>
      <c r="E16" s="48">
        <v>1.2103999999999999</v>
      </c>
      <c r="F16" s="50">
        <v>41113.602083333331</v>
      </c>
      <c r="G16" s="11"/>
      <c r="H16" s="11">
        <f>'ALL Trades'!C96</f>
        <v>612</v>
      </c>
      <c r="I16" s="76"/>
      <c r="J16" s="80">
        <v>463.1</v>
      </c>
    </row>
    <row r="17" spans="1:10">
      <c r="A17" s="56">
        <v>1186507</v>
      </c>
      <c r="B17" s="57" t="s">
        <v>9</v>
      </c>
      <c r="C17" s="57" t="s">
        <v>8</v>
      </c>
      <c r="D17" s="60">
        <v>-300000</v>
      </c>
      <c r="E17" s="57">
        <v>1.21244</v>
      </c>
      <c r="F17" s="59">
        <v>41113.556944444441</v>
      </c>
      <c r="G17" s="11"/>
      <c r="H17" s="11"/>
      <c r="I17" s="11"/>
      <c r="J17" s="80">
        <v>3</v>
      </c>
    </row>
    <row r="18" spans="1:10">
      <c r="A18" s="51">
        <v>1186348</v>
      </c>
      <c r="B18" s="52" t="s">
        <v>7</v>
      </c>
      <c r="C18" s="52" t="s">
        <v>11</v>
      </c>
      <c r="D18" s="52">
        <v>100</v>
      </c>
      <c r="E18" s="52">
        <v>90.412999999999997</v>
      </c>
      <c r="F18" s="54">
        <v>41113.195138888892</v>
      </c>
      <c r="G18" s="11"/>
      <c r="H18" s="76"/>
      <c r="I18" s="11"/>
      <c r="J18" s="80">
        <v>23.6</v>
      </c>
    </row>
    <row r="19" spans="1:10">
      <c r="A19" s="47">
        <v>1186095</v>
      </c>
      <c r="B19" s="48" t="s">
        <v>7</v>
      </c>
      <c r="C19" s="48" t="s">
        <v>12</v>
      </c>
      <c r="D19" s="48">
        <v>100</v>
      </c>
      <c r="E19" s="55">
        <v>1585.34</v>
      </c>
      <c r="F19" s="50">
        <v>41110.456250000003</v>
      </c>
      <c r="G19" s="11"/>
      <c r="H19" s="11">
        <v>1.7</v>
      </c>
      <c r="I19" s="11"/>
      <c r="J19" s="81">
        <v>-205.92</v>
      </c>
    </row>
    <row r="20" spans="1:10">
      <c r="A20" s="51">
        <v>1186086</v>
      </c>
      <c r="B20" s="52" t="s">
        <v>9</v>
      </c>
      <c r="C20" s="52" t="s">
        <v>12</v>
      </c>
      <c r="D20" s="52">
        <v>-100</v>
      </c>
      <c r="E20" s="61">
        <v>1585.36</v>
      </c>
      <c r="F20" s="54">
        <v>41110.435416666667</v>
      </c>
      <c r="G20" s="11"/>
      <c r="H20" s="76"/>
      <c r="I20" s="11"/>
      <c r="J20" s="81">
        <v>-63.9</v>
      </c>
    </row>
    <row r="21" spans="1:10">
      <c r="A21" s="47">
        <v>1185936</v>
      </c>
      <c r="B21" s="48" t="s">
        <v>7</v>
      </c>
      <c r="C21" s="48" t="s">
        <v>12</v>
      </c>
      <c r="D21" s="48">
        <v>100</v>
      </c>
      <c r="E21" s="55">
        <v>1583.46</v>
      </c>
      <c r="F21" s="50">
        <v>41109.647222222222</v>
      </c>
      <c r="G21" s="11"/>
      <c r="H21" s="76">
        <v>355.8</v>
      </c>
      <c r="I21" s="11"/>
      <c r="J21" s="80">
        <v>84</v>
      </c>
    </row>
    <row r="22" spans="1:10">
      <c r="A22" s="56">
        <v>1185903</v>
      </c>
      <c r="B22" s="57" t="s">
        <v>9</v>
      </c>
      <c r="C22" s="57" t="s">
        <v>12</v>
      </c>
      <c r="D22" s="57">
        <v>-100</v>
      </c>
      <c r="E22" s="58">
        <v>1587.02</v>
      </c>
      <c r="F22" s="59">
        <v>41109.586805555555</v>
      </c>
      <c r="G22" s="11"/>
      <c r="H22" s="11"/>
      <c r="I22" s="11"/>
      <c r="J22" s="80">
        <v>288</v>
      </c>
    </row>
    <row r="23" spans="1:10">
      <c r="A23" s="56">
        <v>1185888</v>
      </c>
      <c r="B23" s="57" t="s">
        <v>7</v>
      </c>
      <c r="C23" s="57" t="s">
        <v>8</v>
      </c>
      <c r="D23" s="60">
        <v>300000</v>
      </c>
      <c r="E23" s="57">
        <v>1.2302599999999999</v>
      </c>
      <c r="F23" s="59">
        <v>41109.542361111111</v>
      </c>
      <c r="G23" s="11"/>
      <c r="H23" s="11">
        <v>0</v>
      </c>
      <c r="I23" s="11"/>
      <c r="J23" s="81">
        <v>-54.05</v>
      </c>
    </row>
    <row r="24" spans="1:10">
      <c r="A24" s="56">
        <v>1185875</v>
      </c>
      <c r="B24" s="57" t="s">
        <v>9</v>
      </c>
      <c r="C24" s="57" t="s">
        <v>8</v>
      </c>
      <c r="D24" s="60">
        <v>-300000</v>
      </c>
      <c r="E24" s="57">
        <v>1.2302599999999999</v>
      </c>
      <c r="F24" s="59">
        <v>41109.527777777781</v>
      </c>
      <c r="G24" s="11"/>
      <c r="H24" s="11"/>
      <c r="I24" s="11"/>
      <c r="J24" s="76"/>
    </row>
    <row r="25" spans="1:10">
      <c r="A25" s="62">
        <v>1185818</v>
      </c>
      <c r="B25" s="63" t="s">
        <v>9</v>
      </c>
      <c r="C25" s="63" t="s">
        <v>11</v>
      </c>
      <c r="D25" s="64">
        <v>-1500</v>
      </c>
      <c r="E25" s="63">
        <v>90.414000000000001</v>
      </c>
      <c r="F25" s="65">
        <v>41109.451388888891</v>
      </c>
      <c r="G25" s="11"/>
      <c r="H25" s="76"/>
      <c r="I25" s="11"/>
      <c r="J25" s="76"/>
    </row>
    <row r="26" spans="1:10">
      <c r="A26" s="56">
        <v>1185806</v>
      </c>
      <c r="B26" s="57" t="s">
        <v>7</v>
      </c>
      <c r="C26" s="57" t="s">
        <v>8</v>
      </c>
      <c r="D26" s="60">
        <v>300000</v>
      </c>
      <c r="E26" s="57">
        <v>1.2296100000000001</v>
      </c>
      <c r="F26" s="59">
        <v>41109.433333333334</v>
      </c>
      <c r="G26" s="11"/>
      <c r="H26" s="11">
        <v>222</v>
      </c>
      <c r="I26" s="85">
        <v>2.5694444444444447E-2</v>
      </c>
      <c r="J26" s="76"/>
    </row>
    <row r="27" spans="1:10">
      <c r="A27" s="51">
        <v>1185803</v>
      </c>
      <c r="B27" s="52" t="s">
        <v>9</v>
      </c>
      <c r="C27" s="52" t="s">
        <v>8</v>
      </c>
      <c r="D27" s="53">
        <v>-300000</v>
      </c>
      <c r="E27" s="52">
        <v>1.2303500000000001</v>
      </c>
      <c r="F27" s="54">
        <v>41109.407638888886</v>
      </c>
      <c r="G27" s="11"/>
      <c r="H27" s="76"/>
      <c r="I27" s="76"/>
      <c r="J27" s="76"/>
    </row>
    <row r="28" spans="1:10">
      <c r="A28" s="47">
        <v>1185383</v>
      </c>
      <c r="B28" s="48" t="s">
        <v>7</v>
      </c>
      <c r="C28" s="48" t="s">
        <v>12</v>
      </c>
      <c r="D28" s="48">
        <v>100</v>
      </c>
      <c r="E28" s="55">
        <v>1595.8</v>
      </c>
      <c r="F28" s="50">
        <v>41107.501388888886</v>
      </c>
      <c r="G28" s="11"/>
      <c r="H28" s="11">
        <v>36.799999999999997</v>
      </c>
      <c r="I28" s="85">
        <v>4.1666666666666664E-2</v>
      </c>
      <c r="J28" s="76"/>
    </row>
    <row r="29" spans="1:10">
      <c r="A29" s="51">
        <v>1185373</v>
      </c>
      <c r="B29" s="52" t="s">
        <v>9</v>
      </c>
      <c r="C29" s="52" t="s">
        <v>12</v>
      </c>
      <c r="D29" s="52">
        <v>-100</v>
      </c>
      <c r="E29" s="61">
        <v>1596.17</v>
      </c>
      <c r="F29" s="54">
        <v>41107.459722222222</v>
      </c>
      <c r="G29" s="11"/>
      <c r="H29" s="76"/>
      <c r="I29" s="76"/>
      <c r="J29" s="76"/>
    </row>
    <row r="30" spans="1:10">
      <c r="A30" s="47">
        <v>1185309</v>
      </c>
      <c r="B30" s="48" t="s">
        <v>7</v>
      </c>
      <c r="C30" s="48" t="s">
        <v>12</v>
      </c>
      <c r="D30" s="48">
        <v>100</v>
      </c>
      <c r="E30" s="55">
        <v>1590.06</v>
      </c>
      <c r="F30" s="50">
        <v>41106.914583333331</v>
      </c>
      <c r="G30" s="11"/>
      <c r="H30" s="11">
        <v>0.4</v>
      </c>
      <c r="I30" s="85">
        <v>0.20833333333333334</v>
      </c>
      <c r="J30" s="76"/>
    </row>
    <row r="31" spans="1:10">
      <c r="A31" s="51">
        <v>1185250</v>
      </c>
      <c r="B31" s="52" t="s">
        <v>9</v>
      </c>
      <c r="C31" s="52" t="s">
        <v>12</v>
      </c>
      <c r="D31" s="52">
        <v>-100</v>
      </c>
      <c r="E31" s="61">
        <v>1590.06</v>
      </c>
      <c r="F31" s="54">
        <v>41106.706250000003</v>
      </c>
      <c r="G31" s="11"/>
      <c r="H31" s="76"/>
      <c r="I31" s="76"/>
      <c r="J31" s="76"/>
    </row>
    <row r="32" spans="1:10">
      <c r="A32" s="47">
        <v>1184655</v>
      </c>
      <c r="B32" s="48" t="s">
        <v>7</v>
      </c>
      <c r="C32" s="48" t="s">
        <v>11</v>
      </c>
      <c r="D32" s="49">
        <v>1400</v>
      </c>
      <c r="E32" s="48">
        <v>84.176000000000002</v>
      </c>
      <c r="F32" s="50">
        <v>41102.674305555556</v>
      </c>
      <c r="G32" s="11"/>
      <c r="H32" s="11">
        <v>463.1</v>
      </c>
      <c r="I32" s="85">
        <v>2.6388888888888889E-2</v>
      </c>
      <c r="J32" s="76"/>
    </row>
    <row r="33" spans="1:10">
      <c r="A33" s="56">
        <v>1184654</v>
      </c>
      <c r="B33" s="57" t="s">
        <v>7</v>
      </c>
      <c r="C33" s="57" t="s">
        <v>11</v>
      </c>
      <c r="D33" s="57">
        <v>100</v>
      </c>
      <c r="E33" s="57">
        <v>84.344999999999999</v>
      </c>
      <c r="F33" s="59">
        <v>41102.673611111109</v>
      </c>
      <c r="G33" s="11"/>
      <c r="H33" s="76"/>
      <c r="I33" s="76"/>
      <c r="J33" s="76"/>
    </row>
    <row r="34" spans="1:10">
      <c r="A34" s="51">
        <v>1184634</v>
      </c>
      <c r="B34" s="52" t="s">
        <v>9</v>
      </c>
      <c r="C34" s="52" t="s">
        <v>11</v>
      </c>
      <c r="D34" s="53">
        <v>-1500</v>
      </c>
      <c r="E34" s="52">
        <v>84.495999999999995</v>
      </c>
      <c r="F34" s="54">
        <v>41102.647916666669</v>
      </c>
      <c r="G34" s="11"/>
      <c r="H34" s="76"/>
      <c r="I34" s="76"/>
      <c r="J34" s="76"/>
    </row>
    <row r="35" spans="1:10">
      <c r="A35" s="47">
        <v>1184406</v>
      </c>
      <c r="B35" s="48" t="s">
        <v>7</v>
      </c>
      <c r="C35" s="48" t="s">
        <v>13</v>
      </c>
      <c r="D35" s="49">
        <v>300000</v>
      </c>
      <c r="E35" s="48">
        <v>1.5557399999999999</v>
      </c>
      <c r="F35" s="50">
        <v>41101.713888888888</v>
      </c>
      <c r="G35" s="11"/>
      <c r="H35" s="11">
        <v>3</v>
      </c>
      <c r="I35" s="85">
        <v>0.15555555555555556</v>
      </c>
      <c r="J35" s="76"/>
    </row>
    <row r="36" spans="1:10">
      <c r="A36" s="51">
        <v>1184354</v>
      </c>
      <c r="B36" s="52" t="s">
        <v>9</v>
      </c>
      <c r="C36" s="52" t="s">
        <v>13</v>
      </c>
      <c r="D36" s="53">
        <v>-300000</v>
      </c>
      <c r="E36" s="52">
        <v>1.55575</v>
      </c>
      <c r="F36" s="54">
        <v>41101.474999999999</v>
      </c>
      <c r="G36" s="11"/>
      <c r="H36" s="76"/>
      <c r="I36" s="76"/>
      <c r="J36" s="76"/>
    </row>
    <row r="37" spans="1:10">
      <c r="A37" s="47">
        <v>1184057</v>
      </c>
      <c r="B37" s="48" t="s">
        <v>7</v>
      </c>
      <c r="C37" s="48" t="s">
        <v>12</v>
      </c>
      <c r="D37" s="48">
        <v>100</v>
      </c>
      <c r="E37" s="55">
        <v>1583.34</v>
      </c>
      <c r="F37" s="50">
        <v>41099.645833333336</v>
      </c>
      <c r="G37" s="11"/>
      <c r="H37" s="11">
        <v>23.6</v>
      </c>
      <c r="I37" s="85">
        <v>9.4444444444444442E-2</v>
      </c>
      <c r="J37" s="76"/>
    </row>
    <row r="38" spans="1:10">
      <c r="A38" s="51">
        <v>1184040</v>
      </c>
      <c r="B38" s="52" t="s">
        <v>9</v>
      </c>
      <c r="C38" s="52" t="s">
        <v>12</v>
      </c>
      <c r="D38" s="52">
        <v>-100</v>
      </c>
      <c r="E38" s="61">
        <v>1583.58</v>
      </c>
      <c r="F38" s="54">
        <v>41099.551388888889</v>
      </c>
      <c r="G38" s="11"/>
      <c r="H38" s="76"/>
      <c r="I38" s="76"/>
      <c r="J38" s="76"/>
    </row>
    <row r="39" spans="1:10">
      <c r="A39" s="47">
        <v>1171063</v>
      </c>
      <c r="B39" s="48" t="s">
        <v>7</v>
      </c>
      <c r="C39" s="48" t="s">
        <v>10</v>
      </c>
      <c r="D39" s="49">
        <v>240000</v>
      </c>
      <c r="E39" s="48">
        <v>79.924000000000007</v>
      </c>
      <c r="F39" s="50">
        <v>41096.602777777778</v>
      </c>
      <c r="G39" s="11"/>
      <c r="H39" s="11">
        <f>'ALL Trades'!C113</f>
        <v>-205.92</v>
      </c>
      <c r="I39" s="85">
        <v>9.7222222222222224E-2</v>
      </c>
      <c r="J39" s="76"/>
    </row>
    <row r="40" spans="1:10">
      <c r="A40" s="51">
        <v>1171043</v>
      </c>
      <c r="B40" s="52" t="s">
        <v>9</v>
      </c>
      <c r="C40" s="52" t="s">
        <v>10</v>
      </c>
      <c r="D40" s="53">
        <v>-240000</v>
      </c>
      <c r="E40" s="52">
        <v>79.858000000000004</v>
      </c>
      <c r="F40" s="54">
        <v>41096.505555555559</v>
      </c>
      <c r="G40" s="11"/>
      <c r="H40" s="76"/>
      <c r="I40" s="76"/>
      <c r="J40" s="76"/>
    </row>
    <row r="41" spans="1:10">
      <c r="A41" s="47">
        <v>1170936</v>
      </c>
      <c r="B41" s="48" t="s">
        <v>7</v>
      </c>
      <c r="C41" s="48" t="s">
        <v>12</v>
      </c>
      <c r="D41" s="48">
        <v>100</v>
      </c>
      <c r="E41" s="55">
        <v>1617.45</v>
      </c>
      <c r="F41" s="50">
        <v>41095.474305555559</v>
      </c>
      <c r="G41" s="11"/>
      <c r="H41" s="11">
        <f>'ALL Trades'!C114</f>
        <v>-63.9</v>
      </c>
      <c r="I41" s="85">
        <v>2.5694444444444447E-2</v>
      </c>
      <c r="J41" s="76"/>
    </row>
    <row r="42" spans="1:10">
      <c r="A42" s="56">
        <v>1170933</v>
      </c>
      <c r="B42" s="57" t="s">
        <v>9</v>
      </c>
      <c r="C42" s="57" t="s">
        <v>12</v>
      </c>
      <c r="D42" s="57">
        <v>-100</v>
      </c>
      <c r="E42" s="58">
        <v>1616.81</v>
      </c>
      <c r="F42" s="59">
        <v>41095.448611111111</v>
      </c>
      <c r="G42" s="11"/>
      <c r="H42" s="76"/>
      <c r="I42" s="76"/>
      <c r="J42" s="76"/>
    </row>
    <row r="43" spans="1:10">
      <c r="A43" s="56">
        <v>1170932</v>
      </c>
      <c r="B43" s="57" t="s">
        <v>7</v>
      </c>
      <c r="C43" s="57" t="s">
        <v>8</v>
      </c>
      <c r="D43" s="60">
        <v>300000</v>
      </c>
      <c r="E43" s="57">
        <v>1.25265</v>
      </c>
      <c r="F43" s="59">
        <v>41095.423611111109</v>
      </c>
      <c r="G43" s="11"/>
      <c r="H43" s="11">
        <f>'ALL Trades'!C115</f>
        <v>84</v>
      </c>
      <c r="I43" s="85">
        <v>3.9583333333333331E-2</v>
      </c>
      <c r="J43" s="76"/>
    </row>
    <row r="44" spans="1:10">
      <c r="A44" s="51">
        <v>1170927</v>
      </c>
      <c r="B44" s="52" t="s">
        <v>9</v>
      </c>
      <c r="C44" s="52" t="s">
        <v>8</v>
      </c>
      <c r="D44" s="53">
        <v>-300000</v>
      </c>
      <c r="E44" s="52">
        <v>1.2529300000000001</v>
      </c>
      <c r="F44" s="54">
        <v>41095.384027777778</v>
      </c>
      <c r="G44" s="11"/>
      <c r="H44" s="76"/>
      <c r="I44" s="76"/>
      <c r="J44" s="76"/>
    </row>
    <row r="45" spans="1:10">
      <c r="A45" s="47">
        <v>1170861</v>
      </c>
      <c r="B45" s="48" t="s">
        <v>7</v>
      </c>
      <c r="C45" s="48" t="s">
        <v>13</v>
      </c>
      <c r="D45" s="49">
        <v>300000</v>
      </c>
      <c r="E45" s="48">
        <v>1.5644100000000001</v>
      </c>
      <c r="F45" s="50">
        <v>41094.549305555556</v>
      </c>
      <c r="G45" s="11"/>
      <c r="H45" s="11">
        <f>'ALL Trades'!C116</f>
        <v>288</v>
      </c>
      <c r="I45" s="85">
        <v>3.888888888888889E-2</v>
      </c>
      <c r="J45" s="76"/>
    </row>
    <row r="46" spans="1:10">
      <c r="A46" s="51">
        <v>1170851</v>
      </c>
      <c r="B46" s="52" t="s">
        <v>9</v>
      </c>
      <c r="C46" s="52" t="s">
        <v>13</v>
      </c>
      <c r="D46" s="53">
        <v>-300000</v>
      </c>
      <c r="E46" s="52">
        <v>1.5653699999999999</v>
      </c>
      <c r="F46" s="54">
        <v>41094.504861111112</v>
      </c>
      <c r="G46" s="11"/>
      <c r="H46" s="76"/>
      <c r="I46" s="76"/>
      <c r="J46" s="76"/>
    </row>
    <row r="47" spans="1:10">
      <c r="A47" s="47">
        <v>1170735</v>
      </c>
      <c r="B47" s="48" t="s">
        <v>7</v>
      </c>
      <c r="C47" s="48" t="s">
        <v>14</v>
      </c>
      <c r="D47" s="49">
        <v>286000</v>
      </c>
      <c r="E47" s="48">
        <v>0.95428999999999997</v>
      </c>
      <c r="F47" s="50">
        <v>41093.574999999997</v>
      </c>
      <c r="G47" s="11"/>
      <c r="H47" s="11">
        <f>'ALL Trades'!C117</f>
        <v>-54.05</v>
      </c>
      <c r="I47" s="85">
        <v>2.9166666666666664E-2</v>
      </c>
      <c r="J47" s="76"/>
    </row>
    <row r="48" spans="1:10">
      <c r="A48" s="51">
        <v>1170728</v>
      </c>
      <c r="B48" s="52" t="s">
        <v>9</v>
      </c>
      <c r="C48" s="52" t="s">
        <v>14</v>
      </c>
      <c r="D48" s="53">
        <v>-286000</v>
      </c>
      <c r="E48" s="52">
        <v>0.95411000000000001</v>
      </c>
      <c r="F48" s="54">
        <v>41093.54583333333</v>
      </c>
      <c r="G48" s="11"/>
      <c r="H48" s="76"/>
      <c r="I48" s="11"/>
      <c r="J48" s="76"/>
    </row>
    <row r="49" spans="1:10">
      <c r="A49" s="11"/>
      <c r="B49" s="11"/>
      <c r="C49" s="11"/>
      <c r="D49" s="11"/>
      <c r="E49" s="11"/>
      <c r="F49" s="11"/>
      <c r="G49" s="11"/>
      <c r="H49" s="11"/>
      <c r="I49" s="11"/>
      <c r="J49" s="76"/>
    </row>
    <row r="50" spans="1:10">
      <c r="A50" s="11"/>
      <c r="B50" s="11"/>
      <c r="C50" s="11"/>
      <c r="D50" s="11"/>
      <c r="E50" s="11"/>
      <c r="F50" s="11"/>
      <c r="G50" s="71" t="s">
        <v>50</v>
      </c>
      <c r="H50" s="72">
        <f>SUM(H3:H49)</f>
        <v>7571.179999999993</v>
      </c>
      <c r="I50" s="11"/>
      <c r="J50" s="76"/>
    </row>
    <row r="51" spans="1:10">
      <c r="A51" s="11"/>
      <c r="B51" s="11"/>
      <c r="C51" s="11"/>
      <c r="D51" s="11"/>
      <c r="E51" s="11"/>
      <c r="F51" s="11"/>
      <c r="G51" s="71" t="s">
        <v>22</v>
      </c>
      <c r="H51" s="6">
        <v>7985.05</v>
      </c>
      <c r="I51" s="11"/>
      <c r="J51" s="76"/>
    </row>
    <row r="52" spans="1:10">
      <c r="A52" s="11"/>
      <c r="B52" s="11"/>
      <c r="C52" s="11"/>
      <c r="D52" s="11"/>
      <c r="E52" s="11"/>
      <c r="F52" s="11"/>
      <c r="G52" s="71" t="s">
        <v>23</v>
      </c>
      <c r="H52" s="6">
        <v>-413.87</v>
      </c>
      <c r="I52" s="11"/>
      <c r="J52" s="76"/>
    </row>
    <row r="53" spans="1:10">
      <c r="A53" s="11"/>
      <c r="B53" s="11"/>
      <c r="C53" s="11"/>
      <c r="D53" s="11"/>
      <c r="E53" s="11"/>
      <c r="F53" s="11"/>
      <c r="H53" s="76"/>
      <c r="I53" s="11"/>
      <c r="J53" s="76"/>
    </row>
    <row r="54" spans="1:10">
      <c r="A54" s="11"/>
      <c r="B54" s="11"/>
      <c r="C54" s="11"/>
      <c r="D54" s="11"/>
      <c r="E54" s="11"/>
      <c r="F54" s="11"/>
      <c r="G54" s="11"/>
      <c r="H54" s="11"/>
      <c r="I54" s="11"/>
    </row>
    <row r="55" spans="1:10">
      <c r="A55" s="11"/>
      <c r="B55" s="11"/>
      <c r="C55" s="11"/>
      <c r="D55" s="11"/>
      <c r="E55" s="11"/>
      <c r="F55" s="11"/>
      <c r="G55" s="11"/>
      <c r="H55" s="11"/>
      <c r="I55" s="11"/>
    </row>
    <row r="56" spans="1:10">
      <c r="A56" s="11"/>
      <c r="B56" s="11"/>
      <c r="C56" s="11"/>
      <c r="D56" s="11"/>
      <c r="E56" s="11"/>
      <c r="F56" s="11"/>
      <c r="G56" s="11"/>
      <c r="H56" s="11"/>
      <c r="I56" s="11"/>
    </row>
    <row r="57" spans="1:10">
      <c r="A57" s="11"/>
      <c r="B57" s="11"/>
      <c r="C57" s="11"/>
      <c r="D57" s="11"/>
      <c r="E57" s="11"/>
      <c r="F57" s="11"/>
      <c r="G57" s="11"/>
      <c r="H57" s="11"/>
      <c r="I57" s="11"/>
    </row>
    <row r="58" spans="1:10">
      <c r="A58" s="11"/>
      <c r="B58" s="11"/>
      <c r="C58" s="11"/>
      <c r="D58" s="11"/>
      <c r="E58" s="11"/>
      <c r="F58" s="11"/>
      <c r="G58" s="11"/>
      <c r="H58" s="11"/>
      <c r="I58" s="11"/>
    </row>
  </sheetData>
  <phoneticPr fontId="15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32" sqref="A32"/>
    </sheetView>
  </sheetViews>
  <sheetFormatPr baseColWidth="10" defaultRowHeight="15" x14ac:dyDescent="0"/>
  <cols>
    <col min="1" max="1" width="13.83203125" bestFit="1" customWidth="1"/>
  </cols>
  <sheetData>
    <row r="1" spans="1:1">
      <c r="A1" s="6" t="s">
        <v>24</v>
      </c>
    </row>
    <row r="2" spans="1:1">
      <c r="A2" s="4">
        <v>2474</v>
      </c>
    </row>
    <row r="3" spans="1:1">
      <c r="A3" s="2">
        <v>413.2</v>
      </c>
    </row>
    <row r="4" spans="1:1">
      <c r="A4" s="2">
        <v>-90</v>
      </c>
    </row>
    <row r="5" spans="1:1">
      <c r="A5" s="2">
        <v>-213</v>
      </c>
    </row>
    <row r="6" spans="1:1">
      <c r="A6" s="2">
        <v>383.55</v>
      </c>
    </row>
    <row r="7" spans="1:1">
      <c r="A7" s="2">
        <v>3.07</v>
      </c>
    </row>
    <row r="8" spans="1:1">
      <c r="A8" s="4">
        <v>2679.9</v>
      </c>
    </row>
    <row r="9" spans="1:1">
      <c r="A9" s="2">
        <v>612</v>
      </c>
    </row>
    <row r="10" spans="1:1">
      <c r="A10" s="2">
        <v>-356.5</v>
      </c>
    </row>
    <row r="11" spans="1:1">
      <c r="A11" s="2">
        <v>1.7</v>
      </c>
    </row>
    <row r="12" spans="1:1">
      <c r="A12" s="2">
        <v>355.8</v>
      </c>
    </row>
    <row r="13" spans="1:1">
      <c r="A13" s="2">
        <v>222</v>
      </c>
    </row>
    <row r="14" spans="1:1">
      <c r="A14" s="4">
        <v>1119.0999999999999</v>
      </c>
    </row>
    <row r="15" spans="1:1">
      <c r="A15" s="2">
        <v>0.4</v>
      </c>
    </row>
    <row r="16" spans="1:1">
      <c r="A16" s="2">
        <v>463.1</v>
      </c>
    </row>
    <row r="17" spans="1:1">
      <c r="A17" s="2">
        <v>24.8</v>
      </c>
    </row>
    <row r="18" spans="1:1">
      <c r="A18" s="2">
        <v>48</v>
      </c>
    </row>
    <row r="19" spans="1:1">
      <c r="A19" s="2">
        <v>3</v>
      </c>
    </row>
    <row r="20" spans="1:1">
      <c r="A20" s="2">
        <v>141.1</v>
      </c>
    </row>
    <row r="21" spans="1:1">
      <c r="A21" s="2">
        <v>180</v>
      </c>
    </row>
    <row r="22" spans="1:1">
      <c r="A22" s="2">
        <v>378.4</v>
      </c>
    </row>
    <row r="23" spans="1:1">
      <c r="A23" s="2">
        <v>404.5</v>
      </c>
    </row>
    <row r="24" spans="1:1">
      <c r="A24" s="2">
        <v>63.3</v>
      </c>
    </row>
    <row r="25" spans="1:1">
      <c r="A25" s="2">
        <v>342</v>
      </c>
    </row>
    <row r="26" spans="1:1">
      <c r="A26" s="2">
        <v>-205.92</v>
      </c>
    </row>
    <row r="27" spans="1:1">
      <c r="A27" s="2">
        <v>-63.9</v>
      </c>
    </row>
    <row r="28" spans="1:1">
      <c r="A28" s="2">
        <v>84</v>
      </c>
    </row>
    <row r="29" spans="1:1">
      <c r="A29" s="2">
        <v>288</v>
      </c>
    </row>
    <row r="30" spans="1:1">
      <c r="A30" s="2">
        <v>-54.05</v>
      </c>
    </row>
    <row r="32" spans="1:1">
      <c r="A32" s="7">
        <f>SUM(A2:A31)</f>
        <v>9701.5499999999993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activeCell="C10" sqref="C10"/>
    </sheetView>
  </sheetViews>
  <sheetFormatPr baseColWidth="10" defaultRowHeight="15" x14ac:dyDescent="0"/>
  <cols>
    <col min="1" max="1" width="25.5" bestFit="1" customWidth="1"/>
    <col min="2" max="2" width="4.5" customWidth="1"/>
    <col min="3" max="3" width="24.33203125" bestFit="1" customWidth="1"/>
    <col min="4" max="4" width="3.6640625" customWidth="1"/>
    <col min="5" max="5" width="26.33203125" bestFit="1" customWidth="1"/>
    <col min="6" max="6" width="3.83203125" customWidth="1"/>
    <col min="7" max="7" width="27" bestFit="1" customWidth="1"/>
    <col min="8" max="8" width="4.5" customWidth="1"/>
    <col min="9" max="9" width="25.33203125" bestFit="1" customWidth="1"/>
    <col min="10" max="10" width="5" customWidth="1"/>
    <col min="11" max="11" width="25.83203125" bestFit="1" customWidth="1"/>
  </cols>
  <sheetData>
    <row r="1" spans="1:11">
      <c r="A1" s="6" t="s">
        <v>52</v>
      </c>
      <c r="B1" s="6"/>
      <c r="C1" s="6" t="s">
        <v>55</v>
      </c>
      <c r="E1" s="6" t="s">
        <v>54</v>
      </c>
      <c r="F1" s="6"/>
      <c r="G1" s="6" t="s">
        <v>53</v>
      </c>
      <c r="I1" s="6" t="s">
        <v>56</v>
      </c>
      <c r="J1" s="6"/>
      <c r="K1" s="6" t="s">
        <v>57</v>
      </c>
    </row>
    <row r="2" spans="1:11">
      <c r="A2">
        <f>56</f>
        <v>56</v>
      </c>
      <c r="C2">
        <v>-213</v>
      </c>
      <c r="E2">
        <f>56</f>
        <v>56</v>
      </c>
      <c r="G2">
        <v>413.2</v>
      </c>
      <c r="I2">
        <v>-213</v>
      </c>
      <c r="K2" s="2">
        <v>-90</v>
      </c>
    </row>
    <row r="3" spans="1:11">
      <c r="A3">
        <v>3.07</v>
      </c>
      <c r="C3" s="9">
        <v>-356.5</v>
      </c>
      <c r="E3">
        <v>3.07</v>
      </c>
      <c r="G3">
        <v>383.55</v>
      </c>
      <c r="I3">
        <v>-229.9</v>
      </c>
      <c r="K3" s="70">
        <v>-205.92</v>
      </c>
    </row>
    <row r="4" spans="1:11">
      <c r="A4">
        <v>1305.5</v>
      </c>
      <c r="C4">
        <v>-229.9</v>
      </c>
      <c r="E4">
        <v>1305.5</v>
      </c>
      <c r="G4" s="70">
        <v>612</v>
      </c>
      <c r="K4" s="70">
        <v>-63.9</v>
      </c>
    </row>
    <row r="5" spans="1:11">
      <c r="A5">
        <v>6.7</v>
      </c>
      <c r="C5" s="2">
        <v>-90</v>
      </c>
      <c r="E5">
        <v>6.7</v>
      </c>
      <c r="G5" s="70">
        <v>1.7</v>
      </c>
      <c r="I5" s="6">
        <f>SUM(I2:I4)</f>
        <v>-442.9</v>
      </c>
      <c r="K5" s="70">
        <v>-54.05</v>
      </c>
    </row>
    <row r="6" spans="1:11">
      <c r="A6" s="11">
        <v>24.8</v>
      </c>
      <c r="C6" s="70">
        <v>-205.92</v>
      </c>
      <c r="E6" s="11">
        <v>24.8</v>
      </c>
      <c r="G6" s="70">
        <v>355.8</v>
      </c>
    </row>
    <row r="7" spans="1:11">
      <c r="A7" s="11">
        <v>48</v>
      </c>
      <c r="C7" s="70">
        <v>-63.9</v>
      </c>
      <c r="E7" s="11">
        <v>48</v>
      </c>
      <c r="G7" s="70">
        <v>222</v>
      </c>
      <c r="K7" s="6">
        <f>SUM(K2:K6)</f>
        <v>-413.86999999999995</v>
      </c>
    </row>
    <row r="8" spans="1:11">
      <c r="A8" s="11">
        <v>141.1</v>
      </c>
      <c r="C8" s="70">
        <v>-54.05</v>
      </c>
      <c r="E8" s="11">
        <v>141.1</v>
      </c>
      <c r="G8" s="70">
        <v>36.799999999999997</v>
      </c>
    </row>
    <row r="9" spans="1:11">
      <c r="A9" s="15">
        <v>180</v>
      </c>
      <c r="E9" s="15">
        <v>180</v>
      </c>
      <c r="G9" s="70">
        <v>0.4</v>
      </c>
    </row>
    <row r="10" spans="1:11">
      <c r="A10" s="11">
        <v>378.4</v>
      </c>
      <c r="C10" s="78">
        <f>-STDEV(C2:C8)*3</f>
        <v>-329.84942649206306</v>
      </c>
      <c r="E10" s="11">
        <v>378.4</v>
      </c>
      <c r="G10" s="70">
        <v>463.1</v>
      </c>
    </row>
    <row r="11" spans="1:11">
      <c r="A11" s="11">
        <v>404.5</v>
      </c>
      <c r="E11" s="11">
        <v>404.5</v>
      </c>
      <c r="G11" s="70">
        <v>3</v>
      </c>
    </row>
    <row r="12" spans="1:11">
      <c r="A12" s="11">
        <v>39.700000000000003</v>
      </c>
      <c r="E12" s="11">
        <v>39.700000000000003</v>
      </c>
      <c r="G12" s="70">
        <v>23.6</v>
      </c>
    </row>
    <row r="13" spans="1:11">
      <c r="A13" s="11">
        <v>342</v>
      </c>
      <c r="E13" s="11">
        <v>342</v>
      </c>
      <c r="G13" s="70">
        <v>84</v>
      </c>
    </row>
    <row r="14" spans="1:11">
      <c r="A14" s="9">
        <v>2418</v>
      </c>
      <c r="G14" s="70">
        <v>288</v>
      </c>
    </row>
    <row r="15" spans="1:11">
      <c r="A15">
        <v>413.2</v>
      </c>
    </row>
    <row r="16" spans="1:11">
      <c r="A16">
        <v>383.55</v>
      </c>
      <c r="E16" s="6">
        <f>SUM(E2:E14)</f>
        <v>2929.7699999999995</v>
      </c>
      <c r="G16" s="6">
        <f>SUM(G2:G15)</f>
        <v>2887.15</v>
      </c>
    </row>
    <row r="17" spans="1:3">
      <c r="A17" s="70">
        <v>612</v>
      </c>
    </row>
    <row r="18" spans="1:3">
      <c r="A18" s="9">
        <v>2679.9</v>
      </c>
    </row>
    <row r="19" spans="1:3">
      <c r="A19" s="70">
        <v>1.7</v>
      </c>
    </row>
    <row r="20" spans="1:3">
      <c r="A20" s="70">
        <v>355.8</v>
      </c>
    </row>
    <row r="21" spans="1:3">
      <c r="A21" s="70">
        <v>222</v>
      </c>
    </row>
    <row r="22" spans="1:3">
      <c r="A22" s="70">
        <v>36.799999999999997</v>
      </c>
      <c r="C22" s="9" t="s">
        <v>62</v>
      </c>
    </row>
    <row r="23" spans="1:3">
      <c r="A23" s="70">
        <v>0.4</v>
      </c>
    </row>
    <row r="24" spans="1:3">
      <c r="A24" s="70">
        <v>463.1</v>
      </c>
    </row>
    <row r="25" spans="1:3">
      <c r="A25" s="70">
        <v>3</v>
      </c>
    </row>
    <row r="26" spans="1:3">
      <c r="A26" s="70">
        <v>23.6</v>
      </c>
    </row>
    <row r="27" spans="1:3">
      <c r="A27" s="70">
        <v>84</v>
      </c>
    </row>
    <row r="28" spans="1:3">
      <c r="A28" s="70">
        <v>288</v>
      </c>
    </row>
    <row r="30" spans="1:3">
      <c r="A30" s="78">
        <f>STDEV(A2:A28)*3</f>
        <v>2036.3137609837527</v>
      </c>
    </row>
    <row r="35" spans="1:1">
      <c r="A35" s="74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workbookViewId="0">
      <selection activeCell="K8" sqref="K8"/>
    </sheetView>
  </sheetViews>
  <sheetFormatPr baseColWidth="10" defaultRowHeight="15" x14ac:dyDescent="0"/>
  <cols>
    <col min="1" max="1" width="18.5" bestFit="1" customWidth="1"/>
    <col min="3" max="3" width="17.5" bestFit="1" customWidth="1"/>
    <col min="5" max="5" width="23.33203125" bestFit="1" customWidth="1"/>
    <col min="7" max="7" width="22.33203125" bestFit="1" customWidth="1"/>
    <col min="9" max="9" width="23.33203125" bestFit="1" customWidth="1"/>
    <col min="11" max="11" width="22.33203125" bestFit="1" customWidth="1"/>
  </cols>
  <sheetData>
    <row r="1" spans="1:11">
      <c r="A1" s="6" t="s">
        <v>34</v>
      </c>
      <c r="B1" s="6"/>
      <c r="C1" s="6" t="s">
        <v>35</v>
      </c>
      <c r="D1" s="6"/>
      <c r="E1" s="6" t="s">
        <v>58</v>
      </c>
      <c r="F1" s="6"/>
      <c r="G1" s="6" t="s">
        <v>60</v>
      </c>
      <c r="H1" s="6"/>
      <c r="I1" s="6" t="s">
        <v>61</v>
      </c>
      <c r="J1" s="6"/>
      <c r="K1" s="6" t="s">
        <v>59</v>
      </c>
    </row>
    <row r="2" spans="1:11">
      <c r="A2" s="76">
        <f>56</f>
        <v>56</v>
      </c>
      <c r="B2" s="76"/>
      <c r="C2" s="76">
        <v>-213</v>
      </c>
      <c r="D2" s="76"/>
      <c r="E2" s="11">
        <v>56</v>
      </c>
      <c r="F2" s="11"/>
      <c r="G2" s="40">
        <v>2418</v>
      </c>
      <c r="H2" s="11"/>
      <c r="I2" s="40">
        <v>-213</v>
      </c>
      <c r="J2" s="11"/>
      <c r="K2" s="2">
        <v>-90</v>
      </c>
    </row>
    <row r="3" spans="1:11">
      <c r="A3" s="76">
        <v>3.07</v>
      </c>
      <c r="B3" s="76"/>
      <c r="C3" s="40">
        <v>-356.5</v>
      </c>
      <c r="D3" s="76"/>
      <c r="E3" s="11">
        <v>3.07</v>
      </c>
      <c r="F3" s="11"/>
      <c r="G3" s="40">
        <v>413.2</v>
      </c>
      <c r="H3" s="11"/>
      <c r="I3" s="40">
        <v>-356.5</v>
      </c>
      <c r="J3" s="11"/>
      <c r="K3" s="11">
        <v>-205.92</v>
      </c>
    </row>
    <row r="4" spans="1:11">
      <c r="A4" s="76">
        <v>1305.5</v>
      </c>
      <c r="B4" s="76"/>
      <c r="C4" s="76">
        <v>-229.9</v>
      </c>
      <c r="D4" s="76"/>
      <c r="E4" s="11">
        <v>1305.5</v>
      </c>
      <c r="F4" s="11"/>
      <c r="G4" s="40">
        <v>383.55</v>
      </c>
      <c r="H4" s="11"/>
      <c r="I4" s="40">
        <v>-229.9</v>
      </c>
      <c r="J4" s="11"/>
      <c r="K4" s="11">
        <v>-63.9</v>
      </c>
    </row>
    <row r="5" spans="1:11">
      <c r="A5" s="76">
        <v>6.7</v>
      </c>
      <c r="B5" s="76"/>
      <c r="C5" s="11">
        <v>-90</v>
      </c>
      <c r="D5" s="76"/>
      <c r="E5" s="11">
        <v>6.7</v>
      </c>
      <c r="F5" s="11"/>
      <c r="G5" s="75">
        <v>612</v>
      </c>
      <c r="H5" s="11"/>
      <c r="I5" s="71"/>
      <c r="J5" s="11"/>
      <c r="K5" s="11">
        <v>-54.05</v>
      </c>
    </row>
    <row r="6" spans="1:11">
      <c r="A6" s="11">
        <v>24.8</v>
      </c>
      <c r="B6" s="76"/>
      <c r="C6" s="70">
        <v>-205.92</v>
      </c>
      <c r="D6" s="76"/>
      <c r="E6" s="11">
        <v>24.8</v>
      </c>
      <c r="F6" s="11"/>
      <c r="G6" s="40">
        <v>2679.9</v>
      </c>
      <c r="H6" s="11"/>
      <c r="I6" s="71">
        <f>AVERAGE(I2:I4)*(3+SQRT(3))</f>
        <v>-1260.9338051901866</v>
      </c>
      <c r="J6" s="11"/>
      <c r="K6" s="11"/>
    </row>
    <row r="7" spans="1:11">
      <c r="A7" s="11">
        <v>48</v>
      </c>
      <c r="B7" s="76"/>
      <c r="C7" s="70">
        <v>-63.9</v>
      </c>
      <c r="D7" s="76"/>
      <c r="E7" s="11">
        <v>48</v>
      </c>
      <c r="F7" s="11"/>
      <c r="G7" s="75">
        <v>1.7</v>
      </c>
      <c r="H7" s="11"/>
      <c r="I7" s="11"/>
      <c r="J7" s="11"/>
      <c r="K7" s="71">
        <f>AVERAGE(K2:K5)*(4+SQRT(4))</f>
        <v>-620.80499999999995</v>
      </c>
    </row>
    <row r="8" spans="1:11">
      <c r="A8" s="11">
        <v>141.1</v>
      </c>
      <c r="B8" s="76"/>
      <c r="C8" s="70">
        <v>-54.05</v>
      </c>
      <c r="D8" s="76"/>
      <c r="E8" s="11">
        <v>141.1</v>
      </c>
      <c r="F8" s="11"/>
      <c r="G8" s="75">
        <v>355.8</v>
      </c>
      <c r="H8" s="11"/>
      <c r="I8" s="11"/>
      <c r="J8" s="11"/>
      <c r="K8" s="11"/>
    </row>
    <row r="9" spans="1:11">
      <c r="A9" s="40">
        <v>180</v>
      </c>
      <c r="B9" s="76"/>
      <c r="C9" s="76"/>
      <c r="D9" s="76"/>
      <c r="E9" s="15">
        <v>180</v>
      </c>
      <c r="F9" s="11"/>
      <c r="G9" s="70">
        <v>222</v>
      </c>
      <c r="H9" s="11"/>
      <c r="I9" s="11"/>
      <c r="J9" s="11"/>
      <c r="K9" s="11"/>
    </row>
    <row r="10" spans="1:11">
      <c r="A10" s="11">
        <v>378.4</v>
      </c>
      <c r="B10" s="76"/>
      <c r="C10" s="6">
        <f>AVERAGE(C2:C8)*(7+SQRT(7))</f>
        <v>-1671.842956167905</v>
      </c>
      <c r="D10" s="76"/>
      <c r="E10" s="11">
        <v>378.4</v>
      </c>
      <c r="F10" s="11"/>
      <c r="G10" s="70">
        <v>36.799999999999997</v>
      </c>
      <c r="H10" s="11"/>
      <c r="I10" s="11"/>
      <c r="J10" s="11"/>
      <c r="K10" s="11"/>
    </row>
    <row r="11" spans="1:11">
      <c r="A11" s="11">
        <v>404.5</v>
      </c>
      <c r="B11" s="76"/>
      <c r="C11" s="76"/>
      <c r="D11" s="76"/>
      <c r="E11" s="11">
        <v>404.5</v>
      </c>
      <c r="F11" s="11"/>
      <c r="G11" s="70">
        <v>0.4</v>
      </c>
      <c r="H11" s="11"/>
      <c r="I11" s="11"/>
      <c r="J11" s="11"/>
      <c r="K11" s="11"/>
    </row>
    <row r="12" spans="1:11">
      <c r="A12" s="11">
        <v>39.700000000000003</v>
      </c>
      <c r="B12" s="76"/>
      <c r="C12" s="76"/>
      <c r="D12" s="76"/>
      <c r="E12" s="11">
        <v>39.700000000000003</v>
      </c>
      <c r="F12" s="11"/>
      <c r="G12" s="70">
        <v>463.1</v>
      </c>
      <c r="H12" s="11"/>
      <c r="I12" s="11"/>
      <c r="J12" s="11"/>
      <c r="K12" s="11"/>
    </row>
    <row r="13" spans="1:11">
      <c r="A13" s="11">
        <v>342</v>
      </c>
      <c r="B13" s="76"/>
      <c r="C13" s="76"/>
      <c r="D13" s="76"/>
      <c r="E13" s="11">
        <v>342</v>
      </c>
      <c r="F13" s="11"/>
      <c r="G13" s="70">
        <v>3</v>
      </c>
      <c r="H13" s="11"/>
      <c r="I13" s="11"/>
      <c r="J13" s="11"/>
      <c r="K13" s="11"/>
    </row>
    <row r="14" spans="1:11">
      <c r="A14" s="40">
        <v>2418</v>
      </c>
      <c r="B14" s="76"/>
      <c r="C14" s="76"/>
      <c r="D14" s="76"/>
      <c r="E14" s="11"/>
      <c r="F14" s="11"/>
      <c r="G14" s="70">
        <v>23.6</v>
      </c>
      <c r="H14" s="11"/>
      <c r="I14" s="11"/>
      <c r="J14" s="11"/>
      <c r="K14" s="11"/>
    </row>
    <row r="15" spans="1:11">
      <c r="A15" s="40">
        <v>413.2</v>
      </c>
      <c r="B15" s="76"/>
      <c r="C15" s="76"/>
      <c r="D15" s="76"/>
      <c r="E15" s="6">
        <f>AVERAGE(E2:E13)*(12-SQRT(12))</f>
        <v>2084.018250918155</v>
      </c>
      <c r="G15" s="70">
        <v>84</v>
      </c>
    </row>
    <row r="16" spans="1:11">
      <c r="A16" s="40">
        <v>383.55</v>
      </c>
      <c r="B16" s="76"/>
      <c r="C16" s="76"/>
      <c r="D16" s="76"/>
      <c r="G16" s="70">
        <v>288</v>
      </c>
    </row>
    <row r="17" spans="1:7">
      <c r="A17" s="75">
        <v>612</v>
      </c>
      <c r="B17" s="76"/>
      <c r="C17" s="76"/>
      <c r="D17" s="76"/>
    </row>
    <row r="18" spans="1:7">
      <c r="A18" s="40">
        <v>2679.9</v>
      </c>
      <c r="B18" s="76"/>
      <c r="C18" s="76"/>
      <c r="D18" s="76"/>
      <c r="G18" s="6">
        <f>AVERAGE(G2:G16)*(15-SQRT(15))</f>
        <v>5923.3189554244318</v>
      </c>
    </row>
    <row r="19" spans="1:7">
      <c r="A19" s="70">
        <v>1.7</v>
      </c>
      <c r="B19" s="76"/>
      <c r="C19" s="76"/>
      <c r="D19" s="76"/>
    </row>
    <row r="20" spans="1:7">
      <c r="A20" s="70">
        <v>355.8</v>
      </c>
      <c r="B20" s="76"/>
      <c r="C20" s="76"/>
      <c r="D20" s="76"/>
    </row>
    <row r="21" spans="1:7">
      <c r="A21" s="70">
        <v>222</v>
      </c>
      <c r="B21" s="76"/>
      <c r="C21" s="76"/>
      <c r="D21" s="76"/>
    </row>
    <row r="22" spans="1:7">
      <c r="A22" s="70">
        <v>36.799999999999997</v>
      </c>
      <c r="B22" s="76"/>
      <c r="C22" s="76"/>
      <c r="D22" s="76"/>
    </row>
    <row r="23" spans="1:7">
      <c r="A23" s="70">
        <v>0.4</v>
      </c>
      <c r="B23" s="76"/>
      <c r="C23" s="76"/>
      <c r="D23" s="76"/>
    </row>
    <row r="24" spans="1:7">
      <c r="A24" s="70">
        <v>463.1</v>
      </c>
      <c r="B24" s="76"/>
      <c r="C24" s="76"/>
      <c r="D24" s="76"/>
    </row>
    <row r="25" spans="1:7">
      <c r="A25" s="70">
        <v>3</v>
      </c>
      <c r="B25" s="76"/>
      <c r="C25" s="76"/>
      <c r="D25" s="76"/>
    </row>
    <row r="26" spans="1:7">
      <c r="A26" s="70">
        <v>23.6</v>
      </c>
      <c r="B26" s="76"/>
      <c r="C26" s="76"/>
      <c r="D26" s="76"/>
    </row>
    <row r="27" spans="1:7">
      <c r="A27" s="70">
        <v>84</v>
      </c>
      <c r="B27" s="76"/>
      <c r="C27" s="76"/>
      <c r="D27" s="76"/>
    </row>
    <row r="28" spans="1:7">
      <c r="A28" s="70">
        <v>288</v>
      </c>
      <c r="B28" s="76"/>
      <c r="C28" s="76"/>
      <c r="D28" s="76"/>
    </row>
    <row r="29" spans="1:7">
      <c r="A29" s="76"/>
      <c r="B29" s="76"/>
      <c r="C29" s="76"/>
      <c r="D29" s="76"/>
    </row>
    <row r="30" spans="1:7">
      <c r="A30" s="77">
        <f>AVERAGE(A2:A28)*(27-SQRT(27))</f>
        <v>8814.2619116145634</v>
      </c>
      <c r="B30" s="76"/>
      <c r="C30" s="76"/>
      <c r="D30" s="76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"/>
  <sheetViews>
    <sheetView workbookViewId="0">
      <selection activeCell="E15" sqref="E15"/>
    </sheetView>
  </sheetViews>
  <sheetFormatPr baseColWidth="10" defaultRowHeight="15" x14ac:dyDescent="0"/>
  <cols>
    <col min="1" max="1" width="16.6640625" bestFit="1" customWidth="1"/>
    <col min="3" max="3" width="15.5" bestFit="1" customWidth="1"/>
    <col min="5" max="5" width="21.5" bestFit="1" customWidth="1"/>
    <col min="7" max="7" width="21.5" bestFit="1" customWidth="1"/>
    <col min="9" max="9" width="19.83203125" bestFit="1" customWidth="1"/>
    <col min="11" max="11" width="20.33203125" bestFit="1" customWidth="1"/>
    <col min="13" max="13" width="29.33203125" bestFit="1" customWidth="1"/>
    <col min="14" max="14" width="10.6640625" customWidth="1"/>
    <col min="15" max="15" width="9.6640625" customWidth="1"/>
    <col min="17" max="17" width="27.6640625" bestFit="1" customWidth="1"/>
  </cols>
  <sheetData>
    <row r="1" spans="1:19">
      <c r="A1" s="6" t="s">
        <v>66</v>
      </c>
      <c r="B1" s="6"/>
      <c r="C1" s="6" t="s">
        <v>44</v>
      </c>
      <c r="E1" s="6" t="s">
        <v>67</v>
      </c>
      <c r="F1" s="6"/>
      <c r="G1" s="6" t="s">
        <v>68</v>
      </c>
      <c r="I1" s="6" t="s">
        <v>69</v>
      </c>
      <c r="J1" s="6"/>
      <c r="K1" s="6" t="s">
        <v>70</v>
      </c>
      <c r="M1" s="6" t="s">
        <v>46</v>
      </c>
      <c r="N1" s="6" t="s">
        <v>64</v>
      </c>
      <c r="O1" s="6" t="s">
        <v>65</v>
      </c>
      <c r="Q1" s="6" t="s">
        <v>47</v>
      </c>
      <c r="R1" s="6" t="s">
        <v>64</v>
      </c>
      <c r="S1" s="6" t="s">
        <v>65</v>
      </c>
    </row>
    <row r="2" spans="1:19">
      <c r="A2">
        <v>56</v>
      </c>
      <c r="C2">
        <v>-213</v>
      </c>
      <c r="E2">
        <v>56</v>
      </c>
      <c r="G2">
        <v>2418</v>
      </c>
      <c r="I2">
        <v>-213</v>
      </c>
      <c r="K2">
        <v>-213</v>
      </c>
      <c r="M2">
        <v>13</v>
      </c>
      <c r="N2">
        <v>8</v>
      </c>
      <c r="O2">
        <v>6</v>
      </c>
      <c r="P2" s="10">
        <v>2418</v>
      </c>
      <c r="Q2">
        <v>2</v>
      </c>
      <c r="R2">
        <v>1</v>
      </c>
      <c r="S2">
        <v>2</v>
      </c>
    </row>
    <row r="3" spans="1:19">
      <c r="A3">
        <v>3.07</v>
      </c>
      <c r="C3" s="40">
        <v>-356.5</v>
      </c>
      <c r="E3">
        <v>3.07</v>
      </c>
      <c r="G3">
        <v>413.2</v>
      </c>
      <c r="I3" s="40">
        <v>-356.5</v>
      </c>
      <c r="K3" s="40">
        <v>-356.5</v>
      </c>
      <c r="P3" s="10">
        <v>56</v>
      </c>
    </row>
    <row r="4" spans="1:19">
      <c r="A4">
        <v>1305.5</v>
      </c>
      <c r="C4">
        <v>-229.9</v>
      </c>
      <c r="E4">
        <v>1305.5</v>
      </c>
      <c r="G4">
        <v>383.55</v>
      </c>
      <c r="I4">
        <v>-229.9</v>
      </c>
      <c r="K4">
        <v>-229.9</v>
      </c>
      <c r="P4" s="10">
        <v>413.2</v>
      </c>
    </row>
    <row r="5" spans="1:19">
      <c r="A5">
        <v>6.7</v>
      </c>
      <c r="C5">
        <v>-213</v>
      </c>
      <c r="E5">
        <v>6.7</v>
      </c>
      <c r="G5" s="70">
        <v>612</v>
      </c>
      <c r="K5" s="70">
        <v>-54.05</v>
      </c>
      <c r="P5">
        <v>0</v>
      </c>
    </row>
    <row r="6" spans="1:19">
      <c r="A6" s="11">
        <v>24.8</v>
      </c>
      <c r="C6" s="40">
        <v>-356.5</v>
      </c>
      <c r="E6" s="11">
        <v>24.8</v>
      </c>
      <c r="G6">
        <v>2679.9</v>
      </c>
      <c r="I6" s="6">
        <f>AVERAGE(I2:I4)</f>
        <v>-266.46666666666664</v>
      </c>
      <c r="P6" s="9">
        <v>-90</v>
      </c>
    </row>
    <row r="7" spans="1:19">
      <c r="A7" s="11">
        <v>48</v>
      </c>
      <c r="C7">
        <v>-229.9</v>
      </c>
      <c r="E7" s="11">
        <v>48</v>
      </c>
      <c r="G7" s="70">
        <v>1.7</v>
      </c>
      <c r="K7" s="6">
        <f>AVERAGE(K2:K5)</f>
        <v>-213.36249999999998</v>
      </c>
      <c r="P7" s="9">
        <v>-213</v>
      </c>
    </row>
    <row r="8" spans="1:19">
      <c r="A8" s="11">
        <v>141.1</v>
      </c>
      <c r="C8" s="70">
        <v>-54.05</v>
      </c>
      <c r="E8" s="11">
        <v>141.1</v>
      </c>
      <c r="G8" s="70">
        <v>355.8</v>
      </c>
      <c r="P8" s="10">
        <v>383.55</v>
      </c>
    </row>
    <row r="9" spans="1:19">
      <c r="A9" s="15">
        <v>180</v>
      </c>
      <c r="E9" s="15">
        <v>180</v>
      </c>
      <c r="G9" s="70">
        <v>222</v>
      </c>
      <c r="I9">
        <v>-213</v>
      </c>
      <c r="P9">
        <v>0</v>
      </c>
    </row>
    <row r="10" spans="1:19">
      <c r="A10" s="11">
        <v>378.4</v>
      </c>
      <c r="C10" s="6">
        <f>AVERAGE(C2:C8)</f>
        <v>-236.12142857142859</v>
      </c>
      <c r="E10" s="11">
        <v>378.4</v>
      </c>
      <c r="G10" s="70">
        <v>36.799999999999997</v>
      </c>
      <c r="I10" s="40">
        <v>-356.5</v>
      </c>
      <c r="P10" s="10">
        <v>3.07</v>
      </c>
    </row>
    <row r="11" spans="1:19">
      <c r="A11" s="11">
        <v>404.5</v>
      </c>
      <c r="E11" s="11">
        <v>404.5</v>
      </c>
      <c r="G11" s="70">
        <v>0.4</v>
      </c>
      <c r="I11">
        <v>-229.9</v>
      </c>
      <c r="P11">
        <v>0</v>
      </c>
    </row>
    <row r="12" spans="1:19">
      <c r="A12" s="11">
        <v>39.700000000000003</v>
      </c>
      <c r="E12" s="11">
        <v>39.700000000000003</v>
      </c>
      <c r="G12" s="70">
        <v>463.1</v>
      </c>
      <c r="I12" s="6" t="s">
        <v>105</v>
      </c>
      <c r="P12">
        <v>0</v>
      </c>
    </row>
    <row r="13" spans="1:19">
      <c r="A13" s="11">
        <v>342</v>
      </c>
      <c r="E13" s="11">
        <v>342</v>
      </c>
      <c r="G13" s="70">
        <v>3</v>
      </c>
      <c r="I13">
        <f>SUM(I9:I12)</f>
        <v>-799.4</v>
      </c>
      <c r="P13" s="10">
        <v>2679.9</v>
      </c>
    </row>
    <row r="14" spans="1:19">
      <c r="A14">
        <v>2418</v>
      </c>
      <c r="G14" s="70">
        <v>23.6</v>
      </c>
      <c r="I14" s="6" t="s">
        <v>106</v>
      </c>
      <c r="P14" s="10">
        <v>612</v>
      </c>
    </row>
    <row r="15" spans="1:19">
      <c r="A15">
        <v>413.2</v>
      </c>
      <c r="E15" s="6">
        <f>AVERAGE(E2:E13)</f>
        <v>244.14749999999995</v>
      </c>
      <c r="G15" s="70">
        <v>84</v>
      </c>
      <c r="I15">
        <f>E31+I13</f>
        <v>2130.3699999999994</v>
      </c>
      <c r="P15" s="9">
        <v>-356.5</v>
      </c>
    </row>
    <row r="16" spans="1:19">
      <c r="A16">
        <v>383.55</v>
      </c>
      <c r="G16" s="70">
        <v>288</v>
      </c>
      <c r="P16" s="10">
        <v>1.7</v>
      </c>
    </row>
    <row r="17" spans="1:16">
      <c r="A17" s="70">
        <v>612</v>
      </c>
      <c r="P17" s="10">
        <v>355.8</v>
      </c>
    </row>
    <row r="18" spans="1:16">
      <c r="A18">
        <v>2679.9</v>
      </c>
      <c r="E18">
        <v>56</v>
      </c>
      <c r="G18" s="6">
        <f>AVERAGE(G2:G16)</f>
        <v>532.3366666666667</v>
      </c>
      <c r="P18">
        <v>0</v>
      </c>
    </row>
    <row r="19" spans="1:16">
      <c r="A19" s="70">
        <v>1.7</v>
      </c>
      <c r="E19">
        <v>3.07</v>
      </c>
      <c r="P19" s="10">
        <v>222</v>
      </c>
    </row>
    <row r="20" spans="1:16">
      <c r="A20" s="70">
        <v>355.8</v>
      </c>
      <c r="E20">
        <v>1305.5</v>
      </c>
      <c r="P20" s="10">
        <v>1305.5</v>
      </c>
    </row>
    <row r="21" spans="1:16">
      <c r="A21" s="70">
        <v>222</v>
      </c>
      <c r="E21">
        <v>6.7</v>
      </c>
      <c r="P21" s="10">
        <v>6.7</v>
      </c>
    </row>
    <row r="22" spans="1:16">
      <c r="A22" s="70">
        <v>36.799999999999997</v>
      </c>
      <c r="E22" s="11">
        <v>24.8</v>
      </c>
      <c r="P22" s="9">
        <v>-229.9</v>
      </c>
    </row>
    <row r="23" spans="1:16">
      <c r="A23" s="70">
        <v>0.4</v>
      </c>
      <c r="E23" s="11">
        <v>48</v>
      </c>
      <c r="P23" s="10">
        <v>36.799999999999997</v>
      </c>
    </row>
    <row r="24" spans="1:16">
      <c r="A24" s="70">
        <v>463.1</v>
      </c>
      <c r="E24" s="11">
        <v>141.1</v>
      </c>
      <c r="P24" s="10">
        <v>0.4</v>
      </c>
    </row>
    <row r="25" spans="1:16">
      <c r="A25" s="70">
        <v>3</v>
      </c>
      <c r="E25" s="15">
        <v>180</v>
      </c>
      <c r="P25" s="10">
        <v>463.1</v>
      </c>
    </row>
    <row r="26" spans="1:16">
      <c r="A26" s="70">
        <v>23.6</v>
      </c>
      <c r="E26" s="11">
        <v>378.4</v>
      </c>
      <c r="P26" s="10">
        <v>24.8</v>
      </c>
    </row>
    <row r="27" spans="1:16">
      <c r="A27" s="70">
        <v>84</v>
      </c>
      <c r="E27" s="11">
        <v>404.5</v>
      </c>
      <c r="P27" s="10">
        <v>48</v>
      </c>
    </row>
    <row r="28" spans="1:16">
      <c r="A28" s="70">
        <v>288</v>
      </c>
      <c r="E28" s="11">
        <v>39.700000000000003</v>
      </c>
      <c r="P28" s="10">
        <v>3</v>
      </c>
    </row>
    <row r="29" spans="1:16">
      <c r="A29" s="70"/>
      <c r="E29" s="11">
        <v>342</v>
      </c>
      <c r="P29" s="10">
        <v>141.1</v>
      </c>
    </row>
    <row r="30" spans="1:16">
      <c r="A30" s="6">
        <f>AVERAGE(A2:A28)</f>
        <v>404.25259259259258</v>
      </c>
      <c r="E30" s="6" t="s">
        <v>105</v>
      </c>
      <c r="P30" s="10">
        <v>180</v>
      </c>
    </row>
    <row r="31" spans="1:16">
      <c r="E31">
        <f>SUM(E18:E30)</f>
        <v>2929.7699999999995</v>
      </c>
      <c r="P31" s="10">
        <v>378.4</v>
      </c>
    </row>
    <row r="32" spans="1:16">
      <c r="P32" s="10">
        <v>404.5</v>
      </c>
    </row>
    <row r="33" spans="1:16">
      <c r="P33" s="10">
        <v>23.6</v>
      </c>
    </row>
    <row r="34" spans="1:16">
      <c r="P34" s="10">
        <v>39.700000000000003</v>
      </c>
    </row>
    <row r="35" spans="1:16">
      <c r="P35" s="10">
        <v>342</v>
      </c>
    </row>
    <row r="36" spans="1:16">
      <c r="A36" s="70"/>
      <c r="P36" s="9">
        <v>-205.92</v>
      </c>
    </row>
    <row r="37" spans="1:16">
      <c r="A37" s="70"/>
      <c r="P37" s="9">
        <v>-63.9</v>
      </c>
    </row>
    <row r="38" spans="1:16">
      <c r="P38" s="10">
        <v>84</v>
      </c>
    </row>
    <row r="39" spans="1:16">
      <c r="P39" s="10">
        <v>288</v>
      </c>
    </row>
    <row r="40" spans="1:16">
      <c r="A40" s="70"/>
      <c r="P40" s="9">
        <v>-54.05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workbookViewId="0">
      <selection activeCell="M28" sqref="M28"/>
    </sheetView>
  </sheetViews>
  <sheetFormatPr baseColWidth="10" defaultRowHeight="15" x14ac:dyDescent="0"/>
  <cols>
    <col min="3" max="3" width="20.5" bestFit="1" customWidth="1"/>
  </cols>
  <sheetData>
    <row r="1" spans="1:5">
      <c r="A1">
        <v>56</v>
      </c>
      <c r="C1" s="6" t="s">
        <v>37</v>
      </c>
      <c r="D1" s="6" t="s">
        <v>64</v>
      </c>
      <c r="E1" s="6" t="s">
        <v>65</v>
      </c>
    </row>
    <row r="2" spans="1:5">
      <c r="A2">
        <v>0</v>
      </c>
      <c r="C2">
        <v>39</v>
      </c>
      <c r="D2">
        <v>18</v>
      </c>
      <c r="E2">
        <v>21</v>
      </c>
    </row>
    <row r="3" spans="1:5">
      <c r="A3">
        <v>-213</v>
      </c>
    </row>
    <row r="4" spans="1:5">
      <c r="A4">
        <v>3.07</v>
      </c>
      <c r="C4" s="6" t="s">
        <v>63</v>
      </c>
      <c r="D4" t="s">
        <v>64</v>
      </c>
      <c r="E4" t="s">
        <v>65</v>
      </c>
    </row>
    <row r="5" spans="1:5">
      <c r="A5">
        <v>0</v>
      </c>
      <c r="C5" s="79">
        <f>27/39</f>
        <v>0.69230769230769229</v>
      </c>
      <c r="D5" s="79">
        <f>12/18</f>
        <v>0.66666666666666663</v>
      </c>
      <c r="E5" s="79">
        <f>15/21</f>
        <v>0.7142857142857143</v>
      </c>
    </row>
    <row r="6" spans="1:5">
      <c r="A6">
        <v>0</v>
      </c>
    </row>
    <row r="7" spans="1:5">
      <c r="A7">
        <v>-356.5</v>
      </c>
      <c r="C7" s="6"/>
    </row>
    <row r="8" spans="1:5">
      <c r="A8">
        <v>1305.5</v>
      </c>
    </row>
    <row r="9" spans="1:5">
      <c r="A9">
        <v>6.7</v>
      </c>
    </row>
    <row r="10" spans="1:5">
      <c r="A10">
        <v>-229.9</v>
      </c>
    </row>
    <row r="11" spans="1:5">
      <c r="A11" s="11">
        <v>24.8</v>
      </c>
    </row>
    <row r="12" spans="1:5">
      <c r="A12" s="11">
        <v>48</v>
      </c>
    </row>
    <row r="13" spans="1:5">
      <c r="A13" s="11">
        <v>141.1</v>
      </c>
    </row>
    <row r="14" spans="1:5">
      <c r="A14" s="15">
        <v>180</v>
      </c>
    </row>
    <row r="15" spans="1:5">
      <c r="A15" s="11">
        <v>378.4</v>
      </c>
    </row>
    <row r="16" spans="1:5">
      <c r="A16" s="11">
        <v>404.5</v>
      </c>
    </row>
    <row r="17" spans="1:1">
      <c r="A17" s="11">
        <v>39.700000000000003</v>
      </c>
    </row>
    <row r="18" spans="1:1">
      <c r="A18" s="11">
        <v>342</v>
      </c>
    </row>
    <row r="19" spans="1:1">
      <c r="A19">
        <v>2418</v>
      </c>
    </row>
    <row r="20" spans="1:1">
      <c r="A20">
        <v>413.2</v>
      </c>
    </row>
    <row r="21" spans="1:1">
      <c r="A21" s="2">
        <v>-90</v>
      </c>
    </row>
    <row r="22" spans="1:1">
      <c r="A22">
        <v>383.55</v>
      </c>
    </row>
    <row r="23" spans="1:1">
      <c r="A23">
        <v>0</v>
      </c>
    </row>
    <row r="24" spans="1:1">
      <c r="A24" s="70">
        <v>612</v>
      </c>
    </row>
    <row r="25" spans="1:1">
      <c r="A25">
        <v>2679.9</v>
      </c>
    </row>
    <row r="26" spans="1:1">
      <c r="A26" s="70">
        <v>1.7</v>
      </c>
    </row>
    <row r="27" spans="1:1">
      <c r="A27" s="70">
        <v>355.8</v>
      </c>
    </row>
    <row r="28" spans="1:1">
      <c r="A28" s="70">
        <v>0</v>
      </c>
    </row>
    <row r="29" spans="1:1">
      <c r="A29" s="70">
        <v>222</v>
      </c>
    </row>
    <row r="30" spans="1:1">
      <c r="A30" s="70">
        <v>36.799999999999997</v>
      </c>
    </row>
    <row r="31" spans="1:1">
      <c r="A31" s="70">
        <v>0.4</v>
      </c>
    </row>
    <row r="32" spans="1:1">
      <c r="A32" s="70">
        <v>463.1</v>
      </c>
    </row>
    <row r="33" spans="1:1">
      <c r="A33" s="70">
        <v>3</v>
      </c>
    </row>
    <row r="34" spans="1:1">
      <c r="A34" s="70">
        <v>23.6</v>
      </c>
    </row>
    <row r="35" spans="1:1">
      <c r="A35" s="70">
        <v>-205.92</v>
      </c>
    </row>
    <row r="36" spans="1:1">
      <c r="A36" s="70">
        <v>-63.9</v>
      </c>
    </row>
    <row r="37" spans="1:1">
      <c r="A37" s="70">
        <v>84</v>
      </c>
    </row>
    <row r="38" spans="1:1">
      <c r="A38" s="70">
        <v>288</v>
      </c>
    </row>
    <row r="39" spans="1:1">
      <c r="A39" s="70">
        <v>-54.05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15</vt:i4>
      </vt:variant>
    </vt:vector>
  </HeadingPairs>
  <TitlesOfParts>
    <vt:vector size="15" baseType="lpstr">
      <vt:lpstr>ALL Trades</vt:lpstr>
      <vt:lpstr>Zusammenfassung</vt:lpstr>
      <vt:lpstr>Long Trades</vt:lpstr>
      <vt:lpstr>Short Trades</vt:lpstr>
      <vt:lpstr>Total Net Profit</vt:lpstr>
      <vt:lpstr>Select </vt:lpstr>
      <vt:lpstr>Adjusted</vt:lpstr>
      <vt:lpstr>Durchschnittswertbetrachtung</vt:lpstr>
      <vt:lpstr>Weitere Kennzahlen</vt:lpstr>
      <vt:lpstr>Sharpe Ratio</vt:lpstr>
      <vt:lpstr>Treynor Ratio</vt:lpstr>
      <vt:lpstr>Jensen-Alpha</vt:lpstr>
      <vt:lpstr>Tracking Error</vt:lpstr>
      <vt:lpstr>Information Ratio</vt:lpstr>
      <vt:lpstr>Max unrealiszed Drawdown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 Elia</dc:creator>
  <cp:lastModifiedBy>Sabri Elia</cp:lastModifiedBy>
  <dcterms:created xsi:type="dcterms:W3CDTF">2012-08-31T20:01:58Z</dcterms:created>
  <dcterms:modified xsi:type="dcterms:W3CDTF">2012-09-14T13:39:03Z</dcterms:modified>
</cp:coreProperties>
</file>