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23475" windowHeight="1255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AD90" i="1"/>
  <c r="AD91"/>
  <c r="AR81"/>
  <c r="AR82"/>
  <c r="AR83"/>
  <c r="AR84"/>
  <c r="AR85"/>
  <c r="AR86"/>
  <c r="AR87"/>
  <c r="AR88"/>
  <c r="AR89"/>
  <c r="AR90"/>
  <c r="AR91"/>
  <c r="AQ90"/>
  <c r="AP90" s="1"/>
  <c r="AN81"/>
  <c r="AN82"/>
  <c r="AN83"/>
  <c r="AN84"/>
  <c r="AN85"/>
  <c r="AN86"/>
  <c r="AN87"/>
  <c r="AN88"/>
  <c r="AN89"/>
  <c r="AN90"/>
  <c r="AN91"/>
  <c r="AC58"/>
  <c r="AK60"/>
  <c r="AF60"/>
  <c r="Z60"/>
  <c r="F13"/>
  <c r="E13"/>
  <c r="BB86"/>
  <c r="BB85"/>
  <c r="BB84"/>
  <c r="BB83"/>
  <c r="BB82"/>
  <c r="BB81"/>
  <c r="BB80"/>
  <c r="BB79"/>
  <c r="BB78"/>
  <c r="BB77"/>
  <c r="BB76"/>
  <c r="BB75"/>
  <c r="BB74"/>
  <c r="BB73"/>
  <c r="BB72"/>
  <c r="BB71"/>
  <c r="BB70"/>
  <c r="BB69"/>
  <c r="BB68"/>
  <c r="BB67"/>
  <c r="BB66"/>
  <c r="BB65"/>
  <c r="BB64"/>
  <c r="BB63"/>
  <c r="BB62"/>
  <c r="BB61"/>
  <c r="BB60"/>
  <c r="BB59"/>
  <c r="BB58"/>
  <c r="AY86"/>
  <c r="AY85"/>
  <c r="AY84"/>
  <c r="AY83"/>
  <c r="AY82"/>
  <c r="AY81"/>
  <c r="AY80"/>
  <c r="AY79"/>
  <c r="AY78"/>
  <c r="AY77"/>
  <c r="AY76"/>
  <c r="AY75"/>
  <c r="AY74"/>
  <c r="AY73"/>
  <c r="AY72"/>
  <c r="AY71"/>
  <c r="AY70"/>
  <c r="AY69"/>
  <c r="AY68"/>
  <c r="AY67"/>
  <c r="AY66"/>
  <c r="AY65"/>
  <c r="AY64"/>
  <c r="AY63"/>
  <c r="AY62"/>
  <c r="AY61"/>
  <c r="AY60"/>
  <c r="AY59"/>
  <c r="AY58"/>
  <c r="C58"/>
  <c r="F58" s="1"/>
  <c r="AP16"/>
  <c r="A27" i="2"/>
  <c r="J17" i="3"/>
  <c r="J22"/>
  <c r="AL17" i="1"/>
  <c r="AL18" s="1"/>
  <c r="AL19" s="1"/>
  <c r="AL20" s="1"/>
  <c r="AL16"/>
  <c r="AK18"/>
  <c r="AK19" s="1"/>
  <c r="AK17"/>
  <c r="J4" i="3"/>
  <c r="J9" s="1"/>
  <c r="D59" i="1"/>
  <c r="D60" s="1"/>
  <c r="F3" i="3"/>
  <c r="F12"/>
  <c r="F9"/>
  <c r="AB16" i="1"/>
  <c r="B24" i="2"/>
  <c r="AF16" i="1"/>
  <c r="AE16"/>
  <c r="AF17"/>
  <c r="AE17"/>
  <c r="D22" i="2"/>
  <c r="C22"/>
  <c r="B22"/>
  <c r="A22"/>
  <c r="B9" i="3"/>
  <c r="B4"/>
  <c r="B3"/>
  <c r="AQ91" i="1" l="1"/>
  <c r="AP91" s="1"/>
  <c r="F60"/>
  <c r="E58"/>
  <c r="AG17"/>
  <c r="C59"/>
  <c r="E59" s="1"/>
  <c r="AG16"/>
  <c r="F59"/>
  <c r="G58"/>
  <c r="O58" s="1"/>
  <c r="P58" s="1"/>
  <c r="D61"/>
  <c r="C60"/>
  <c r="G59"/>
  <c r="O59" s="1"/>
  <c r="P59" s="1"/>
  <c r="F61" l="1"/>
  <c r="D62"/>
  <c r="C61"/>
  <c r="E61" s="1"/>
  <c r="E60"/>
  <c r="F62" l="1"/>
  <c r="D63"/>
  <c r="C62"/>
  <c r="G60"/>
  <c r="O60" s="1"/>
  <c r="P60" s="1"/>
  <c r="G61"/>
  <c r="O61" s="1"/>
  <c r="P61" s="1"/>
  <c r="D64" l="1"/>
  <c r="C63"/>
  <c r="E63" s="1"/>
  <c r="E62"/>
  <c r="F63" l="1"/>
  <c r="G63" s="1"/>
  <c r="O63" s="1"/>
  <c r="D65"/>
  <c r="C64"/>
  <c r="F64" s="1"/>
  <c r="G62"/>
  <c r="O62" s="1"/>
  <c r="E64" l="1"/>
  <c r="G64" s="1"/>
  <c r="O64" s="1"/>
  <c r="P63"/>
  <c r="P62"/>
  <c r="D66"/>
  <c r="C65"/>
  <c r="F65" s="1"/>
  <c r="P64" l="1"/>
  <c r="Q64" s="1"/>
  <c r="R64" s="1"/>
  <c r="S64" s="1"/>
  <c r="D67"/>
  <c r="E66"/>
  <c r="C66"/>
  <c r="F66" s="1"/>
  <c r="E65"/>
  <c r="L17"/>
  <c r="Y17"/>
  <c r="X17"/>
  <c r="Y16"/>
  <c r="X16"/>
  <c r="L16" s="1"/>
  <c r="Q58"/>
  <c r="R58" s="1"/>
  <c r="S58" s="1"/>
  <c r="T58" s="1"/>
  <c r="Q59"/>
  <c r="R59" s="1"/>
  <c r="S59" s="1"/>
  <c r="Q60"/>
  <c r="R60" s="1"/>
  <c r="S60" s="1"/>
  <c r="Q61"/>
  <c r="R61" s="1"/>
  <c r="S61" s="1"/>
  <c r="Q62"/>
  <c r="R62" s="1"/>
  <c r="S62" s="1"/>
  <c r="Q63"/>
  <c r="R63" s="1"/>
  <c r="S63" s="1"/>
  <c r="C16"/>
  <c r="D16" s="1"/>
  <c r="A16"/>
  <c r="A17" s="1"/>
  <c r="A18" s="1"/>
  <c r="D6" i="2"/>
  <c r="C6"/>
  <c r="F3"/>
  <c r="D3"/>
  <c r="C3"/>
  <c r="D2"/>
  <c r="C2"/>
  <c r="F2" s="1"/>
  <c r="F7" s="1"/>
  <c r="F9" s="1"/>
  <c r="F1"/>
  <c r="X4" i="1"/>
  <c r="C4"/>
  <c r="X3"/>
  <c r="C3"/>
  <c r="AA3" s="1"/>
  <c r="X2"/>
  <c r="C2"/>
  <c r="C17" l="1"/>
  <c r="AO17" s="1"/>
  <c r="AP17" s="1"/>
  <c r="I16"/>
  <c r="U64"/>
  <c r="V64" s="1"/>
  <c r="W64" s="1"/>
  <c r="T64"/>
  <c r="T60"/>
  <c r="U60"/>
  <c r="V60" s="1"/>
  <c r="W60" s="1"/>
  <c r="U61"/>
  <c r="V61" s="1"/>
  <c r="W61" s="1"/>
  <c r="T61"/>
  <c r="T62"/>
  <c r="U62"/>
  <c r="V62" s="1"/>
  <c r="W62" s="1"/>
  <c r="U63"/>
  <c r="V63" s="1"/>
  <c r="W63" s="1"/>
  <c r="T63"/>
  <c r="T59"/>
  <c r="U59"/>
  <c r="V59" s="1"/>
  <c r="W59" s="1"/>
  <c r="G66"/>
  <c r="O66" s="1"/>
  <c r="D68"/>
  <c r="C67"/>
  <c r="E67" s="1"/>
  <c r="G65"/>
  <c r="O65" s="1"/>
  <c r="B18"/>
  <c r="AG18"/>
  <c r="AF18"/>
  <c r="J18"/>
  <c r="X18"/>
  <c r="L18" s="1"/>
  <c r="Y18"/>
  <c r="F16"/>
  <c r="H16"/>
  <c r="Z17"/>
  <c r="AB17" s="1"/>
  <c r="B17"/>
  <c r="AH17"/>
  <c r="AH18" s="1"/>
  <c r="J17"/>
  <c r="B16"/>
  <c r="J16"/>
  <c r="K16" s="1"/>
  <c r="Z16"/>
  <c r="Z18"/>
  <c r="U58"/>
  <c r="V58" s="1"/>
  <c r="W58" s="1"/>
  <c r="E16"/>
  <c r="A19"/>
  <c r="X19" s="1"/>
  <c r="D17" l="1"/>
  <c r="I17" s="1"/>
  <c r="K17" s="1"/>
  <c r="C18"/>
  <c r="D18" s="1"/>
  <c r="H18" s="1"/>
  <c r="F67"/>
  <c r="G67" s="1"/>
  <c r="O67" s="1"/>
  <c r="Y19"/>
  <c r="P66"/>
  <c r="Q66" s="1"/>
  <c r="R66" s="1"/>
  <c r="P65"/>
  <c r="Q65" s="1"/>
  <c r="R65" s="1"/>
  <c r="S65" s="1"/>
  <c r="D69"/>
  <c r="C68"/>
  <c r="E68" s="1"/>
  <c r="H17"/>
  <c r="AE18"/>
  <c r="AG19"/>
  <c r="AF19"/>
  <c r="AE19" s="1"/>
  <c r="J19"/>
  <c r="AB18"/>
  <c r="Z19"/>
  <c r="L19"/>
  <c r="G16"/>
  <c r="A20"/>
  <c r="X20" s="1"/>
  <c r="B19"/>
  <c r="E17" l="1"/>
  <c r="F17"/>
  <c r="I18"/>
  <c r="K18" s="1"/>
  <c r="E18"/>
  <c r="G18" s="1"/>
  <c r="F18"/>
  <c r="AO18"/>
  <c r="AP18" s="1"/>
  <c r="C19"/>
  <c r="M16"/>
  <c r="N16" s="1"/>
  <c r="O16"/>
  <c r="P16" s="1"/>
  <c r="Q16" s="1"/>
  <c r="R16" s="1"/>
  <c r="S16" s="1"/>
  <c r="T16" s="1"/>
  <c r="AA16" s="1"/>
  <c r="F68"/>
  <c r="G68" s="1"/>
  <c r="O68" s="1"/>
  <c r="Y20"/>
  <c r="C20"/>
  <c r="AO20" s="1"/>
  <c r="G17"/>
  <c r="M17" s="1"/>
  <c r="N17" s="1"/>
  <c r="U65"/>
  <c r="V65" s="1"/>
  <c r="W65" s="1"/>
  <c r="T65"/>
  <c r="S66"/>
  <c r="P67"/>
  <c r="Q67" s="1"/>
  <c r="R67" s="1"/>
  <c r="S67" s="1"/>
  <c r="D70"/>
  <c r="C69"/>
  <c r="F69" s="1"/>
  <c r="AH19"/>
  <c r="AG20"/>
  <c r="AF20"/>
  <c r="AE20" s="1"/>
  <c r="J20"/>
  <c r="AB19"/>
  <c r="Z20"/>
  <c r="L20"/>
  <c r="A21"/>
  <c r="B20"/>
  <c r="AP19" l="1"/>
  <c r="AP20" s="1"/>
  <c r="AO19"/>
  <c r="D19"/>
  <c r="C21"/>
  <c r="AO21" s="1"/>
  <c r="D20"/>
  <c r="H20" s="1"/>
  <c r="E69"/>
  <c r="U16"/>
  <c r="V16" s="1"/>
  <c r="W16" s="1"/>
  <c r="O17"/>
  <c r="P17" s="1"/>
  <c r="Q17" s="1"/>
  <c r="R17" s="1"/>
  <c r="S17" s="1"/>
  <c r="T17" s="1"/>
  <c r="AA17" s="1"/>
  <c r="M18"/>
  <c r="N18" s="1"/>
  <c r="O18"/>
  <c r="P18" s="1"/>
  <c r="Q18" s="1"/>
  <c r="T67"/>
  <c r="U67"/>
  <c r="V67" s="1"/>
  <c r="W67" s="1"/>
  <c r="P68"/>
  <c r="Q68" s="1"/>
  <c r="R68" s="1"/>
  <c r="S68" s="1"/>
  <c r="T66"/>
  <c r="D71"/>
  <c r="C70"/>
  <c r="F70" s="1"/>
  <c r="G69"/>
  <c r="O69" s="1"/>
  <c r="AK21"/>
  <c r="AF21"/>
  <c r="J21"/>
  <c r="AH20"/>
  <c r="AH21" s="1"/>
  <c r="X21"/>
  <c r="L21" s="1"/>
  <c r="AG21"/>
  <c r="Y21"/>
  <c r="AB20"/>
  <c r="E20"/>
  <c r="A22"/>
  <c r="X22" s="1"/>
  <c r="B21"/>
  <c r="AP21" l="1"/>
  <c r="C22"/>
  <c r="AO22" s="1"/>
  <c r="D21"/>
  <c r="H19"/>
  <c r="F19"/>
  <c r="E19"/>
  <c r="I19"/>
  <c r="K19" s="1"/>
  <c r="F20"/>
  <c r="G20" s="1"/>
  <c r="I20"/>
  <c r="K20" s="1"/>
  <c r="AR17"/>
  <c r="AS17" s="1"/>
  <c r="AG22"/>
  <c r="AE21"/>
  <c r="AP22"/>
  <c r="U17"/>
  <c r="V17" s="1"/>
  <c r="W17" s="1"/>
  <c r="R18"/>
  <c r="S18" s="1"/>
  <c r="AR18"/>
  <c r="T68"/>
  <c r="U68"/>
  <c r="V68" s="1"/>
  <c r="W68" s="1"/>
  <c r="P69"/>
  <c r="Q69" s="1"/>
  <c r="R69" s="1"/>
  <c r="S69" s="1"/>
  <c r="U66"/>
  <c r="V66" s="1"/>
  <c r="W66" s="1"/>
  <c r="D72"/>
  <c r="C71"/>
  <c r="F71" s="1"/>
  <c r="E71"/>
  <c r="E70"/>
  <c r="F21"/>
  <c r="H21"/>
  <c r="AK22"/>
  <c r="AF22"/>
  <c r="AE22" s="1"/>
  <c r="J22"/>
  <c r="Z21"/>
  <c r="AB21" s="1"/>
  <c r="Y22"/>
  <c r="Y23" s="1"/>
  <c r="L22"/>
  <c r="C23"/>
  <c r="AO23" s="1"/>
  <c r="D22"/>
  <c r="A23"/>
  <c r="B22"/>
  <c r="E21"/>
  <c r="I21"/>
  <c r="K21" s="1"/>
  <c r="AS18" l="1"/>
  <c r="G19"/>
  <c r="G71"/>
  <c r="AB22"/>
  <c r="AK23"/>
  <c r="Z22"/>
  <c r="AH22"/>
  <c r="F72"/>
  <c r="AP23"/>
  <c r="T18"/>
  <c r="AA18" s="1"/>
  <c r="O20"/>
  <c r="P20" s="1"/>
  <c r="Q20" s="1"/>
  <c r="M20"/>
  <c r="N20" s="1"/>
  <c r="T69"/>
  <c r="D73"/>
  <c r="C72"/>
  <c r="G70"/>
  <c r="O70" s="1"/>
  <c r="O71"/>
  <c r="AL21"/>
  <c r="F22"/>
  <c r="H22"/>
  <c r="AG23"/>
  <c r="AF23"/>
  <c r="J23"/>
  <c r="AH23"/>
  <c r="Y24"/>
  <c r="X23"/>
  <c r="L23" s="1"/>
  <c r="X24"/>
  <c r="I22"/>
  <c r="K22" s="1"/>
  <c r="E22"/>
  <c r="A24"/>
  <c r="B23"/>
  <c r="C24"/>
  <c r="AO24" s="1"/>
  <c r="D23"/>
  <c r="G21"/>
  <c r="M19" l="1"/>
  <c r="N19" s="1"/>
  <c r="O19"/>
  <c r="P19" s="1"/>
  <c r="Q19" s="1"/>
  <c r="AP24"/>
  <c r="AL22"/>
  <c r="P21"/>
  <c r="Q21" s="1"/>
  <c r="M21"/>
  <c r="N21" s="1"/>
  <c r="O21"/>
  <c r="U18"/>
  <c r="V18" s="1"/>
  <c r="W18" s="1"/>
  <c r="R20"/>
  <c r="S20" s="1"/>
  <c r="T20" s="1"/>
  <c r="AA20" s="1"/>
  <c r="AR20"/>
  <c r="P70"/>
  <c r="Q70" s="1"/>
  <c r="R70" s="1"/>
  <c r="S70" s="1"/>
  <c r="P71"/>
  <c r="Q71" s="1"/>
  <c r="R71" s="1"/>
  <c r="S71" s="1"/>
  <c r="U69"/>
  <c r="V69" s="1"/>
  <c r="W69" s="1"/>
  <c r="D74"/>
  <c r="C73"/>
  <c r="E73" s="1"/>
  <c r="E72"/>
  <c r="AG24"/>
  <c r="AF24"/>
  <c r="J24"/>
  <c r="G22"/>
  <c r="AH24"/>
  <c r="Z23"/>
  <c r="AB23" s="1"/>
  <c r="AK24"/>
  <c r="F23"/>
  <c r="H23"/>
  <c r="AE23"/>
  <c r="Z24"/>
  <c r="AB24" s="1"/>
  <c r="L24"/>
  <c r="C25"/>
  <c r="AO25" s="1"/>
  <c r="D24"/>
  <c r="I23"/>
  <c r="K23" s="1"/>
  <c r="E23"/>
  <c r="A25"/>
  <c r="B24"/>
  <c r="AR19" l="1"/>
  <c r="AS19" s="1"/>
  <c r="AS20" s="1"/>
  <c r="AS21" s="1"/>
  <c r="R19"/>
  <c r="S19" s="1"/>
  <c r="F73"/>
  <c r="AK25"/>
  <c r="AK26" s="1"/>
  <c r="AP25"/>
  <c r="G23"/>
  <c r="M23" s="1"/>
  <c r="N23" s="1"/>
  <c r="M22"/>
  <c r="N22" s="1"/>
  <c r="O22"/>
  <c r="P22" s="1"/>
  <c r="Q22" s="1"/>
  <c r="R21"/>
  <c r="S21" s="1"/>
  <c r="T21" s="1"/>
  <c r="AA21" s="1"/>
  <c r="AR21"/>
  <c r="U20"/>
  <c r="V20" s="1"/>
  <c r="W20" s="1"/>
  <c r="T70"/>
  <c r="U70"/>
  <c r="V70" s="1"/>
  <c r="W70" s="1"/>
  <c r="T71"/>
  <c r="D75"/>
  <c r="E74"/>
  <c r="C74"/>
  <c r="F74" s="1"/>
  <c r="G72"/>
  <c r="O72" s="1"/>
  <c r="G73"/>
  <c r="O73" s="1"/>
  <c r="AL23"/>
  <c r="AH25"/>
  <c r="AG25"/>
  <c r="J25"/>
  <c r="AF25"/>
  <c r="F24"/>
  <c r="H24"/>
  <c r="AE24"/>
  <c r="Y25"/>
  <c r="X25"/>
  <c r="L25" s="1"/>
  <c r="A26"/>
  <c r="B25"/>
  <c r="I24"/>
  <c r="K24" s="1"/>
  <c r="E24"/>
  <c r="C26"/>
  <c r="AO26" s="1"/>
  <c r="D25"/>
  <c r="T19" l="1"/>
  <c r="AA19" s="1"/>
  <c r="X26"/>
  <c r="L26" s="1"/>
  <c r="AL24"/>
  <c r="AL25" s="1"/>
  <c r="AP26"/>
  <c r="O23"/>
  <c r="P23" s="1"/>
  <c r="Q23" s="1"/>
  <c r="AR23" s="1"/>
  <c r="R22"/>
  <c r="S22" s="1"/>
  <c r="T22" s="1"/>
  <c r="AA22" s="1"/>
  <c r="AR22"/>
  <c r="AS22" s="1"/>
  <c r="U21"/>
  <c r="V21" s="1"/>
  <c r="W21" s="1"/>
  <c r="P72"/>
  <c r="Q72" s="1"/>
  <c r="R72" s="1"/>
  <c r="S72" s="1"/>
  <c r="P73"/>
  <c r="Q73" s="1"/>
  <c r="R73" s="1"/>
  <c r="S73" s="1"/>
  <c r="U71"/>
  <c r="V71" s="1"/>
  <c r="W71" s="1"/>
  <c r="D76"/>
  <c r="C75"/>
  <c r="E75" s="1"/>
  <c r="G74"/>
  <c r="O74" s="1"/>
  <c r="Z25"/>
  <c r="AB25" s="1"/>
  <c r="G24"/>
  <c r="H25"/>
  <c r="F25"/>
  <c r="AG26"/>
  <c r="J26"/>
  <c r="AF26"/>
  <c r="AH26" s="1"/>
  <c r="Y26"/>
  <c r="AE25"/>
  <c r="C27"/>
  <c r="AO27" s="1"/>
  <c r="D26"/>
  <c r="I25"/>
  <c r="K25" s="1"/>
  <c r="E25"/>
  <c r="A27"/>
  <c r="AK27" s="1"/>
  <c r="B26"/>
  <c r="AS23" l="1"/>
  <c r="U19"/>
  <c r="V19" s="1"/>
  <c r="W19" s="1"/>
  <c r="AP27"/>
  <c r="AL26"/>
  <c r="U22"/>
  <c r="V22" s="1"/>
  <c r="W22" s="1"/>
  <c r="F75"/>
  <c r="G75" s="1"/>
  <c r="O75" s="1"/>
  <c r="R23"/>
  <c r="S23" s="1"/>
  <c r="T23" s="1"/>
  <c r="AA23" s="1"/>
  <c r="M24"/>
  <c r="N24" s="1"/>
  <c r="O24"/>
  <c r="P24" s="1"/>
  <c r="Q24" s="1"/>
  <c r="T72"/>
  <c r="U73"/>
  <c r="V73" s="1"/>
  <c r="W73" s="1"/>
  <c r="T73"/>
  <c r="P74"/>
  <c r="S74"/>
  <c r="Q74"/>
  <c r="R74" s="1"/>
  <c r="D77"/>
  <c r="C76"/>
  <c r="F76" s="1"/>
  <c r="J27"/>
  <c r="AF27"/>
  <c r="AE27" s="1"/>
  <c r="F26"/>
  <c r="H26"/>
  <c r="Y27"/>
  <c r="X27"/>
  <c r="AG27"/>
  <c r="Z26"/>
  <c r="AB26" s="1"/>
  <c r="AE26"/>
  <c r="A28"/>
  <c r="AK28" s="1"/>
  <c r="B27"/>
  <c r="I26"/>
  <c r="K26" s="1"/>
  <c r="E26"/>
  <c r="C28"/>
  <c r="AO28" s="1"/>
  <c r="D27"/>
  <c r="G25"/>
  <c r="U23" l="1"/>
  <c r="V23" s="1"/>
  <c r="W23" s="1"/>
  <c r="AP28"/>
  <c r="Z27"/>
  <c r="AB27" s="1"/>
  <c r="E76"/>
  <c r="G76" s="1"/>
  <c r="O76" s="1"/>
  <c r="AL27"/>
  <c r="R24"/>
  <c r="S24" s="1"/>
  <c r="T24" s="1"/>
  <c r="AA24" s="1"/>
  <c r="AR24"/>
  <c r="AS24" s="1"/>
  <c r="O25"/>
  <c r="P25" s="1"/>
  <c r="Q25" s="1"/>
  <c r="M25"/>
  <c r="N25" s="1"/>
  <c r="T74"/>
  <c r="U74" s="1"/>
  <c r="V74" s="1"/>
  <c r="W74" s="1"/>
  <c r="P75"/>
  <c r="Q75" s="1"/>
  <c r="R75" s="1"/>
  <c r="S75" s="1"/>
  <c r="U72"/>
  <c r="V72" s="1"/>
  <c r="W72" s="1"/>
  <c r="D78"/>
  <c r="C77"/>
  <c r="E77" s="1"/>
  <c r="Y28"/>
  <c r="G26"/>
  <c r="L27"/>
  <c r="AH27"/>
  <c r="J28"/>
  <c r="AF28"/>
  <c r="F27"/>
  <c r="H27"/>
  <c r="X28"/>
  <c r="Z28" s="1"/>
  <c r="AG28"/>
  <c r="L28"/>
  <c r="C29"/>
  <c r="AO29" s="1"/>
  <c r="D28"/>
  <c r="A29"/>
  <c r="AK29" s="1"/>
  <c r="B28"/>
  <c r="I27"/>
  <c r="E27"/>
  <c r="AP29" l="1"/>
  <c r="AS25"/>
  <c r="AK30"/>
  <c r="AL28"/>
  <c r="AE28"/>
  <c r="F77"/>
  <c r="F78"/>
  <c r="K27"/>
  <c r="AB28"/>
  <c r="R25"/>
  <c r="S25" s="1"/>
  <c r="T25" s="1"/>
  <c r="AA25" s="1"/>
  <c r="AR25"/>
  <c r="M26"/>
  <c r="N26" s="1"/>
  <c r="O26"/>
  <c r="P26" s="1"/>
  <c r="Q26" s="1"/>
  <c r="G27"/>
  <c r="U75"/>
  <c r="V75" s="1"/>
  <c r="W75" s="1"/>
  <c r="T75"/>
  <c r="P76"/>
  <c r="Q76" s="1"/>
  <c r="R76" s="1"/>
  <c r="S76" s="1"/>
  <c r="D79"/>
  <c r="C78"/>
  <c r="E78" s="1"/>
  <c r="G77"/>
  <c r="O77" s="1"/>
  <c r="F28"/>
  <c r="H28"/>
  <c r="Y29"/>
  <c r="Z29" s="1"/>
  <c r="AB29" s="1"/>
  <c r="J29"/>
  <c r="AF29"/>
  <c r="X29"/>
  <c r="AG29"/>
  <c r="AH28"/>
  <c r="L29"/>
  <c r="U24"/>
  <c r="V24" s="1"/>
  <c r="W24" s="1"/>
  <c r="I28"/>
  <c r="K28" s="1"/>
  <c r="E28"/>
  <c r="A30"/>
  <c r="X30" s="1"/>
  <c r="B29"/>
  <c r="C30"/>
  <c r="AO30" s="1"/>
  <c r="D29"/>
  <c r="AP30" l="1"/>
  <c r="G28"/>
  <c r="M28" s="1"/>
  <c r="N28" s="1"/>
  <c r="U25"/>
  <c r="V25" s="1"/>
  <c r="W25" s="1"/>
  <c r="AL29"/>
  <c r="AE29"/>
  <c r="R26"/>
  <c r="AR26"/>
  <c r="AS26" s="1"/>
  <c r="O27"/>
  <c r="P27" s="1"/>
  <c r="Q27" s="1"/>
  <c r="M27"/>
  <c r="N27" s="1"/>
  <c r="S26"/>
  <c r="T26" s="1"/>
  <c r="AA26" s="1"/>
  <c r="T76"/>
  <c r="P77"/>
  <c r="Q77" s="1"/>
  <c r="R77" s="1"/>
  <c r="S77" s="1"/>
  <c r="D80"/>
  <c r="C79"/>
  <c r="E79" s="1"/>
  <c r="G78"/>
  <c r="O78" s="1"/>
  <c r="AH29"/>
  <c r="AH30" s="1"/>
  <c r="F29"/>
  <c r="H29"/>
  <c r="J30"/>
  <c r="AF30"/>
  <c r="AE30" s="1"/>
  <c r="AG30"/>
  <c r="Y30"/>
  <c r="Z30"/>
  <c r="AB30" s="1"/>
  <c r="L30"/>
  <c r="C31"/>
  <c r="AO31" s="1"/>
  <c r="D30"/>
  <c r="I29"/>
  <c r="K29" s="1"/>
  <c r="E29"/>
  <c r="A31"/>
  <c r="AK31" s="1"/>
  <c r="B30"/>
  <c r="U26" l="1"/>
  <c r="V26" s="1"/>
  <c r="W26" s="1"/>
  <c r="O28"/>
  <c r="P28" s="1"/>
  <c r="Q28" s="1"/>
  <c r="AR28" s="1"/>
  <c r="AP31"/>
  <c r="AK32"/>
  <c r="G79"/>
  <c r="F79"/>
  <c r="AL30"/>
  <c r="AL31" s="1"/>
  <c r="R27"/>
  <c r="S27" s="1"/>
  <c r="T27" s="1"/>
  <c r="AA27" s="1"/>
  <c r="AR27"/>
  <c r="AS27" s="1"/>
  <c r="U77"/>
  <c r="V77" s="1"/>
  <c r="W77" s="1"/>
  <c r="T77"/>
  <c r="P78"/>
  <c r="S78"/>
  <c r="Q78"/>
  <c r="R78" s="1"/>
  <c r="U76"/>
  <c r="V76" s="1"/>
  <c r="W76" s="1"/>
  <c r="D81"/>
  <c r="C80"/>
  <c r="F80" s="1"/>
  <c r="O79"/>
  <c r="AG31"/>
  <c r="AG32" s="1"/>
  <c r="J31"/>
  <c r="AF31"/>
  <c r="F30"/>
  <c r="H30"/>
  <c r="AH31"/>
  <c r="X31"/>
  <c r="Y31"/>
  <c r="Y32" s="1"/>
  <c r="X32"/>
  <c r="L31"/>
  <c r="A32"/>
  <c r="B31"/>
  <c r="I30"/>
  <c r="K30" s="1"/>
  <c r="E30"/>
  <c r="C32"/>
  <c r="AO32" s="1"/>
  <c r="AP32" s="1"/>
  <c r="D31"/>
  <c r="G29"/>
  <c r="R28" l="1"/>
  <c r="S28" s="1"/>
  <c r="T28" s="1"/>
  <c r="AS28"/>
  <c r="AK33"/>
  <c r="M29"/>
  <c r="N29" s="1"/>
  <c r="O29"/>
  <c r="P29" s="1"/>
  <c r="Q29" s="1"/>
  <c r="T78"/>
  <c r="P79"/>
  <c r="Q79" s="1"/>
  <c r="R79" s="1"/>
  <c r="S79" s="1"/>
  <c r="D82"/>
  <c r="C81"/>
  <c r="E80"/>
  <c r="J32"/>
  <c r="AF32"/>
  <c r="AE32" s="1"/>
  <c r="H31"/>
  <c r="F31"/>
  <c r="G30"/>
  <c r="Z31"/>
  <c r="AB31" s="1"/>
  <c r="AE31"/>
  <c r="Z32"/>
  <c r="L32"/>
  <c r="AA28"/>
  <c r="U27"/>
  <c r="V27" s="1"/>
  <c r="W27" s="1"/>
  <c r="A33"/>
  <c r="AG33" s="1"/>
  <c r="B32"/>
  <c r="C33"/>
  <c r="AO33" s="1"/>
  <c r="AP33" s="1"/>
  <c r="D32"/>
  <c r="I31"/>
  <c r="K31" s="1"/>
  <c r="E31"/>
  <c r="U28" l="1"/>
  <c r="V28" s="1"/>
  <c r="W28" s="1"/>
  <c r="AH32"/>
  <c r="E81"/>
  <c r="F81"/>
  <c r="AL32"/>
  <c r="R29"/>
  <c r="AR29"/>
  <c r="AS29" s="1"/>
  <c r="M30"/>
  <c r="N30" s="1"/>
  <c r="O30"/>
  <c r="P30" s="1"/>
  <c r="Q30" s="1"/>
  <c r="S29"/>
  <c r="T29" s="1"/>
  <c r="AA29" s="1"/>
  <c r="T79"/>
  <c r="U79" s="1"/>
  <c r="V79" s="1"/>
  <c r="W79" s="1"/>
  <c r="U78"/>
  <c r="V78" s="1"/>
  <c r="W78" s="1"/>
  <c r="D83"/>
  <c r="C82"/>
  <c r="G80"/>
  <c r="O80" s="1"/>
  <c r="J33"/>
  <c r="AF33"/>
  <c r="AE33" s="1"/>
  <c r="X33"/>
  <c r="Y33"/>
  <c r="Z33" s="1"/>
  <c r="H32"/>
  <c r="F32"/>
  <c r="G31"/>
  <c r="AB32"/>
  <c r="L33"/>
  <c r="A34"/>
  <c r="AK34" s="1"/>
  <c r="B33"/>
  <c r="C34"/>
  <c r="AO34" s="1"/>
  <c r="AP34" s="1"/>
  <c r="D33"/>
  <c r="I32"/>
  <c r="K32" s="1"/>
  <c r="E32"/>
  <c r="U29" l="1"/>
  <c r="V29" s="1"/>
  <c r="W29" s="1"/>
  <c r="G32"/>
  <c r="O32" s="1"/>
  <c r="P32" s="1"/>
  <c r="Q32" s="1"/>
  <c r="G81"/>
  <c r="O81" s="1"/>
  <c r="F82"/>
  <c r="AL33"/>
  <c r="O31"/>
  <c r="P31" s="1"/>
  <c r="Q31" s="1"/>
  <c r="M31"/>
  <c r="N31" s="1"/>
  <c r="R30"/>
  <c r="S30" s="1"/>
  <c r="T30" s="1"/>
  <c r="AA30" s="1"/>
  <c r="AR30"/>
  <c r="AS30" s="1"/>
  <c r="P80"/>
  <c r="Q80"/>
  <c r="R80" s="1"/>
  <c r="S80" s="1"/>
  <c r="D84"/>
  <c r="C83"/>
  <c r="E82"/>
  <c r="J34"/>
  <c r="AF34"/>
  <c r="H33"/>
  <c r="F33"/>
  <c r="AG34"/>
  <c r="Y34"/>
  <c r="X34"/>
  <c r="L34" s="1"/>
  <c r="AB33"/>
  <c r="AH33"/>
  <c r="AH34" s="1"/>
  <c r="A35"/>
  <c r="AK35" s="1"/>
  <c r="B34"/>
  <c r="C35"/>
  <c r="AO35" s="1"/>
  <c r="AP35" s="1"/>
  <c r="D34"/>
  <c r="I33"/>
  <c r="K33" s="1"/>
  <c r="E33"/>
  <c r="U30" l="1"/>
  <c r="V30" s="1"/>
  <c r="W30" s="1"/>
  <c r="M32"/>
  <c r="N32" s="1"/>
  <c r="Q81"/>
  <c r="R81" s="1"/>
  <c r="Z34"/>
  <c r="AB34" s="1"/>
  <c r="P81"/>
  <c r="X35"/>
  <c r="Y35"/>
  <c r="F83"/>
  <c r="AG35"/>
  <c r="AL34"/>
  <c r="R31"/>
  <c r="S31" s="1"/>
  <c r="T31" s="1"/>
  <c r="AA31" s="1"/>
  <c r="AR31"/>
  <c r="AS31" s="1"/>
  <c r="R32"/>
  <c r="S32" s="1"/>
  <c r="T32" s="1"/>
  <c r="T80"/>
  <c r="U80" s="1"/>
  <c r="V80" s="1"/>
  <c r="W80" s="1"/>
  <c r="D85"/>
  <c r="C84"/>
  <c r="G82"/>
  <c r="O82" s="1"/>
  <c r="E83"/>
  <c r="H34"/>
  <c r="F34"/>
  <c r="AE34"/>
  <c r="J35"/>
  <c r="AF35"/>
  <c r="Z35"/>
  <c r="AB35" s="1"/>
  <c r="L35"/>
  <c r="A36"/>
  <c r="AK36" s="1"/>
  <c r="B35"/>
  <c r="C36"/>
  <c r="AO36" s="1"/>
  <c r="AP36" s="1"/>
  <c r="D35"/>
  <c r="I34"/>
  <c r="K34" s="1"/>
  <c r="E34"/>
  <c r="G33"/>
  <c r="AR32" l="1"/>
  <c r="AS32" s="1"/>
  <c r="X36"/>
  <c r="G83"/>
  <c r="O83" s="1"/>
  <c r="AL35"/>
  <c r="S81"/>
  <c r="T81" s="1"/>
  <c r="U81" s="1"/>
  <c r="V81" s="1"/>
  <c r="W81" s="1"/>
  <c r="AE35"/>
  <c r="F84"/>
  <c r="O33"/>
  <c r="P33" s="1"/>
  <c r="Q33" s="1"/>
  <c r="M33"/>
  <c r="N33" s="1"/>
  <c r="U31"/>
  <c r="V31" s="1"/>
  <c r="W31" s="1"/>
  <c r="P82"/>
  <c r="Q82"/>
  <c r="R82" s="1"/>
  <c r="P83"/>
  <c r="Q83" s="1"/>
  <c r="R83" s="1"/>
  <c r="D86"/>
  <c r="C85"/>
  <c r="F85" s="1"/>
  <c r="E84"/>
  <c r="F35"/>
  <c r="H35"/>
  <c r="J36"/>
  <c r="AF36"/>
  <c r="AG36"/>
  <c r="AG37" s="1"/>
  <c r="AH35"/>
  <c r="AH36" s="1"/>
  <c r="Y36"/>
  <c r="L36"/>
  <c r="U32"/>
  <c r="V32" s="1"/>
  <c r="W32" s="1"/>
  <c r="AA32"/>
  <c r="A37"/>
  <c r="AK37" s="1"/>
  <c r="B36"/>
  <c r="C37"/>
  <c r="AO37" s="1"/>
  <c r="AP37" s="1"/>
  <c r="D36"/>
  <c r="I35"/>
  <c r="K35" s="1"/>
  <c r="E35"/>
  <c r="G34"/>
  <c r="AS33" l="1"/>
  <c r="S83"/>
  <c r="T83" s="1"/>
  <c r="U83" s="1"/>
  <c r="V83" s="1"/>
  <c r="W83" s="1"/>
  <c r="F86"/>
  <c r="S82"/>
  <c r="AL36"/>
  <c r="E85"/>
  <c r="Z36"/>
  <c r="AB36" s="1"/>
  <c r="G35"/>
  <c r="M35" s="1"/>
  <c r="N35" s="1"/>
  <c r="R33"/>
  <c r="S33" s="1"/>
  <c r="AR33"/>
  <c r="M34"/>
  <c r="N34" s="1"/>
  <c r="O34"/>
  <c r="P34" s="1"/>
  <c r="Q34" s="1"/>
  <c r="T82"/>
  <c r="D87"/>
  <c r="C86"/>
  <c r="G84"/>
  <c r="O84" s="1"/>
  <c r="G85"/>
  <c r="O85" s="1"/>
  <c r="F36"/>
  <c r="H36"/>
  <c r="AH37"/>
  <c r="J37"/>
  <c r="AF37"/>
  <c r="AE37" s="1"/>
  <c r="X37"/>
  <c r="L37" s="1"/>
  <c r="Y37"/>
  <c r="AE36"/>
  <c r="C38"/>
  <c r="AO38" s="1"/>
  <c r="AP38" s="1"/>
  <c r="D37"/>
  <c r="A38"/>
  <c r="X38" s="1"/>
  <c r="B37"/>
  <c r="I36"/>
  <c r="K36" s="1"/>
  <c r="E36"/>
  <c r="Z37" l="1"/>
  <c r="AB37" s="1"/>
  <c r="AK38"/>
  <c r="F87"/>
  <c r="O35"/>
  <c r="P35" s="1"/>
  <c r="Q35" s="1"/>
  <c r="R35" s="1"/>
  <c r="S35" s="1"/>
  <c r="T35" s="1"/>
  <c r="R34"/>
  <c r="S34" s="1"/>
  <c r="T34" s="1"/>
  <c r="AA34" s="1"/>
  <c r="AR34"/>
  <c r="AS34" s="1"/>
  <c r="T33"/>
  <c r="AA33" s="1"/>
  <c r="G36"/>
  <c r="P84"/>
  <c r="Q84" s="1"/>
  <c r="R84" s="1"/>
  <c r="P85"/>
  <c r="Q85"/>
  <c r="R85" s="1"/>
  <c r="S85" s="1"/>
  <c r="U82"/>
  <c r="V82" s="1"/>
  <c r="W82" s="1"/>
  <c r="D88"/>
  <c r="C87"/>
  <c r="E86"/>
  <c r="F37"/>
  <c r="H37"/>
  <c r="AG38"/>
  <c r="J38"/>
  <c r="AF38"/>
  <c r="Y38"/>
  <c r="Z38" s="1"/>
  <c r="AB38" s="1"/>
  <c r="L38"/>
  <c r="I37"/>
  <c r="K37" s="1"/>
  <c r="E37"/>
  <c r="A39"/>
  <c r="B38"/>
  <c r="C39"/>
  <c r="AO39" s="1"/>
  <c r="AP39" s="1"/>
  <c r="D38"/>
  <c r="S84" l="1"/>
  <c r="W84"/>
  <c r="AE38"/>
  <c r="AR35"/>
  <c r="AS35" s="1"/>
  <c r="AK39"/>
  <c r="F88"/>
  <c r="AL37"/>
  <c r="AL38" s="1"/>
  <c r="U33"/>
  <c r="V33" s="1"/>
  <c r="W33" s="1"/>
  <c r="O36"/>
  <c r="P36" s="1"/>
  <c r="Q36" s="1"/>
  <c r="M36"/>
  <c r="N36" s="1"/>
  <c r="U34"/>
  <c r="V34" s="1"/>
  <c r="W34" s="1"/>
  <c r="T84"/>
  <c r="U84" s="1"/>
  <c r="V84" s="1"/>
  <c r="T85"/>
  <c r="U85" s="1"/>
  <c r="V85" s="1"/>
  <c r="W85" s="1"/>
  <c r="D89"/>
  <c r="C88"/>
  <c r="G86"/>
  <c r="O86" s="1"/>
  <c r="E87"/>
  <c r="G87" s="1"/>
  <c r="O87" s="1"/>
  <c r="AG39"/>
  <c r="J39"/>
  <c r="AF39"/>
  <c r="F38"/>
  <c r="H38"/>
  <c r="AH38"/>
  <c r="AH39" s="1"/>
  <c r="G37"/>
  <c r="X39"/>
  <c r="Y39"/>
  <c r="L39"/>
  <c r="U35"/>
  <c r="V35" s="1"/>
  <c r="W35" s="1"/>
  <c r="AA35"/>
  <c r="C40"/>
  <c r="AO40" s="1"/>
  <c r="AP40" s="1"/>
  <c r="D39"/>
  <c r="I38"/>
  <c r="K38" s="1"/>
  <c r="E38"/>
  <c r="A40"/>
  <c r="X40" s="1"/>
  <c r="B39"/>
  <c r="F89" l="1"/>
  <c r="Y40"/>
  <c r="Z40" s="1"/>
  <c r="AB40" s="1"/>
  <c r="AG40"/>
  <c r="AK40"/>
  <c r="AL39"/>
  <c r="R36"/>
  <c r="S36" s="1"/>
  <c r="AR36"/>
  <c r="AS36" s="1"/>
  <c r="M37"/>
  <c r="N37" s="1"/>
  <c r="O37"/>
  <c r="P37" s="1"/>
  <c r="Q37" s="1"/>
  <c r="P86"/>
  <c r="S86"/>
  <c r="Q86"/>
  <c r="R86" s="1"/>
  <c r="P87"/>
  <c r="Q87"/>
  <c r="R87" s="1"/>
  <c r="S87"/>
  <c r="C89"/>
  <c r="E88"/>
  <c r="F39"/>
  <c r="H39"/>
  <c r="J40"/>
  <c r="AF40"/>
  <c r="AE40" s="1"/>
  <c r="Z39"/>
  <c r="AB39" s="1"/>
  <c r="AE39"/>
  <c r="L40"/>
  <c r="A41"/>
  <c r="X41" s="1"/>
  <c r="B40"/>
  <c r="I39"/>
  <c r="K39" s="1"/>
  <c r="E39"/>
  <c r="C41"/>
  <c r="AO41" s="1"/>
  <c r="AP41" s="1"/>
  <c r="D40"/>
  <c r="G38"/>
  <c r="AS37" l="1"/>
  <c r="AL40"/>
  <c r="AH40"/>
  <c r="AK41"/>
  <c r="R37"/>
  <c r="S37" s="1"/>
  <c r="T37" s="1"/>
  <c r="AA37" s="1"/>
  <c r="AR37"/>
  <c r="T36"/>
  <c r="AA36" s="1"/>
  <c r="M38"/>
  <c r="N38" s="1"/>
  <c r="O38"/>
  <c r="P38" s="1"/>
  <c r="Q38" s="1"/>
  <c r="G39"/>
  <c r="T87"/>
  <c r="T86"/>
  <c r="G88"/>
  <c r="O88" s="1"/>
  <c r="E89"/>
  <c r="H40"/>
  <c r="F40"/>
  <c r="J41"/>
  <c r="AF41"/>
  <c r="AH41" s="1"/>
  <c r="Y41"/>
  <c r="AG41"/>
  <c r="L41"/>
  <c r="C42"/>
  <c r="AO42" s="1"/>
  <c r="AP42" s="1"/>
  <c r="D41"/>
  <c r="I40"/>
  <c r="K40" s="1"/>
  <c r="E40"/>
  <c r="A42"/>
  <c r="B41"/>
  <c r="AL41" l="1"/>
  <c r="Y42"/>
  <c r="AK42"/>
  <c r="U36"/>
  <c r="V36" s="1"/>
  <c r="W36" s="1"/>
  <c r="R38"/>
  <c r="AR38"/>
  <c r="AS38" s="1"/>
  <c r="O39"/>
  <c r="P39" s="1"/>
  <c r="Q39" s="1"/>
  <c r="M39"/>
  <c r="N39" s="1"/>
  <c r="S38"/>
  <c r="T38" s="1"/>
  <c r="AA38" s="1"/>
  <c r="P88"/>
  <c r="Q88" s="1"/>
  <c r="R88" s="1"/>
  <c r="U87"/>
  <c r="V87" s="1"/>
  <c r="W87" s="1"/>
  <c r="U86"/>
  <c r="V86" s="1"/>
  <c r="W86" s="1"/>
  <c r="G89"/>
  <c r="O89" s="1"/>
  <c r="J42"/>
  <c r="AF42"/>
  <c r="AE42" s="1"/>
  <c r="H41"/>
  <c r="F41"/>
  <c r="X42"/>
  <c r="Z42" s="1"/>
  <c r="AG42"/>
  <c r="G40"/>
  <c r="Z41"/>
  <c r="AB41" s="1"/>
  <c r="AE41"/>
  <c r="U37"/>
  <c r="V37" s="1"/>
  <c r="W37" s="1"/>
  <c r="A43"/>
  <c r="Y43" s="1"/>
  <c r="B42"/>
  <c r="I41"/>
  <c r="K41" s="1"/>
  <c r="E41"/>
  <c r="C43"/>
  <c r="AO43" s="1"/>
  <c r="AP43" s="1"/>
  <c r="D42"/>
  <c r="U38" l="1"/>
  <c r="V38" s="1"/>
  <c r="W38" s="1"/>
  <c r="S88"/>
  <c r="L42"/>
  <c r="AK43"/>
  <c r="AK44" s="1"/>
  <c r="M40"/>
  <c r="N40" s="1"/>
  <c r="O40"/>
  <c r="P40" s="1"/>
  <c r="Q40" s="1"/>
  <c r="R39"/>
  <c r="S39" s="1"/>
  <c r="T39" s="1"/>
  <c r="AA39" s="1"/>
  <c r="AR39"/>
  <c r="AS39" s="1"/>
  <c r="T88"/>
  <c r="P89"/>
  <c r="Q89" s="1"/>
  <c r="R89" s="1"/>
  <c r="H42"/>
  <c r="F42"/>
  <c r="AB42"/>
  <c r="AG43"/>
  <c r="AH42"/>
  <c r="J43"/>
  <c r="AF43"/>
  <c r="X43"/>
  <c r="L43" s="1"/>
  <c r="C44"/>
  <c r="AO44" s="1"/>
  <c r="AP44" s="1"/>
  <c r="D43"/>
  <c r="I42"/>
  <c r="K42" s="1"/>
  <c r="E42"/>
  <c r="A44"/>
  <c r="Y44" s="1"/>
  <c r="B43"/>
  <c r="G41"/>
  <c r="S89" l="1"/>
  <c r="W89"/>
  <c r="AK45"/>
  <c r="AL42"/>
  <c r="AL43" s="1"/>
  <c r="AH43"/>
  <c r="AH44" s="1"/>
  <c r="O41"/>
  <c r="P41" s="1"/>
  <c r="Q41" s="1"/>
  <c r="M41"/>
  <c r="N41" s="1"/>
  <c r="R40"/>
  <c r="S40" s="1"/>
  <c r="T40" s="1"/>
  <c r="U40" s="1"/>
  <c r="V40" s="1"/>
  <c r="W40" s="1"/>
  <c r="AR40"/>
  <c r="AS40" s="1"/>
  <c r="U39"/>
  <c r="V39" s="1"/>
  <c r="W39" s="1"/>
  <c r="T89"/>
  <c r="U89" s="1"/>
  <c r="V89" s="1"/>
  <c r="U88"/>
  <c r="V88" s="1"/>
  <c r="W88" s="1"/>
  <c r="Z43"/>
  <c r="AB43" s="1"/>
  <c r="J44"/>
  <c r="AF44"/>
  <c r="AE44" s="1"/>
  <c r="F43"/>
  <c r="H43"/>
  <c r="AG44"/>
  <c r="X44"/>
  <c r="L44" s="1"/>
  <c r="AE43"/>
  <c r="Z44"/>
  <c r="A45"/>
  <c r="X45" s="1"/>
  <c r="B44"/>
  <c r="I43"/>
  <c r="K43" s="1"/>
  <c r="E43"/>
  <c r="C45"/>
  <c r="AO45" s="1"/>
  <c r="AP45" s="1"/>
  <c r="D44"/>
  <c r="G42"/>
  <c r="AA40" l="1"/>
  <c r="AK46"/>
  <c r="AL44"/>
  <c r="M42"/>
  <c r="N42" s="1"/>
  <c r="O42"/>
  <c r="P42" s="1"/>
  <c r="Q42" s="1"/>
  <c r="R41"/>
  <c r="S41" s="1"/>
  <c r="T41" s="1"/>
  <c r="AA41" s="1"/>
  <c r="AR41"/>
  <c r="AS41" s="1"/>
  <c r="F44"/>
  <c r="H44"/>
  <c r="J45"/>
  <c r="AF45"/>
  <c r="AH45"/>
  <c r="Y45"/>
  <c r="AB44"/>
  <c r="G43"/>
  <c r="AG45"/>
  <c r="AG46" s="1"/>
  <c r="L45"/>
  <c r="U41"/>
  <c r="V41" s="1"/>
  <c r="W41" s="1"/>
  <c r="C46"/>
  <c r="AO46" s="1"/>
  <c r="AP46" s="1"/>
  <c r="D45"/>
  <c r="I44"/>
  <c r="K44" s="1"/>
  <c r="E44"/>
  <c r="A46"/>
  <c r="X46" s="1"/>
  <c r="B45"/>
  <c r="Y46" l="1"/>
  <c r="AL45"/>
  <c r="Z45"/>
  <c r="AB45" s="1"/>
  <c r="G44"/>
  <c r="M44" s="1"/>
  <c r="N44" s="1"/>
  <c r="R42"/>
  <c r="S42" s="1"/>
  <c r="T42" s="1"/>
  <c r="AA42" s="1"/>
  <c r="AR42"/>
  <c r="AS42" s="1"/>
  <c r="O43"/>
  <c r="P43" s="1"/>
  <c r="Q43" s="1"/>
  <c r="M43"/>
  <c r="N43" s="1"/>
  <c r="H45"/>
  <c r="F45"/>
  <c r="J46"/>
  <c r="AF46"/>
  <c r="AE46" s="1"/>
  <c r="AE45"/>
  <c r="Z46"/>
  <c r="AB46" s="1"/>
  <c r="L46"/>
  <c r="A47"/>
  <c r="AK47" s="1"/>
  <c r="B46"/>
  <c r="I45"/>
  <c r="K45" s="1"/>
  <c r="E45"/>
  <c r="C47"/>
  <c r="AO47" s="1"/>
  <c r="AP47" s="1"/>
  <c r="D46"/>
  <c r="AS43" l="1"/>
  <c r="AK48"/>
  <c r="U42"/>
  <c r="V42" s="1"/>
  <c r="W42" s="1"/>
  <c r="AL46"/>
  <c r="O44"/>
  <c r="P44" s="1"/>
  <c r="Q44" s="1"/>
  <c r="AR44" s="1"/>
  <c r="R43"/>
  <c r="S43" s="1"/>
  <c r="AR43"/>
  <c r="J47"/>
  <c r="AF47"/>
  <c r="F46"/>
  <c r="H46"/>
  <c r="X47"/>
  <c r="Y47"/>
  <c r="AG47"/>
  <c r="AG48" s="1"/>
  <c r="AH46"/>
  <c r="Z47"/>
  <c r="AB47" s="1"/>
  <c r="L47"/>
  <c r="C48"/>
  <c r="AO48" s="1"/>
  <c r="AP48" s="1"/>
  <c r="D47"/>
  <c r="I46"/>
  <c r="K46" s="1"/>
  <c r="E46"/>
  <c r="A48"/>
  <c r="X48" s="1"/>
  <c r="B47"/>
  <c r="G45"/>
  <c r="AS44" l="1"/>
  <c r="T43"/>
  <c r="AA43" s="1"/>
  <c r="Y48"/>
  <c r="Z48" s="1"/>
  <c r="AB48" s="1"/>
  <c r="AE47"/>
  <c r="AL47"/>
  <c r="R44"/>
  <c r="S44" s="1"/>
  <c r="T44" s="1"/>
  <c r="AA44" s="1"/>
  <c r="M45"/>
  <c r="N45" s="1"/>
  <c r="O45"/>
  <c r="P45" s="1"/>
  <c r="Q45" s="1"/>
  <c r="F47"/>
  <c r="H47"/>
  <c r="AH47"/>
  <c r="J48"/>
  <c r="AF48"/>
  <c r="AE48" s="1"/>
  <c r="L48"/>
  <c r="A49"/>
  <c r="B48"/>
  <c r="I47"/>
  <c r="K47" s="1"/>
  <c r="E47"/>
  <c r="C49"/>
  <c r="AO49" s="1"/>
  <c r="AP49" s="1"/>
  <c r="D48"/>
  <c r="G46"/>
  <c r="G47" l="1"/>
  <c r="U44"/>
  <c r="V44" s="1"/>
  <c r="W44" s="1"/>
  <c r="Y49"/>
  <c r="AL48"/>
  <c r="U43"/>
  <c r="V43" s="1"/>
  <c r="W43" s="1"/>
  <c r="AK49"/>
  <c r="M46"/>
  <c r="N46" s="1"/>
  <c r="O46"/>
  <c r="P46" s="1"/>
  <c r="Q46" s="1"/>
  <c r="O47"/>
  <c r="M47"/>
  <c r="N47" s="1"/>
  <c r="R45"/>
  <c r="S45" s="1"/>
  <c r="T45" s="1"/>
  <c r="AA45" s="1"/>
  <c r="AR45"/>
  <c r="AS45" s="1"/>
  <c r="H48"/>
  <c r="F48"/>
  <c r="X49"/>
  <c r="Z49" s="1"/>
  <c r="AB49" s="1"/>
  <c r="AH48"/>
  <c r="AH49" s="1"/>
  <c r="J49"/>
  <c r="AF49"/>
  <c r="AG49"/>
  <c r="AG50" s="1"/>
  <c r="P47"/>
  <c r="Q47" s="1"/>
  <c r="C50"/>
  <c r="AO50" s="1"/>
  <c r="AP50" s="1"/>
  <c r="D49"/>
  <c r="I48"/>
  <c r="K48" s="1"/>
  <c r="E48"/>
  <c r="A50"/>
  <c r="Y50" s="1"/>
  <c r="B49"/>
  <c r="AS46" l="1"/>
  <c r="AS47" s="1"/>
  <c r="G48"/>
  <c r="M48" s="1"/>
  <c r="N48" s="1"/>
  <c r="X50"/>
  <c r="L50" s="1"/>
  <c r="L49"/>
  <c r="AK50"/>
  <c r="AL49"/>
  <c r="U45"/>
  <c r="V45" s="1"/>
  <c r="W45" s="1"/>
  <c r="R47"/>
  <c r="S47" s="1"/>
  <c r="T47" s="1"/>
  <c r="AR47"/>
  <c r="R46"/>
  <c r="S46" s="1"/>
  <c r="AR46"/>
  <c r="AE49"/>
  <c r="H49"/>
  <c r="F49"/>
  <c r="J50"/>
  <c r="AF50"/>
  <c r="AE50" s="1"/>
  <c r="A51"/>
  <c r="B50"/>
  <c r="I49"/>
  <c r="K49" s="1"/>
  <c r="E49"/>
  <c r="C51"/>
  <c r="AO51" s="1"/>
  <c r="AP51" s="1"/>
  <c r="D50"/>
  <c r="O48" l="1"/>
  <c r="P48" s="1"/>
  <c r="Q48" s="1"/>
  <c r="AR48" s="1"/>
  <c r="AS48" s="1"/>
  <c r="AL50"/>
  <c r="X51"/>
  <c r="Z50"/>
  <c r="AB50" s="1"/>
  <c r="AK51"/>
  <c r="T46"/>
  <c r="AA46" s="1"/>
  <c r="AH50"/>
  <c r="J51"/>
  <c r="AF51"/>
  <c r="AE51" s="1"/>
  <c r="H50"/>
  <c r="F50"/>
  <c r="Y51"/>
  <c r="Z51" s="1"/>
  <c r="AB51" s="1"/>
  <c r="L51"/>
  <c r="U47"/>
  <c r="V47" s="1"/>
  <c r="W47" s="1"/>
  <c r="AA47"/>
  <c r="C52"/>
  <c r="AO52" s="1"/>
  <c r="AP52" s="1"/>
  <c r="D51"/>
  <c r="I50"/>
  <c r="K50" s="1"/>
  <c r="E50"/>
  <c r="A52"/>
  <c r="B51"/>
  <c r="G49"/>
  <c r="R48" l="1"/>
  <c r="S48" s="1"/>
  <c r="T48" s="1"/>
  <c r="AA48" s="1"/>
  <c r="AH51"/>
  <c r="AK52"/>
  <c r="O49"/>
  <c r="P49" s="1"/>
  <c r="Q49" s="1"/>
  <c r="M49"/>
  <c r="N49" s="1"/>
  <c r="U46"/>
  <c r="V46" s="1"/>
  <c r="W46" s="1"/>
  <c r="J52"/>
  <c r="AF52"/>
  <c r="F51"/>
  <c r="H51"/>
  <c r="Y52"/>
  <c r="Y53" s="1"/>
  <c r="X52"/>
  <c r="I51"/>
  <c r="K51" s="1"/>
  <c r="E51"/>
  <c r="C53"/>
  <c r="AO53" s="1"/>
  <c r="AP53" s="1"/>
  <c r="D52"/>
  <c r="G50"/>
  <c r="A53"/>
  <c r="B52"/>
  <c r="U48" l="1"/>
  <c r="V48" s="1"/>
  <c r="W48" s="1"/>
  <c r="G51"/>
  <c r="M51" s="1"/>
  <c r="N51" s="1"/>
  <c r="Z52"/>
  <c r="AB52" s="1"/>
  <c r="L52"/>
  <c r="AK53"/>
  <c r="AL51"/>
  <c r="AL52" s="1"/>
  <c r="R49"/>
  <c r="S49" s="1"/>
  <c r="T49" s="1"/>
  <c r="AA49" s="1"/>
  <c r="AR49"/>
  <c r="AS49" s="1"/>
  <c r="M50"/>
  <c r="N50" s="1"/>
  <c r="O50"/>
  <c r="P50" s="1"/>
  <c r="Q50" s="1"/>
  <c r="F52"/>
  <c r="H52"/>
  <c r="AH52"/>
  <c r="AE52"/>
  <c r="J53"/>
  <c r="AF53"/>
  <c r="X53"/>
  <c r="Z53" s="1"/>
  <c r="AB53" s="1"/>
  <c r="I52"/>
  <c r="E52"/>
  <c r="A54"/>
  <c r="Y54" s="1"/>
  <c r="B53"/>
  <c r="C54"/>
  <c r="AO54" s="1"/>
  <c r="AP54" s="1"/>
  <c r="D53"/>
  <c r="U49" l="1"/>
  <c r="V49" s="1"/>
  <c r="W49" s="1"/>
  <c r="AS50"/>
  <c r="O51"/>
  <c r="P51" s="1"/>
  <c r="Q51" s="1"/>
  <c r="R51" s="1"/>
  <c r="S51" s="1"/>
  <c r="T51" s="1"/>
  <c r="L53"/>
  <c r="AL53"/>
  <c r="K52"/>
  <c r="AK54"/>
  <c r="AR51"/>
  <c r="R50"/>
  <c r="S50" s="1"/>
  <c r="T50" s="1"/>
  <c r="AA50" s="1"/>
  <c r="AR50"/>
  <c r="F53"/>
  <c r="H53"/>
  <c r="G52"/>
  <c r="X54"/>
  <c r="Z54" s="1"/>
  <c r="AB54" s="1"/>
  <c r="J54"/>
  <c r="AF54"/>
  <c r="AH53"/>
  <c r="AE53"/>
  <c r="X55"/>
  <c r="L54"/>
  <c r="C55"/>
  <c r="AO55" s="1"/>
  <c r="AP55" s="1"/>
  <c r="D54"/>
  <c r="I53"/>
  <c r="E53"/>
  <c r="A55"/>
  <c r="B54"/>
  <c r="AS51" l="1"/>
  <c r="AP56"/>
  <c r="AK55"/>
  <c r="K53"/>
  <c r="U50"/>
  <c r="V50" s="1"/>
  <c r="W50" s="1"/>
  <c r="O52"/>
  <c r="P52" s="1"/>
  <c r="Q52" s="1"/>
  <c r="M52"/>
  <c r="N52" s="1"/>
  <c r="AH54"/>
  <c r="AE54"/>
  <c r="J55"/>
  <c r="AF55"/>
  <c r="AE55" s="1"/>
  <c r="Y55"/>
  <c r="F54"/>
  <c r="H54"/>
  <c r="G53"/>
  <c r="L55"/>
  <c r="U51"/>
  <c r="V51" s="1"/>
  <c r="W51" s="1"/>
  <c r="AA51"/>
  <c r="C56"/>
  <c r="AO56" s="1"/>
  <c r="D55"/>
  <c r="A56"/>
  <c r="X56" s="1"/>
  <c r="B55"/>
  <c r="I54"/>
  <c r="K54" s="1"/>
  <c r="E54"/>
  <c r="AS52" l="1"/>
  <c r="AK56"/>
  <c r="AH55"/>
  <c r="AL54"/>
  <c r="R52"/>
  <c r="S52" s="1"/>
  <c r="AR52"/>
  <c r="M53"/>
  <c r="N53" s="1"/>
  <c r="O53"/>
  <c r="P53" s="1"/>
  <c r="Q53" s="1"/>
  <c r="Y56"/>
  <c r="F55"/>
  <c r="H55"/>
  <c r="J56"/>
  <c r="AF56"/>
  <c r="AE56" s="1"/>
  <c r="Z55"/>
  <c r="AB55" s="1"/>
  <c r="L56"/>
  <c r="C57"/>
  <c r="D56"/>
  <c r="I55"/>
  <c r="K55" s="1"/>
  <c r="E55"/>
  <c r="A57"/>
  <c r="X57" s="1"/>
  <c r="B56"/>
  <c r="G54"/>
  <c r="D57" l="1"/>
  <c r="H57" s="1"/>
  <c r="AO57"/>
  <c r="Y57"/>
  <c r="Z57" s="1"/>
  <c r="AK57"/>
  <c r="AK58" s="1"/>
  <c r="Z56"/>
  <c r="AB56" s="1"/>
  <c r="AL55"/>
  <c r="AL56" s="1"/>
  <c r="AL57" s="1"/>
  <c r="R53"/>
  <c r="S53" s="1"/>
  <c r="T53" s="1"/>
  <c r="AA53" s="1"/>
  <c r="AR53"/>
  <c r="AS53" s="1"/>
  <c r="T52"/>
  <c r="AA52" s="1"/>
  <c r="M54"/>
  <c r="N54" s="1"/>
  <c r="O54"/>
  <c r="P54" s="1"/>
  <c r="Q54" s="1"/>
  <c r="R54" s="1"/>
  <c r="S54" s="1"/>
  <c r="T54" s="1"/>
  <c r="AA54" s="1"/>
  <c r="H56"/>
  <c r="F56"/>
  <c r="J57"/>
  <c r="AF57"/>
  <c r="F57"/>
  <c r="AH56"/>
  <c r="L57"/>
  <c r="E57"/>
  <c r="A58"/>
  <c r="B57"/>
  <c r="I56"/>
  <c r="K56" s="1"/>
  <c r="E56"/>
  <c r="G55"/>
  <c r="I57" l="1"/>
  <c r="AS54"/>
  <c r="AB57"/>
  <c r="Z58"/>
  <c r="AM58"/>
  <c r="AL58"/>
  <c r="AO58"/>
  <c r="AP57"/>
  <c r="AE57"/>
  <c r="AF58"/>
  <c r="AR54"/>
  <c r="U52"/>
  <c r="V52" s="1"/>
  <c r="W52" s="1"/>
  <c r="O55"/>
  <c r="P55" s="1"/>
  <c r="Q55" s="1"/>
  <c r="R55" s="1"/>
  <c r="M55"/>
  <c r="N55" s="1"/>
  <c r="U53"/>
  <c r="V53" s="1"/>
  <c r="W53" s="1"/>
  <c r="G56"/>
  <c r="AH57"/>
  <c r="AI58" s="1"/>
  <c r="K57"/>
  <c r="U54"/>
  <c r="V54" s="1"/>
  <c r="W54" s="1"/>
  <c r="A59"/>
  <c r="B58"/>
  <c r="G57"/>
  <c r="AO60" l="1"/>
  <c r="AS55"/>
  <c r="AW58"/>
  <c r="AQ58"/>
  <c r="AP58"/>
  <c r="AZ58"/>
  <c r="BA58" s="1"/>
  <c r="AM59"/>
  <c r="AN58"/>
  <c r="AT58"/>
  <c r="AB58"/>
  <c r="AL59"/>
  <c r="AR55"/>
  <c r="S55"/>
  <c r="T55" s="1"/>
  <c r="O57"/>
  <c r="P57" s="1"/>
  <c r="Q57" s="1"/>
  <c r="M57"/>
  <c r="N57" s="1"/>
  <c r="M56"/>
  <c r="N56" s="1"/>
  <c r="O56"/>
  <c r="P56" s="1"/>
  <c r="Q56" s="1"/>
  <c r="AH58"/>
  <c r="AJ58"/>
  <c r="AI59"/>
  <c r="AW59" s="1"/>
  <c r="AX59" s="1"/>
  <c r="AD58"/>
  <c r="AC59"/>
  <c r="A60"/>
  <c r="B59"/>
  <c r="AB59" l="1"/>
  <c r="AT59"/>
  <c r="AU59" s="1"/>
  <c r="AV59" s="1"/>
  <c r="AZ59"/>
  <c r="BA59" s="1"/>
  <c r="AM60"/>
  <c r="AN59"/>
  <c r="AQ59"/>
  <c r="BC58"/>
  <c r="AU58"/>
  <c r="AX58"/>
  <c r="AL60"/>
  <c r="AR56"/>
  <c r="AS56" s="1"/>
  <c r="R56"/>
  <c r="S56" s="1"/>
  <c r="T56" s="1"/>
  <c r="R57"/>
  <c r="S57" s="1"/>
  <c r="T57" s="1"/>
  <c r="AA57" s="1"/>
  <c r="AR57"/>
  <c r="AH59"/>
  <c r="AI60"/>
  <c r="AW60" s="1"/>
  <c r="AX60" s="1"/>
  <c r="AJ59"/>
  <c r="AD59"/>
  <c r="AC60"/>
  <c r="AT60" s="1"/>
  <c r="AU60" s="1"/>
  <c r="AV60" s="1"/>
  <c r="U55"/>
  <c r="V55" s="1"/>
  <c r="W55" s="1"/>
  <c r="AA55"/>
  <c r="A61"/>
  <c r="B60"/>
  <c r="AS57" l="1"/>
  <c r="AR58"/>
  <c r="AQ60"/>
  <c r="AR59"/>
  <c r="BC59"/>
  <c r="BD59" s="1"/>
  <c r="BE59" s="1"/>
  <c r="AV58"/>
  <c r="D13" s="1"/>
  <c r="AL61"/>
  <c r="AP59"/>
  <c r="AZ60"/>
  <c r="AM61"/>
  <c r="AN60"/>
  <c r="BD58"/>
  <c r="BE58" s="1"/>
  <c r="G13" s="1"/>
  <c r="U57"/>
  <c r="V57" s="1"/>
  <c r="W57" s="1"/>
  <c r="AI61"/>
  <c r="AW61" s="1"/>
  <c r="AX61" s="1"/>
  <c r="AJ60"/>
  <c r="AH60"/>
  <c r="AC61"/>
  <c r="AT61" s="1"/>
  <c r="AD60"/>
  <c r="AB60"/>
  <c r="U56"/>
  <c r="V56" s="1"/>
  <c r="W56" s="1"/>
  <c r="AA56"/>
  <c r="AA58" s="1"/>
  <c r="A62"/>
  <c r="B61"/>
  <c r="AP60" l="1"/>
  <c r="AR60"/>
  <c r="AQ61"/>
  <c r="BC60"/>
  <c r="BD60" s="1"/>
  <c r="BE60" s="1"/>
  <c r="AU61"/>
  <c r="AV61" s="1"/>
  <c r="BA60"/>
  <c r="AZ61"/>
  <c r="BA61" s="1"/>
  <c r="AN61"/>
  <c r="AM62"/>
  <c r="B12"/>
  <c r="B13" s="1"/>
  <c r="C12"/>
  <c r="C13" s="1"/>
  <c r="AI62"/>
  <c r="AW62" s="1"/>
  <c r="AX62" s="1"/>
  <c r="AJ61"/>
  <c r="AH61"/>
  <c r="AC62"/>
  <c r="AT62" s="1"/>
  <c r="AU62" s="1"/>
  <c r="AV62" s="1"/>
  <c r="AD61"/>
  <c r="AB61"/>
  <c r="A63"/>
  <c r="B62"/>
  <c r="AP61" l="1"/>
  <c r="AZ62"/>
  <c r="AN62"/>
  <c r="AM63"/>
  <c r="AQ62"/>
  <c r="AR61"/>
  <c r="BC61"/>
  <c r="AL62"/>
  <c r="AL63" s="1"/>
  <c r="AH62"/>
  <c r="AH63" s="1"/>
  <c r="AI63"/>
  <c r="AW63" s="1"/>
  <c r="AX63" s="1"/>
  <c r="AJ62"/>
  <c r="AC63"/>
  <c r="AT63" s="1"/>
  <c r="AU63" s="1"/>
  <c r="AV63" s="1"/>
  <c r="AD62"/>
  <c r="AB62"/>
  <c r="A64"/>
  <c r="B63"/>
  <c r="BA62" l="1"/>
  <c r="BD61"/>
  <c r="BE61" s="1"/>
  <c r="AZ63"/>
  <c r="BA63" s="1"/>
  <c r="AN63"/>
  <c r="AM64"/>
  <c r="AP62"/>
  <c r="AQ63"/>
  <c r="AR62"/>
  <c r="BC62"/>
  <c r="BD62" s="1"/>
  <c r="BE62" s="1"/>
  <c r="AL64"/>
  <c r="AH64"/>
  <c r="AI64"/>
  <c r="AW64" s="1"/>
  <c r="AX64" s="1"/>
  <c r="AJ63"/>
  <c r="AB63"/>
  <c r="AC64"/>
  <c r="AT64" s="1"/>
  <c r="AU64" s="1"/>
  <c r="AV64" s="1"/>
  <c r="AD63"/>
  <c r="A65"/>
  <c r="B64"/>
  <c r="AR63" l="1"/>
  <c r="AQ64"/>
  <c r="BC63"/>
  <c r="AZ64"/>
  <c r="BA64" s="1"/>
  <c r="AM65"/>
  <c r="AN64"/>
  <c r="AP63"/>
  <c r="AI65"/>
  <c r="AJ64"/>
  <c r="AB64"/>
  <c r="AC65"/>
  <c r="AD64"/>
  <c r="A66"/>
  <c r="B65"/>
  <c r="AP64" l="1"/>
  <c r="AZ65"/>
  <c r="BA65"/>
  <c r="AN65"/>
  <c r="AM66"/>
  <c r="AW65"/>
  <c r="AX65"/>
  <c r="AR64"/>
  <c r="AQ65"/>
  <c r="BC64"/>
  <c r="BD64" s="1"/>
  <c r="BE64" s="1"/>
  <c r="BD63"/>
  <c r="BE63" s="1"/>
  <c r="AT65"/>
  <c r="AU65" s="1"/>
  <c r="AV65" s="1"/>
  <c r="AL65"/>
  <c r="AI66"/>
  <c r="AW66" s="1"/>
  <c r="AX66" s="1"/>
  <c r="AJ65"/>
  <c r="AH65"/>
  <c r="AB65"/>
  <c r="AC66"/>
  <c r="AD65"/>
  <c r="A67"/>
  <c r="B66"/>
  <c r="AP65" l="1"/>
  <c r="AP66" s="1"/>
  <c r="AB66"/>
  <c r="AT66"/>
  <c r="AU66" s="1"/>
  <c r="AV66" s="1"/>
  <c r="AQ66"/>
  <c r="AR65"/>
  <c r="BC65"/>
  <c r="BD65" s="1"/>
  <c r="BE65" s="1"/>
  <c r="AL66"/>
  <c r="AZ66"/>
  <c r="BA66" s="1"/>
  <c r="AN66"/>
  <c r="AM67"/>
  <c r="AI67"/>
  <c r="AW67" s="1"/>
  <c r="AX67" s="1"/>
  <c r="AJ66"/>
  <c r="AH66"/>
  <c r="AC67"/>
  <c r="AD66"/>
  <c r="A68"/>
  <c r="B67"/>
  <c r="AL67" l="1"/>
  <c r="AZ67"/>
  <c r="BA67" s="1"/>
  <c r="AM68"/>
  <c r="AN67"/>
  <c r="AB67"/>
  <c r="AT67"/>
  <c r="AU67" s="1"/>
  <c r="AV67" s="1"/>
  <c r="AR66"/>
  <c r="AQ67"/>
  <c r="BC66"/>
  <c r="BD66" s="1"/>
  <c r="BE66" s="1"/>
  <c r="AP67"/>
  <c r="AI68"/>
  <c r="AW68" s="1"/>
  <c r="AX68" s="1"/>
  <c r="AJ67"/>
  <c r="AH67"/>
  <c r="AC68"/>
  <c r="AD67"/>
  <c r="A69"/>
  <c r="B68"/>
  <c r="AB68" l="1"/>
  <c r="AT68"/>
  <c r="AU68" s="1"/>
  <c r="AV68" s="1"/>
  <c r="AL68"/>
  <c r="AZ68"/>
  <c r="BA68" s="1"/>
  <c r="AN68"/>
  <c r="AM69"/>
  <c r="AR67"/>
  <c r="AQ68"/>
  <c r="BC67"/>
  <c r="BD67" s="1"/>
  <c r="BE67" s="1"/>
  <c r="AP68"/>
  <c r="AI69"/>
  <c r="AJ68"/>
  <c r="AH68"/>
  <c r="AC69"/>
  <c r="AT69" s="1"/>
  <c r="AU69" s="1"/>
  <c r="AV69" s="1"/>
  <c r="AD68"/>
  <c r="A70"/>
  <c r="B69"/>
  <c r="AQ69" l="1"/>
  <c r="AR68"/>
  <c r="BC68"/>
  <c r="BD68" s="1"/>
  <c r="BE68" s="1"/>
  <c r="AL69"/>
  <c r="AZ69"/>
  <c r="BA69" s="1"/>
  <c r="AN69"/>
  <c r="AM70"/>
  <c r="AW69"/>
  <c r="AX69" s="1"/>
  <c r="AI70"/>
  <c r="AJ69"/>
  <c r="AH69"/>
  <c r="AC70"/>
  <c r="AD69"/>
  <c r="AB69"/>
  <c r="A71"/>
  <c r="B70"/>
  <c r="AW70" l="1"/>
  <c r="AX70" s="1"/>
  <c r="AL70"/>
  <c r="AZ70"/>
  <c r="BA70"/>
  <c r="AN70"/>
  <c r="AM71"/>
  <c r="AR69"/>
  <c r="AQ70"/>
  <c r="BC69"/>
  <c r="BD69" s="1"/>
  <c r="BE69" s="1"/>
  <c r="AT70"/>
  <c r="AU70" s="1"/>
  <c r="AV70" s="1"/>
  <c r="AP69"/>
  <c r="AP70" s="1"/>
  <c r="AI71"/>
  <c r="AW71" s="1"/>
  <c r="AX71" s="1"/>
  <c r="AJ70"/>
  <c r="AH70"/>
  <c r="AB70"/>
  <c r="AC71"/>
  <c r="AT71" s="1"/>
  <c r="AU71" s="1"/>
  <c r="AV71" s="1"/>
  <c r="AD70"/>
  <c r="A72"/>
  <c r="B71"/>
  <c r="AR70" l="1"/>
  <c r="AQ71"/>
  <c r="BC70"/>
  <c r="BD70" s="1"/>
  <c r="BE70" s="1"/>
  <c r="AL71"/>
  <c r="AL72" s="1"/>
  <c r="AZ71"/>
  <c r="BA71" s="1"/>
  <c r="AM72"/>
  <c r="AN71"/>
  <c r="AP71"/>
  <c r="AI72"/>
  <c r="AW72" s="1"/>
  <c r="AX72" s="1"/>
  <c r="AJ71"/>
  <c r="AH71"/>
  <c r="AB71"/>
  <c r="AC72"/>
  <c r="AD71"/>
  <c r="A73"/>
  <c r="B72"/>
  <c r="AT72" l="1"/>
  <c r="AU72" s="1"/>
  <c r="AV72" s="1"/>
  <c r="AQ72"/>
  <c r="AP72" s="1"/>
  <c r="AR71"/>
  <c r="BC71"/>
  <c r="BD71" s="1"/>
  <c r="BE71" s="1"/>
  <c r="AZ72"/>
  <c r="BA72" s="1"/>
  <c r="AN72"/>
  <c r="AM73"/>
  <c r="AI73"/>
  <c r="AW73" s="1"/>
  <c r="AX73" s="1"/>
  <c r="AJ72"/>
  <c r="AH72"/>
  <c r="AC73"/>
  <c r="AT73" s="1"/>
  <c r="AU73" s="1"/>
  <c r="AV73" s="1"/>
  <c r="AD72"/>
  <c r="AB72"/>
  <c r="A74"/>
  <c r="B73"/>
  <c r="AP73" l="1"/>
  <c r="AR72"/>
  <c r="AQ73"/>
  <c r="BC72"/>
  <c r="BD72"/>
  <c r="BE72" s="1"/>
  <c r="AL73"/>
  <c r="AZ73"/>
  <c r="BA73" s="1"/>
  <c r="AM74"/>
  <c r="AN73"/>
  <c r="AI74"/>
  <c r="AW74" s="1"/>
  <c r="AX74" s="1"/>
  <c r="AJ73"/>
  <c r="AH73"/>
  <c r="AB73"/>
  <c r="AC74"/>
  <c r="AT74" s="1"/>
  <c r="AU74" s="1"/>
  <c r="AV74" s="1"/>
  <c r="AD73"/>
  <c r="A75"/>
  <c r="B74"/>
  <c r="AQ74" l="1"/>
  <c r="AP74" s="1"/>
  <c r="AR73"/>
  <c r="BC73"/>
  <c r="BD73" s="1"/>
  <c r="BE73" s="1"/>
  <c r="AL74"/>
  <c r="AZ74"/>
  <c r="BA74" s="1"/>
  <c r="AN74"/>
  <c r="AM75"/>
  <c r="AI75"/>
  <c r="AW75" s="1"/>
  <c r="AX75" s="1"/>
  <c r="AJ74"/>
  <c r="AH74"/>
  <c r="AB74"/>
  <c r="AC75"/>
  <c r="AD74"/>
  <c r="A76"/>
  <c r="B75"/>
  <c r="AB75" l="1"/>
  <c r="AT75"/>
  <c r="AU75" s="1"/>
  <c r="AV75" s="1"/>
  <c r="AQ75"/>
  <c r="AP75" s="1"/>
  <c r="AR74"/>
  <c r="BC74"/>
  <c r="BD74" s="1"/>
  <c r="BE74" s="1"/>
  <c r="AL75"/>
  <c r="AZ75"/>
  <c r="BA75" s="1"/>
  <c r="AN75"/>
  <c r="AM76"/>
  <c r="AI76"/>
  <c r="AW76" s="1"/>
  <c r="AX76" s="1"/>
  <c r="AJ75"/>
  <c r="AH75"/>
  <c r="AC76"/>
  <c r="AT76" s="1"/>
  <c r="AU76" s="1"/>
  <c r="AV76" s="1"/>
  <c r="AD75"/>
  <c r="A77"/>
  <c r="B76"/>
  <c r="AP76" l="1"/>
  <c r="AL76"/>
  <c r="AZ76"/>
  <c r="BA76" s="1"/>
  <c r="AM77"/>
  <c r="AN76"/>
  <c r="AR75"/>
  <c r="AQ76"/>
  <c r="BC75"/>
  <c r="BD75" s="1"/>
  <c r="BE75" s="1"/>
  <c r="AI77"/>
  <c r="AW77" s="1"/>
  <c r="AX77" s="1"/>
  <c r="AJ76"/>
  <c r="AH76"/>
  <c r="AC77"/>
  <c r="AT77" s="1"/>
  <c r="AU77" s="1"/>
  <c r="AV77" s="1"/>
  <c r="AD76"/>
  <c r="AB76"/>
  <c r="A78"/>
  <c r="B77"/>
  <c r="AR76" l="1"/>
  <c r="AQ77"/>
  <c r="BC76"/>
  <c r="BD76" s="1"/>
  <c r="BE76" s="1"/>
  <c r="AL77"/>
  <c r="AZ77"/>
  <c r="BA77" s="1"/>
  <c r="AN77"/>
  <c r="AM78"/>
  <c r="AI78"/>
  <c r="AW78" s="1"/>
  <c r="AX78" s="1"/>
  <c r="AJ77"/>
  <c r="AH77"/>
  <c r="AB77"/>
  <c r="AC78"/>
  <c r="AT78" s="1"/>
  <c r="AU78" s="1"/>
  <c r="AV78" s="1"/>
  <c r="AD77"/>
  <c r="A79"/>
  <c r="B78"/>
  <c r="AQ78" l="1"/>
  <c r="AR77"/>
  <c r="BC77"/>
  <c r="BD77" s="1"/>
  <c r="BE77" s="1"/>
  <c r="AZ78"/>
  <c r="BA78" s="1"/>
  <c r="AN78"/>
  <c r="AM79"/>
  <c r="AP77"/>
  <c r="AL78"/>
  <c r="AH78"/>
  <c r="AH79" s="1"/>
  <c r="AI79"/>
  <c r="AW79" s="1"/>
  <c r="AX79" s="1"/>
  <c r="AJ78"/>
  <c r="AB78"/>
  <c r="AC79"/>
  <c r="AT79" s="1"/>
  <c r="AU79" s="1"/>
  <c r="AV79" s="1"/>
  <c r="AD78"/>
  <c r="A80"/>
  <c r="B79"/>
  <c r="AQ79" l="1"/>
  <c r="AR78"/>
  <c r="BC78"/>
  <c r="BD78" s="1"/>
  <c r="BE78" s="1"/>
  <c r="AZ79"/>
  <c r="BA79" s="1"/>
  <c r="AM80"/>
  <c r="AN79"/>
  <c r="AP78"/>
  <c r="AL79"/>
  <c r="AH80"/>
  <c r="AI80"/>
  <c r="AW80" s="1"/>
  <c r="AX80" s="1"/>
  <c r="AJ79"/>
  <c r="AC80"/>
  <c r="AT80" s="1"/>
  <c r="AU80" s="1"/>
  <c r="AV80" s="1"/>
  <c r="AD79"/>
  <c r="AB79"/>
  <c r="A81"/>
  <c r="B80"/>
  <c r="AZ80" l="1"/>
  <c r="BA80" s="1"/>
  <c r="AM81"/>
  <c r="AN80"/>
  <c r="AQ80"/>
  <c r="AR79"/>
  <c r="BC79"/>
  <c r="BD79" s="1"/>
  <c r="BE79" s="1"/>
  <c r="AP79"/>
  <c r="AL80"/>
  <c r="AI81"/>
  <c r="AW81" s="1"/>
  <c r="AX81" s="1"/>
  <c r="AJ80"/>
  <c r="AB80"/>
  <c r="AC81"/>
  <c r="AT81" s="1"/>
  <c r="AU81" s="1"/>
  <c r="AV81" s="1"/>
  <c r="AD80"/>
  <c r="A82"/>
  <c r="B81"/>
  <c r="AP80" l="1"/>
  <c r="AM82"/>
  <c r="AZ81"/>
  <c r="BA81" s="1"/>
  <c r="AL81"/>
  <c r="AQ81"/>
  <c r="AR80"/>
  <c r="BC80"/>
  <c r="BD80" s="1"/>
  <c r="BE80" s="1"/>
  <c r="AI82"/>
  <c r="AW82" s="1"/>
  <c r="AX82" s="1"/>
  <c r="AJ81"/>
  <c r="AH81"/>
  <c r="AB81"/>
  <c r="AC82"/>
  <c r="AT82" s="1"/>
  <c r="AU82" s="1"/>
  <c r="AV82" s="1"/>
  <c r="AD81"/>
  <c r="A83"/>
  <c r="B82"/>
  <c r="AP81" l="1"/>
  <c r="AM83"/>
  <c r="AZ82"/>
  <c r="BA82" s="1"/>
  <c r="AL82"/>
  <c r="AQ82"/>
  <c r="BC81"/>
  <c r="BD81" s="1"/>
  <c r="BE81" s="1"/>
  <c r="AH82"/>
  <c r="AH83" s="1"/>
  <c r="AI83"/>
  <c r="AW83" s="1"/>
  <c r="AX83" s="1"/>
  <c r="AJ82"/>
  <c r="AB82"/>
  <c r="AC83"/>
  <c r="AT83" s="1"/>
  <c r="AU83" s="1"/>
  <c r="AV83" s="1"/>
  <c r="AD82"/>
  <c r="A84"/>
  <c r="B83"/>
  <c r="AM84" l="1"/>
  <c r="AZ83"/>
  <c r="BA83" s="1"/>
  <c r="AQ83"/>
  <c r="BC82"/>
  <c r="BD82" s="1"/>
  <c r="BE82" s="1"/>
  <c r="AL83"/>
  <c r="AL84" s="1"/>
  <c r="AP82"/>
  <c r="AP83" s="1"/>
  <c r="AI84"/>
  <c r="AW84" s="1"/>
  <c r="AX84" s="1"/>
  <c r="AJ83"/>
  <c r="AC84"/>
  <c r="AT84" s="1"/>
  <c r="AU84" s="1"/>
  <c r="AV84" s="1"/>
  <c r="AD83"/>
  <c r="AB83"/>
  <c r="A85"/>
  <c r="B84"/>
  <c r="AM85" l="1"/>
  <c r="AZ84"/>
  <c r="BA84" s="1"/>
  <c r="AQ84"/>
  <c r="BC83"/>
  <c r="BD83" s="1"/>
  <c r="BE83" s="1"/>
  <c r="AL85"/>
  <c r="AP84"/>
  <c r="AH84"/>
  <c r="AH85" s="1"/>
  <c r="AI85"/>
  <c r="AW85" s="1"/>
  <c r="AX85" s="1"/>
  <c r="AJ84"/>
  <c r="AC85"/>
  <c r="AT85" s="1"/>
  <c r="AU85" s="1"/>
  <c r="AV85" s="1"/>
  <c r="AD84"/>
  <c r="AB84"/>
  <c r="A86"/>
  <c r="B85"/>
  <c r="AQ85" l="1"/>
  <c r="BC84"/>
  <c r="BD84" s="1"/>
  <c r="BE84" s="1"/>
  <c r="AM86"/>
  <c r="AZ85"/>
  <c r="BA85" s="1"/>
  <c r="AP85"/>
  <c r="AL86"/>
  <c r="AI86"/>
  <c r="AW86" s="1"/>
  <c r="AX86" s="1"/>
  <c r="AJ85"/>
  <c r="AC86"/>
  <c r="AT86" s="1"/>
  <c r="AU86" s="1"/>
  <c r="AV86" s="1"/>
  <c r="AD85"/>
  <c r="AB85"/>
  <c r="A87"/>
  <c r="B86"/>
  <c r="AM87" l="1"/>
  <c r="AZ86"/>
  <c r="BA86" s="1"/>
  <c r="AQ86"/>
  <c r="BC85"/>
  <c r="BD85" s="1"/>
  <c r="BE85" s="1"/>
  <c r="AL87"/>
  <c r="AP86"/>
  <c r="AI87"/>
  <c r="AJ86"/>
  <c r="AH86"/>
  <c r="AC87"/>
  <c r="AD86"/>
  <c r="AB86"/>
  <c r="A88"/>
  <c r="B87"/>
  <c r="AQ87" l="1"/>
  <c r="AP87" s="1"/>
  <c r="BC86"/>
  <c r="BD86" s="1"/>
  <c r="BE86" s="1"/>
  <c r="AM88"/>
  <c r="AL88"/>
  <c r="AI88"/>
  <c r="AJ87"/>
  <c r="AH87"/>
  <c r="AC88"/>
  <c r="AD87"/>
  <c r="AB87"/>
  <c r="A89"/>
  <c r="B88"/>
  <c r="AM89" l="1"/>
  <c r="AQ88"/>
  <c r="AL89"/>
  <c r="AP88"/>
  <c r="AI89"/>
  <c r="AJ88"/>
  <c r="AH88"/>
  <c r="AC89"/>
  <c r="AD88"/>
  <c r="AB88"/>
  <c r="A90"/>
  <c r="B89"/>
  <c r="AT56" l="1"/>
  <c r="AW56"/>
  <c r="AQ89"/>
  <c r="AM90"/>
  <c r="AM91" s="1"/>
  <c r="AZ56"/>
  <c r="AP89"/>
  <c r="AL90"/>
  <c r="AL91" s="1"/>
  <c r="AI90"/>
  <c r="AJ89"/>
  <c r="AH89"/>
  <c r="AB89"/>
  <c r="AC90"/>
  <c r="AC91" s="1"/>
  <c r="AD89"/>
  <c r="A91"/>
  <c r="B90"/>
  <c r="BC56" l="1"/>
  <c r="AI91"/>
  <c r="AJ90"/>
  <c r="AH90"/>
  <c r="AB90"/>
  <c r="AB91" s="1"/>
  <c r="A92"/>
  <c r="B91"/>
  <c r="AJ91" l="1"/>
  <c r="AH91"/>
  <c r="A93"/>
  <c r="B93" s="1"/>
  <c r="B92"/>
</calcChain>
</file>

<file path=xl/sharedStrings.xml><?xml version="1.0" encoding="utf-8"?>
<sst xmlns="http://schemas.openxmlformats.org/spreadsheetml/2006/main" count="180" uniqueCount="109">
  <si>
    <t>Krankenversicherung:</t>
  </si>
  <si>
    <t>Pflegeversicherung:</t>
  </si>
  <si>
    <t>Ges. RV</t>
  </si>
  <si>
    <t>Kirchensteuer</t>
  </si>
  <si>
    <t>von der Einkommenssteuer</t>
  </si>
  <si>
    <t>voll absetzbar</t>
  </si>
  <si>
    <t>Soli</t>
  </si>
  <si>
    <t>nicht absetzbar</t>
  </si>
  <si>
    <t>Arbeitslosenversicherung</t>
  </si>
  <si>
    <t>Sonderausgaben, aber Krankenversicherung schon zu hoch</t>
  </si>
  <si>
    <t>private Rente:</t>
  </si>
  <si>
    <t>17% der monatlichen Rente sind mit persönlichem Steuersatz zu versteuern</t>
  </si>
  <si>
    <t xml:space="preserve">private Rente Kapital: </t>
  </si>
  <si>
    <t>50% der Erträge (Zinsgewinne) sind mit persönlichem Steuersatz zu versteuern</t>
  </si>
  <si>
    <t>Jahr</t>
  </si>
  <si>
    <t>Alter</t>
  </si>
  <si>
    <t>Geburtsjahr:</t>
  </si>
  <si>
    <t>Startgehalt:</t>
  </si>
  <si>
    <t>Startjahr:</t>
  </si>
  <si>
    <t>Gehaltssteigerung:</t>
  </si>
  <si>
    <t>Inflation:</t>
  </si>
  <si>
    <t>Gehalt</t>
  </si>
  <si>
    <t>KK Beitrag</t>
  </si>
  <si>
    <t xml:space="preserve">Beitragsbemessungsgrenze: </t>
  </si>
  <si>
    <t>pro Monat</t>
  </si>
  <si>
    <t>inkl. Pflegeversicherung</t>
  </si>
  <si>
    <t>Pflege Beitrag</t>
  </si>
  <si>
    <t>Monatsgehalt</t>
  </si>
  <si>
    <t>KK+Pflege absetzbar</t>
  </si>
  <si>
    <t>absetzbar</t>
  </si>
  <si>
    <t>Steigerung</t>
  </si>
  <si>
    <t>RV absetzbar zu</t>
  </si>
  <si>
    <t>Ges. RV absetzbar</t>
  </si>
  <si>
    <t>Rürup Beiträge</t>
  </si>
  <si>
    <t>Arbeitslosenvers.</t>
  </si>
  <si>
    <t>Werbungskostenpauschale:</t>
  </si>
  <si>
    <t>zvE</t>
  </si>
  <si>
    <t>Beitragszuschlag</t>
  </si>
  <si>
    <t>Sonderausgaben</t>
  </si>
  <si>
    <t>Ø-Steuersatz</t>
  </si>
  <si>
    <t>Ek-Steuer</t>
  </si>
  <si>
    <t>zvE o. Kirche</t>
  </si>
  <si>
    <t>Ø-Steuersatz o. Kirche</t>
  </si>
  <si>
    <t>Ek-Steuer o. Kirche</t>
  </si>
  <si>
    <t>Netto</t>
  </si>
  <si>
    <t>AL + BUZ</t>
  </si>
  <si>
    <t>AL BUZ</t>
  </si>
  <si>
    <t>Dynamik</t>
  </si>
  <si>
    <t>alle Jahre</t>
  </si>
  <si>
    <t>Steuerersparnis AL</t>
  </si>
  <si>
    <t>Kapital AL</t>
  </si>
  <si>
    <t>Zinssatz</t>
  </si>
  <si>
    <t>Kosten AL</t>
  </si>
  <si>
    <t>Abschlusskosten</t>
  </si>
  <si>
    <t>Zillmerung auf Jahre</t>
  </si>
  <si>
    <t>Laufzeit</t>
  </si>
  <si>
    <t>Zinsfaktor</t>
  </si>
  <si>
    <t>Abschlusskosten %</t>
  </si>
  <si>
    <t>Abschlusskosten gezillmert</t>
  </si>
  <si>
    <t>Fixkosten</t>
  </si>
  <si>
    <t>Guthabenkosten</t>
  </si>
  <si>
    <t>AL RV</t>
  </si>
  <si>
    <t>laufende K.</t>
  </si>
  <si>
    <t>AA</t>
  </si>
  <si>
    <t>Rente lauf K.</t>
  </si>
  <si>
    <t>AL Rente/Monat</t>
  </si>
  <si>
    <t>AL Rente inflbr.</t>
  </si>
  <si>
    <t>DEBEKA + BUZ</t>
  </si>
  <si>
    <t>Dynamik BUZ</t>
  </si>
  <si>
    <t>Dynamik RV</t>
  </si>
  <si>
    <t>Fix K.</t>
  </si>
  <si>
    <t>DEBEKA LV</t>
  </si>
  <si>
    <t>DEBEKA BUZ</t>
  </si>
  <si>
    <t>Kapital DEBEKA</t>
  </si>
  <si>
    <t>Kosten DEBEKA</t>
  </si>
  <si>
    <t>Rente DEBEKA /Monat</t>
  </si>
  <si>
    <t>D. R. inflbr.</t>
  </si>
  <si>
    <t>Rentensteigerung:</t>
  </si>
  <si>
    <t>Benötigte 
Brutto Rente</t>
  </si>
  <si>
    <t>Rentenlücke:</t>
  </si>
  <si>
    <t>Kosten SL</t>
  </si>
  <si>
    <t>SL RV</t>
  </si>
  <si>
    <t>Kapital SL</t>
  </si>
  <si>
    <t>Kosten Allianz</t>
  </si>
  <si>
    <t>Allianz Riester</t>
  </si>
  <si>
    <t>Kapital Allianz</t>
  </si>
  <si>
    <t>A Steuerersparn.</t>
  </si>
  <si>
    <t>Netto AL Mo</t>
  </si>
  <si>
    <t>Netto D Mo</t>
  </si>
  <si>
    <t>Netto SL Mo</t>
  </si>
  <si>
    <t>Netto A Mo</t>
  </si>
  <si>
    <t>AL</t>
  </si>
  <si>
    <t>Debeka</t>
  </si>
  <si>
    <t>SL</t>
  </si>
  <si>
    <t>Allianz</t>
  </si>
  <si>
    <t>Netto AL inflbr</t>
  </si>
  <si>
    <t>Netto D inflbr</t>
  </si>
  <si>
    <t>Netto SL inflbr</t>
  </si>
  <si>
    <t>Netto A inflbr</t>
  </si>
  <si>
    <t>zvE o. Kirche m. Riester</t>
  </si>
  <si>
    <t>Ø-Steuersatz o. Kirche m. Riester</t>
  </si>
  <si>
    <t>Steuer AL Jahr</t>
  </si>
  <si>
    <t>Steuer Debeka  Jahr</t>
  </si>
  <si>
    <t>Steuer SL  Jahr</t>
  </si>
  <si>
    <t>Steuer Allianz  Jahr</t>
  </si>
  <si>
    <t>Anlage Steuern</t>
  </si>
  <si>
    <t>Quote:</t>
  </si>
  <si>
    <t>Rente</t>
  </si>
  <si>
    <t>AN</t>
  </si>
</sst>
</file>

<file path=xl/styles.xml><?xml version="1.0" encoding="utf-8"?>
<styleSheet xmlns="http://schemas.openxmlformats.org/spreadsheetml/2006/main">
  <numFmts count="2">
    <numFmt numFmtId="164" formatCode="0.000%"/>
    <numFmt numFmtId="169" formatCode="#,##0.00\ &quot;€&quot;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0" fontId="0" fillId="0" borderId="0" xfId="0" applyNumberFormat="1"/>
    <xf numFmtId="9" fontId="0" fillId="0" borderId="0" xfId="0" applyNumberFormat="1"/>
    <xf numFmtId="0" fontId="0" fillId="0" borderId="0" xfId="0" applyNumberFormat="1"/>
    <xf numFmtId="164" fontId="0" fillId="0" borderId="0" xfId="0" applyNumberFormat="1"/>
    <xf numFmtId="0" fontId="1" fillId="0" borderId="0" xfId="0" applyNumberFormat="1" applyFont="1"/>
    <xf numFmtId="4" fontId="0" fillId="0" borderId="0" xfId="0" applyNumberFormat="1"/>
    <xf numFmtId="169" fontId="0" fillId="0" borderId="0" xfId="0" applyNumberFormat="1"/>
    <xf numFmtId="9" fontId="1" fillId="0" borderId="0" xfId="0" applyNumberFormat="1" applyFont="1"/>
    <xf numFmtId="169" fontId="1" fillId="0" borderId="0" xfId="0" applyNumberFormat="1" applyFont="1"/>
    <xf numFmtId="10" fontId="2" fillId="0" borderId="0" xfId="0" applyNumberFormat="1" applyFont="1"/>
    <xf numFmtId="169" fontId="2" fillId="0" borderId="0" xfId="0" applyNumberFormat="1" applyFont="1"/>
    <xf numFmtId="0" fontId="0" fillId="0" borderId="1" xfId="0" applyNumberFormat="1" applyBorder="1"/>
    <xf numFmtId="169" fontId="0" fillId="0" borderId="1" xfId="0" applyNumberFormat="1" applyBorder="1"/>
    <xf numFmtId="9" fontId="0" fillId="0" borderId="1" xfId="0" applyNumberFormat="1" applyBorder="1"/>
    <xf numFmtId="10" fontId="0" fillId="0" borderId="1" xfId="0" applyNumberFormat="1" applyBorder="1"/>
    <xf numFmtId="169" fontId="0" fillId="0" borderId="0" xfId="0" applyNumberFormat="1" applyFill="1" applyBorder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 vertical="top" wrapText="1"/>
    </xf>
    <xf numFmtId="169" fontId="0" fillId="0" borderId="1" xfId="0" applyNumberFormat="1" applyFill="1" applyBorder="1"/>
    <xf numFmtId="0" fontId="1" fillId="0" borderId="1" xfId="0" applyNumberFormat="1" applyFont="1" applyBorder="1"/>
    <xf numFmtId="169" fontId="0" fillId="0" borderId="0" xfId="0" applyNumberFormat="1" applyBorder="1"/>
    <xf numFmtId="169" fontId="0" fillId="0" borderId="2" xfId="0" applyNumberFormat="1" applyBorder="1"/>
    <xf numFmtId="0" fontId="0" fillId="0" borderId="3" xfId="0" applyNumberFormat="1" applyBorder="1"/>
    <xf numFmtId="9" fontId="0" fillId="0" borderId="0" xfId="0" applyNumberFormat="1" applyBorder="1"/>
    <xf numFmtId="10" fontId="0" fillId="0" borderId="0" xfId="0" applyNumberFormat="1" applyBorder="1"/>
    <xf numFmtId="0" fontId="0" fillId="0" borderId="0" xfId="0" applyNumberFormat="1" applyBorder="1"/>
    <xf numFmtId="9" fontId="0" fillId="0" borderId="3" xfId="0" applyNumberFormat="1" applyBorder="1"/>
    <xf numFmtId="164" fontId="0" fillId="0" borderId="0" xfId="0" applyNumberFormat="1" applyBorder="1"/>
    <xf numFmtId="0" fontId="1" fillId="0" borderId="3" xfId="0" applyNumberFormat="1" applyFont="1" applyBorder="1"/>
    <xf numFmtId="0" fontId="1" fillId="0" borderId="0" xfId="0" applyNumberFormat="1" applyFont="1" applyBorder="1"/>
    <xf numFmtId="169" fontId="0" fillId="0" borderId="3" xfId="0" applyNumberFormat="1" applyBorder="1"/>
    <xf numFmtId="169" fontId="0" fillId="0" borderId="4" xfId="0" applyNumberFormat="1" applyBorder="1"/>
    <xf numFmtId="0" fontId="0" fillId="2" borderId="0" xfId="0" applyNumberFormat="1" applyFill="1" applyBorder="1" applyAlignment="1">
      <alignment horizontal="right"/>
    </xf>
    <xf numFmtId="10" fontId="0" fillId="2" borderId="0" xfId="0" applyNumberFormat="1" applyFill="1" applyBorder="1"/>
    <xf numFmtId="0" fontId="0" fillId="0" borderId="4" xfId="0" applyNumberFormat="1" applyBorder="1"/>
    <xf numFmtId="0" fontId="0" fillId="0" borderId="5" xfId="0" applyNumberFormat="1" applyBorder="1"/>
    <xf numFmtId="9" fontId="0" fillId="0" borderId="6" xfId="0" applyNumberFormat="1" applyBorder="1"/>
    <xf numFmtId="10" fontId="0" fillId="0" borderId="6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0" fillId="0" borderId="8" xfId="0" applyNumberFormat="1" applyBorder="1"/>
    <xf numFmtId="0" fontId="1" fillId="0" borderId="8" xfId="0" applyNumberFormat="1" applyFont="1" applyBorder="1"/>
    <xf numFmtId="0" fontId="0" fillId="0" borderId="9" xfId="0" applyNumberFormat="1" applyBorder="1"/>
    <xf numFmtId="169" fontId="0" fillId="0" borderId="8" xfId="0" applyNumberFormat="1" applyBorder="1"/>
    <xf numFmtId="169" fontId="0" fillId="0" borderId="9" xfId="0" applyNumberFormat="1" applyBorder="1"/>
    <xf numFmtId="0" fontId="0" fillId="2" borderId="3" xfId="0" applyNumberFormat="1" applyFill="1" applyBorder="1" applyAlignment="1">
      <alignment horizontal="right"/>
    </xf>
    <xf numFmtId="10" fontId="0" fillId="2" borderId="3" xfId="0" applyNumberFormat="1" applyFill="1" applyBorder="1"/>
    <xf numFmtId="10" fontId="0" fillId="0" borderId="8" xfId="0" applyNumberFormat="1" applyBorder="1"/>
    <xf numFmtId="9" fontId="0" fillId="0" borderId="8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530"/>
  <sheetViews>
    <sheetView tabSelected="1" workbookViewId="0">
      <selection activeCell="AF10" sqref="AF10"/>
    </sheetView>
  </sheetViews>
  <sheetFormatPr baseColWidth="10" defaultRowHeight="15"/>
  <cols>
    <col min="1" max="1" width="12.28515625" customWidth="1"/>
    <col min="2" max="2" width="9.5703125" style="3" bestFit="1" customWidth="1"/>
    <col min="4" max="4" width="13.28515625" bestFit="1" customWidth="1"/>
    <col min="5" max="5" width="12" customWidth="1"/>
    <col min="6" max="6" width="13.42578125" customWidth="1"/>
    <col min="7" max="7" width="19.140625" customWidth="1"/>
    <col min="8" max="8" width="16.7109375" hidden="1" customWidth="1"/>
    <col min="9" max="9" width="9.5703125" hidden="1" customWidth="1"/>
    <col min="10" max="10" width="14.85546875" style="2" hidden="1" customWidth="1"/>
    <col min="11" max="11" width="17" style="7" hidden="1" customWidth="1"/>
    <col min="12" max="12" width="14.140625" style="7" hidden="1" customWidth="1"/>
    <col min="13" max="13" width="21.7109375" style="2" hidden="1" customWidth="1"/>
    <col min="14" max="14" width="30.42578125" style="1" hidden="1" customWidth="1"/>
    <col min="15" max="15" width="10.5703125" style="2" hidden="1" customWidth="1"/>
    <col min="16" max="16" width="12.42578125" style="1" hidden="1" customWidth="1"/>
    <col min="17" max="17" width="10.5703125" style="7" hidden="1" customWidth="1"/>
    <col min="18" max="18" width="13.42578125" style="7" hidden="1" customWidth="1"/>
    <col min="19" max="19" width="10.5703125" style="7" hidden="1" customWidth="1"/>
    <col min="20" max="20" width="12.42578125" style="1" hidden="1" customWidth="1"/>
    <col min="21" max="21" width="10.5703125" style="7" hidden="1" customWidth="1"/>
    <col min="22" max="22" width="9.5703125" style="7" hidden="1" customWidth="1"/>
    <col min="23" max="23" width="9.5703125" style="7" customWidth="1"/>
    <col min="24" max="24" width="18" bestFit="1" customWidth="1"/>
    <col min="25" max="25" width="9.5703125" bestFit="1" customWidth="1"/>
    <col min="26" max="26" width="11.5703125" customWidth="1"/>
    <col min="27" max="27" width="18" customWidth="1"/>
    <col min="28" max="28" width="11.5703125" bestFit="1" customWidth="1"/>
    <col min="29" max="29" width="15.5703125" bestFit="1" customWidth="1"/>
    <col min="30" max="30" width="14.42578125" customWidth="1"/>
    <col min="31" max="31" width="15.42578125" customWidth="1"/>
    <col min="34" max="34" width="14.28515625" customWidth="1"/>
    <col min="36" max="36" width="10.140625" customWidth="1"/>
    <col min="37" max="38" width="11.5703125" bestFit="1" customWidth="1"/>
    <col min="40" max="40" width="13.7109375" bestFit="1" customWidth="1"/>
    <col min="41" max="41" width="13.28515625" customWidth="1"/>
    <col min="42" max="42" width="13.5703125" bestFit="1" customWidth="1"/>
    <col min="44" max="44" width="15.85546875" bestFit="1" customWidth="1"/>
    <col min="45" max="45" width="14.5703125" bestFit="1" customWidth="1"/>
    <col min="46" max="46" width="10.5703125" bestFit="1" customWidth="1"/>
    <col min="47" max="47" width="12.140625" bestFit="1" customWidth="1"/>
    <col min="48" max="49" width="14" bestFit="1" customWidth="1"/>
    <col min="51" max="51" width="13.140625" bestFit="1" customWidth="1"/>
    <col min="54" max="54" width="13.7109375" bestFit="1" customWidth="1"/>
    <col min="55" max="55" width="13.28515625" bestFit="1" customWidth="1"/>
    <col min="57" max="57" width="13.140625" bestFit="1" customWidth="1"/>
  </cols>
  <sheetData>
    <row r="1" spans="1:45">
      <c r="A1" t="s">
        <v>0</v>
      </c>
      <c r="B1" s="4">
        <v>0.155</v>
      </c>
      <c r="C1" s="4">
        <v>8.2000000000000003E-2</v>
      </c>
      <c r="D1" s="4"/>
      <c r="E1" s="4"/>
      <c r="F1" s="4"/>
      <c r="G1" s="4"/>
      <c r="H1" s="4"/>
      <c r="I1" s="4"/>
      <c r="X1" s="4">
        <v>7.2999999999999995E-2</v>
      </c>
      <c r="Y1" s="4"/>
      <c r="Z1" s="4"/>
      <c r="AA1" s="4">
        <v>0.96</v>
      </c>
      <c r="AB1" t="s">
        <v>29</v>
      </c>
      <c r="AF1" t="s">
        <v>23</v>
      </c>
      <c r="AG1" s="6">
        <v>3937.5</v>
      </c>
      <c r="AH1" t="s">
        <v>24</v>
      </c>
      <c r="AI1" t="s">
        <v>30</v>
      </c>
      <c r="AJ1" s="2">
        <v>0.02</v>
      </c>
    </row>
    <row r="2" spans="1:45">
      <c r="A2" t="s">
        <v>1</v>
      </c>
      <c r="B2" s="4">
        <v>2.0500000000000001E-2</v>
      </c>
      <c r="C2" s="4">
        <f>B2/2</f>
        <v>1.025E-2</v>
      </c>
      <c r="D2" s="4"/>
      <c r="E2" s="4" t="s">
        <v>37</v>
      </c>
      <c r="F2" s="4">
        <v>2.5000000000000001E-3</v>
      </c>
      <c r="G2" s="4"/>
      <c r="H2" s="4"/>
      <c r="I2" s="4"/>
      <c r="X2" s="4">
        <f>B2/2</f>
        <v>1.025E-2</v>
      </c>
      <c r="Y2" s="4"/>
      <c r="Z2" s="4"/>
      <c r="AA2" s="4">
        <v>1</v>
      </c>
      <c r="AF2" t="s">
        <v>23</v>
      </c>
      <c r="AG2" s="6">
        <v>3937.5</v>
      </c>
      <c r="AH2" t="s">
        <v>24</v>
      </c>
      <c r="AI2" t="s">
        <v>30</v>
      </c>
      <c r="AJ2" s="2">
        <v>0.02</v>
      </c>
    </row>
    <row r="3" spans="1:45">
      <c r="A3" t="s">
        <v>2</v>
      </c>
      <c r="B3" s="4">
        <v>0.189</v>
      </c>
      <c r="C3" s="4">
        <f>B3/2</f>
        <v>9.4500000000000001E-2</v>
      </c>
      <c r="D3" s="4"/>
      <c r="E3" s="4"/>
      <c r="F3" s="4"/>
      <c r="G3" s="4"/>
      <c r="H3" s="4"/>
      <c r="I3" s="4"/>
      <c r="X3" s="4">
        <f>B3/2</f>
        <v>9.4500000000000001E-2</v>
      </c>
      <c r="Y3" s="4"/>
      <c r="Z3" s="4"/>
      <c r="AA3" s="4">
        <f>C3*AD3</f>
        <v>0</v>
      </c>
      <c r="AD3" s="2"/>
      <c r="AF3" t="s">
        <v>23</v>
      </c>
      <c r="AG3">
        <v>5950</v>
      </c>
      <c r="AH3" t="s">
        <v>24</v>
      </c>
      <c r="AI3" t="s">
        <v>30</v>
      </c>
      <c r="AJ3" s="1">
        <v>3.5000000000000003E-2</v>
      </c>
    </row>
    <row r="4" spans="1:45">
      <c r="A4" t="s">
        <v>8</v>
      </c>
      <c r="B4" s="4">
        <v>0.03</v>
      </c>
      <c r="C4" s="1">
        <f>B4/2</f>
        <v>1.4999999999999999E-2</v>
      </c>
      <c r="D4" s="1"/>
      <c r="E4" s="1"/>
      <c r="F4" s="1"/>
      <c r="G4" s="1"/>
      <c r="H4" s="1"/>
      <c r="I4" s="1"/>
      <c r="X4" s="1">
        <f>B4/2</f>
        <v>1.4999999999999999E-2</v>
      </c>
      <c r="AA4" t="s">
        <v>9</v>
      </c>
      <c r="AD4" s="2"/>
      <c r="AF4" t="s">
        <v>23</v>
      </c>
      <c r="AG4">
        <v>5950</v>
      </c>
      <c r="AH4" t="s">
        <v>24</v>
      </c>
      <c r="AI4" t="s">
        <v>30</v>
      </c>
      <c r="AJ4" s="1">
        <v>3.5000000000000003E-2</v>
      </c>
    </row>
    <row r="5" spans="1:45">
      <c r="A5" t="s">
        <v>3</v>
      </c>
      <c r="B5" s="4">
        <v>0.09</v>
      </c>
      <c r="C5" t="s">
        <v>4</v>
      </c>
      <c r="AA5" t="s">
        <v>5</v>
      </c>
      <c r="AD5" s="2"/>
    </row>
    <row r="6" spans="1:45">
      <c r="A6" t="s">
        <v>6</v>
      </c>
      <c r="B6" s="4">
        <v>5.5E-2</v>
      </c>
      <c r="C6" t="s">
        <v>4</v>
      </c>
      <c r="AA6" t="s">
        <v>7</v>
      </c>
      <c r="AD6" s="2"/>
    </row>
    <row r="7" spans="1:45">
      <c r="AA7" s="1"/>
      <c r="AF7" t="s">
        <v>108</v>
      </c>
      <c r="AG7" t="s">
        <v>107</v>
      </c>
    </row>
    <row r="8" spans="1:45">
      <c r="A8" t="s">
        <v>16</v>
      </c>
      <c r="B8" s="3">
        <v>1988</v>
      </c>
      <c r="X8" t="s">
        <v>17</v>
      </c>
      <c r="Y8">
        <v>43000</v>
      </c>
      <c r="AB8" t="s">
        <v>77</v>
      </c>
      <c r="AC8" s="1">
        <v>8.9999999999999993E-3</v>
      </c>
      <c r="AE8" t="s">
        <v>35</v>
      </c>
      <c r="AF8">
        <v>1000</v>
      </c>
      <c r="AG8">
        <v>102</v>
      </c>
    </row>
    <row r="9" spans="1:45" s="3" customFormat="1">
      <c r="A9" s="3" t="s">
        <v>18</v>
      </c>
      <c r="B9" s="3">
        <v>2014</v>
      </c>
      <c r="J9" s="2"/>
      <c r="K9" s="7"/>
      <c r="L9" s="7"/>
      <c r="M9" s="2"/>
      <c r="N9" s="1"/>
      <c r="O9" s="2"/>
      <c r="P9" s="1"/>
      <c r="Q9" s="7"/>
      <c r="R9" s="7"/>
      <c r="S9" s="7"/>
      <c r="T9" s="1"/>
      <c r="U9" s="7"/>
      <c r="V9" s="7"/>
      <c r="W9" s="7"/>
      <c r="X9" s="3" t="s">
        <v>19</v>
      </c>
      <c r="Y9" s="2">
        <v>0.02</v>
      </c>
      <c r="Z9" s="2"/>
      <c r="AB9" s="3" t="s">
        <v>20</v>
      </c>
      <c r="AC9" s="1">
        <v>1.7999999999999999E-2</v>
      </c>
      <c r="AE9" s="3" t="s">
        <v>38</v>
      </c>
      <c r="AF9" s="3">
        <v>36</v>
      </c>
      <c r="AG9" s="3">
        <v>36</v>
      </c>
    </row>
    <row r="10" spans="1:45" s="3" customFormat="1">
      <c r="C10" s="3" t="s">
        <v>44</v>
      </c>
      <c r="D10" s="3" t="s">
        <v>91</v>
      </c>
      <c r="E10" s="3" t="s">
        <v>92</v>
      </c>
      <c r="F10" s="3" t="s">
        <v>93</v>
      </c>
      <c r="G10" s="3" t="s">
        <v>94</v>
      </c>
      <c r="J10" s="2"/>
      <c r="K10" s="7"/>
      <c r="L10" s="7"/>
      <c r="M10" s="2"/>
      <c r="N10" s="1"/>
      <c r="O10" s="2"/>
      <c r="P10" s="1"/>
      <c r="Q10" s="7"/>
      <c r="R10" s="7"/>
      <c r="S10" s="7"/>
      <c r="T10" s="1"/>
      <c r="U10" s="7"/>
      <c r="V10" s="7"/>
      <c r="W10" s="7"/>
      <c r="Y10" s="2"/>
      <c r="Z10" s="2"/>
      <c r="AC10" s="1"/>
    </row>
    <row r="11" spans="1:45" s="3" customFormat="1">
      <c r="A11" s="18" t="s">
        <v>78</v>
      </c>
      <c r="B11" s="2">
        <v>0.75</v>
      </c>
      <c r="J11" s="2"/>
      <c r="K11" s="7"/>
      <c r="L11" s="7"/>
      <c r="M11" s="2"/>
      <c r="N11" s="1"/>
      <c r="O11" s="2"/>
      <c r="P11" s="1"/>
      <c r="Q11" s="7"/>
      <c r="R11" s="7"/>
      <c r="S11" s="7"/>
      <c r="T11" s="1"/>
      <c r="U11" s="7"/>
      <c r="V11" s="7"/>
      <c r="W11" s="7"/>
      <c r="X11" s="36" t="s">
        <v>47</v>
      </c>
      <c r="Y11" s="37" t="s">
        <v>48</v>
      </c>
      <c r="Z11" s="37" t="s">
        <v>59</v>
      </c>
      <c r="AA11" s="38">
        <v>0.13449</v>
      </c>
      <c r="AB11" s="39" t="s">
        <v>51</v>
      </c>
      <c r="AC11" s="38"/>
      <c r="AD11" s="40"/>
      <c r="AE11" s="36" t="s">
        <v>68</v>
      </c>
      <c r="AF11" s="39" t="s">
        <v>48</v>
      </c>
      <c r="AG11" s="39" t="s">
        <v>70</v>
      </c>
      <c r="AH11" s="38">
        <v>0.04</v>
      </c>
      <c r="AI11" s="39" t="s">
        <v>51</v>
      </c>
      <c r="AJ11" s="40"/>
      <c r="AK11" s="36" t="s">
        <v>47</v>
      </c>
      <c r="AL11" s="39" t="s">
        <v>59</v>
      </c>
      <c r="AM11" s="38">
        <v>7.3999999999999996E-2</v>
      </c>
      <c r="AN11" s="40" t="s">
        <v>51</v>
      </c>
      <c r="AO11" s="36" t="s">
        <v>47</v>
      </c>
      <c r="AP11" s="39" t="s">
        <v>59</v>
      </c>
      <c r="AQ11" s="38">
        <v>4.4999999999999998E-2</v>
      </c>
      <c r="AR11" s="39" t="s">
        <v>51</v>
      </c>
      <c r="AS11" s="40"/>
    </row>
    <row r="12" spans="1:45" s="3" customFormat="1">
      <c r="A12" s="17"/>
      <c r="B12" s="7">
        <f>(W57*$B$11+(W57*$B$11)*25%)*(1-$AC$9)^($A$57-$B$9)</f>
        <v>2103.0513118461595</v>
      </c>
      <c r="C12" s="7">
        <f>(W57*$B$11)*(1-$AC$9)^($A$57-$B$9)</f>
        <v>1682.4410494769274</v>
      </c>
      <c r="J12" s="2"/>
      <c r="K12" s="7"/>
      <c r="L12" s="7"/>
      <c r="M12" s="2"/>
      <c r="N12" s="1"/>
      <c r="O12" s="2"/>
      <c r="P12" s="1"/>
      <c r="Q12" s="7"/>
      <c r="R12" s="7"/>
      <c r="S12" s="7"/>
      <c r="T12" s="1"/>
      <c r="U12" s="7"/>
      <c r="V12" s="7"/>
      <c r="W12" s="7"/>
      <c r="X12" s="27">
        <v>0.1</v>
      </c>
      <c r="Y12" s="26">
        <v>4</v>
      </c>
      <c r="Z12" s="24" t="s">
        <v>62</v>
      </c>
      <c r="AA12" s="28">
        <v>5.0400000000000002E-3</v>
      </c>
      <c r="AB12" s="25">
        <v>4.4999999999999998E-2</v>
      </c>
      <c r="AC12" s="25"/>
      <c r="AD12" s="41"/>
      <c r="AE12" s="27">
        <v>0.05</v>
      </c>
      <c r="AF12" s="26">
        <v>6</v>
      </c>
      <c r="AG12" s="26"/>
      <c r="AH12" s="25"/>
      <c r="AI12" s="25">
        <v>4.1000000000000002E-2</v>
      </c>
      <c r="AJ12" s="41"/>
      <c r="AK12" s="27">
        <v>0.05</v>
      </c>
      <c r="AL12" s="26" t="s">
        <v>62</v>
      </c>
      <c r="AM12" s="25">
        <v>7.0000000000000001E-3</v>
      </c>
      <c r="AN12" s="48">
        <v>0.05</v>
      </c>
      <c r="AO12" s="27">
        <v>0</v>
      </c>
      <c r="AP12" s="26" t="s">
        <v>62</v>
      </c>
      <c r="AQ12" s="25">
        <v>1.15E-2</v>
      </c>
      <c r="AR12" s="25">
        <v>4.4999999999999998E-2</v>
      </c>
      <c r="AS12" s="41"/>
    </row>
    <row r="13" spans="1:45" s="3" customFormat="1">
      <c r="A13" s="3" t="s">
        <v>79</v>
      </c>
      <c r="B13" s="7">
        <f>$B$12-$D$58</f>
        <v>854.05131184615948</v>
      </c>
      <c r="C13" s="7">
        <f>C12-$W$58</f>
        <v>656.2055025333641</v>
      </c>
      <c r="D13" s="7">
        <f>$AV$58</f>
        <v>220.51705422718754</v>
      </c>
      <c r="E13" s="7">
        <f>$AY$58</f>
        <v>140.06256836834487</v>
      </c>
      <c r="F13" s="7">
        <f>$BB$58</f>
        <v>331.46652494404742</v>
      </c>
      <c r="G13" s="7">
        <f>$BE$58</f>
        <v>309.45558916816168</v>
      </c>
      <c r="J13" s="2"/>
      <c r="K13" s="7"/>
      <c r="L13" s="7"/>
      <c r="M13" s="2"/>
      <c r="N13" s="1"/>
      <c r="O13" s="2"/>
      <c r="P13" s="1"/>
      <c r="Q13" s="7"/>
      <c r="R13" s="7"/>
      <c r="S13" s="7"/>
      <c r="T13" s="1"/>
      <c r="U13" s="7"/>
      <c r="V13" s="7"/>
      <c r="W13" s="7"/>
      <c r="X13" s="23"/>
      <c r="Y13" s="26"/>
      <c r="Z13" s="26" t="s">
        <v>63</v>
      </c>
      <c r="AA13" s="28">
        <v>7.3999999999999996E-2</v>
      </c>
      <c r="AB13" s="26"/>
      <c r="AC13" s="26"/>
      <c r="AD13" s="41"/>
      <c r="AE13" s="23" t="s">
        <v>69</v>
      </c>
      <c r="AF13" s="26"/>
      <c r="AG13" s="26" t="s">
        <v>63</v>
      </c>
      <c r="AH13" s="25">
        <v>8.6300000000000002E-2</v>
      </c>
      <c r="AI13" s="25"/>
      <c r="AJ13" s="41"/>
      <c r="AK13" s="23" t="s">
        <v>48</v>
      </c>
      <c r="AL13" s="26" t="s">
        <v>63</v>
      </c>
      <c r="AM13" s="25">
        <v>0.1009</v>
      </c>
      <c r="AN13" s="41"/>
      <c r="AO13" s="23" t="s">
        <v>48</v>
      </c>
      <c r="AP13" s="26" t="s">
        <v>63</v>
      </c>
      <c r="AQ13" s="25">
        <v>0.04</v>
      </c>
      <c r="AR13" s="26"/>
      <c r="AS13" s="41"/>
    </row>
    <row r="14" spans="1:45" s="3" customFormat="1">
      <c r="J14" s="2"/>
      <c r="K14" s="7"/>
      <c r="L14" s="7"/>
      <c r="M14" s="2"/>
      <c r="N14" s="1"/>
      <c r="O14" s="2"/>
      <c r="P14" s="1"/>
      <c r="Q14" s="7"/>
      <c r="R14" s="7"/>
      <c r="S14" s="7"/>
      <c r="T14" s="1"/>
      <c r="U14" s="7"/>
      <c r="V14" s="7"/>
      <c r="W14" s="7"/>
      <c r="X14" s="27"/>
      <c r="Y14" s="26"/>
      <c r="Z14" s="24" t="s">
        <v>64</v>
      </c>
      <c r="AA14" s="28">
        <v>1.4999999999999999E-2</v>
      </c>
      <c r="AB14" s="25">
        <v>2.5000000000000001E-2</v>
      </c>
      <c r="AC14" s="26"/>
      <c r="AD14" s="41"/>
      <c r="AE14" s="27">
        <v>0.1</v>
      </c>
      <c r="AF14" s="26">
        <v>4</v>
      </c>
      <c r="AG14" s="26"/>
      <c r="AH14" s="26"/>
      <c r="AI14" s="25">
        <v>1.8499999999999999E-2</v>
      </c>
      <c r="AJ14" s="41"/>
      <c r="AK14" s="23">
        <v>3</v>
      </c>
      <c r="AL14" s="26" t="s">
        <v>64</v>
      </c>
      <c r="AM14" s="25">
        <v>7.0000000000000001E-3</v>
      </c>
      <c r="AN14" s="48">
        <v>2.75E-2</v>
      </c>
      <c r="AO14" s="23">
        <v>0</v>
      </c>
      <c r="AP14" s="26" t="s">
        <v>64</v>
      </c>
      <c r="AQ14" s="25">
        <v>1.7500000000000002E-2</v>
      </c>
      <c r="AR14" s="25">
        <v>2.5000000000000001E-2</v>
      </c>
      <c r="AS14" s="49">
        <v>0.03</v>
      </c>
    </row>
    <row r="15" spans="1:45" s="5" customFormat="1">
      <c r="A15" s="5" t="s">
        <v>14</v>
      </c>
      <c r="B15" s="5" t="s">
        <v>15</v>
      </c>
      <c r="C15" s="5" t="s">
        <v>21</v>
      </c>
      <c r="D15" s="5" t="s">
        <v>27</v>
      </c>
      <c r="E15" s="5" t="s">
        <v>22</v>
      </c>
      <c r="F15" s="5" t="s">
        <v>26</v>
      </c>
      <c r="G15" s="5" t="s">
        <v>28</v>
      </c>
      <c r="H15" s="5" t="s">
        <v>34</v>
      </c>
      <c r="I15" s="5" t="s">
        <v>2</v>
      </c>
      <c r="J15" s="8" t="s">
        <v>31</v>
      </c>
      <c r="K15" s="9" t="s">
        <v>32</v>
      </c>
      <c r="L15" s="9" t="s">
        <v>33</v>
      </c>
      <c r="M15" s="8" t="s">
        <v>99</v>
      </c>
      <c r="N15" s="10" t="s">
        <v>100</v>
      </c>
      <c r="O15" s="8" t="s">
        <v>41</v>
      </c>
      <c r="P15" s="10" t="s">
        <v>42</v>
      </c>
      <c r="Q15" s="11" t="s">
        <v>43</v>
      </c>
      <c r="R15" s="11" t="s">
        <v>3</v>
      </c>
      <c r="S15" s="11" t="s">
        <v>36</v>
      </c>
      <c r="T15" s="10" t="s">
        <v>39</v>
      </c>
      <c r="U15" s="11" t="s">
        <v>40</v>
      </c>
      <c r="V15" s="11" t="s">
        <v>6</v>
      </c>
      <c r="W15" s="11" t="s">
        <v>44</v>
      </c>
      <c r="X15" s="29" t="s">
        <v>45</v>
      </c>
      <c r="Y15" s="30" t="s">
        <v>46</v>
      </c>
      <c r="Z15" s="30" t="s">
        <v>61</v>
      </c>
      <c r="AA15" s="30" t="s">
        <v>49</v>
      </c>
      <c r="AB15" s="30" t="s">
        <v>50</v>
      </c>
      <c r="AC15" s="30" t="s">
        <v>65</v>
      </c>
      <c r="AD15" s="42" t="s">
        <v>66</v>
      </c>
      <c r="AE15" s="29" t="s">
        <v>67</v>
      </c>
      <c r="AF15" s="30" t="s">
        <v>71</v>
      </c>
      <c r="AG15" s="30" t="s">
        <v>72</v>
      </c>
      <c r="AH15" s="30" t="s">
        <v>73</v>
      </c>
      <c r="AI15" s="30" t="s">
        <v>75</v>
      </c>
      <c r="AJ15" s="42" t="s">
        <v>76</v>
      </c>
      <c r="AK15" s="29" t="s">
        <v>81</v>
      </c>
      <c r="AL15" s="30" t="s">
        <v>82</v>
      </c>
      <c r="AM15" s="30"/>
      <c r="AN15" s="42"/>
      <c r="AO15" s="29" t="s">
        <v>84</v>
      </c>
      <c r="AP15" s="30" t="s">
        <v>85</v>
      </c>
      <c r="AQ15" s="30"/>
      <c r="AR15" s="30" t="s">
        <v>86</v>
      </c>
      <c r="AS15" s="42" t="s">
        <v>105</v>
      </c>
    </row>
    <row r="16" spans="1:45" s="3" customFormat="1">
      <c r="A16" s="3">
        <f>$B$9</f>
        <v>2014</v>
      </c>
      <c r="B16" s="3">
        <f>A16-$B$8</f>
        <v>26</v>
      </c>
      <c r="C16" s="7">
        <f>$Y$8</f>
        <v>43000</v>
      </c>
      <c r="D16" s="7">
        <f>C16/12</f>
        <v>3583.3333333333335</v>
      </c>
      <c r="E16" s="7">
        <f>IF(D16&gt;$AG$1, $AG$1*12*$C$1, C16*$C$1)</f>
        <v>3526</v>
      </c>
      <c r="F16" s="7">
        <f>IF(D16&gt;$AG$1, $AG$1*12*($C$2+$F$2), C16*($C$2+$F$2))</f>
        <v>548.25</v>
      </c>
      <c r="G16" s="7">
        <f>E16*$AA$1+F16*$AA$2</f>
        <v>3933.21</v>
      </c>
      <c r="H16" s="7">
        <f>IF(D16&gt;$AG$4, $AG$4*12*$C$4, C16*$C$4)</f>
        <v>645</v>
      </c>
      <c r="I16" s="7">
        <f>IF(D16&gt;$AG$3, $AG$3*12*$C$3, C16*$C$3)</f>
        <v>4063.5</v>
      </c>
      <c r="J16" s="2">
        <f>IF(A16&lt;=2025, 60%+2%*(A16-2005), 100% )</f>
        <v>0.78</v>
      </c>
      <c r="K16" s="7">
        <f>IF( 2*I16+L16 &lt;= 20000, (2*I16+L16)*J16-I16, 20000*J16-I16)</f>
        <v>2743.5600000000004</v>
      </c>
      <c r="L16" s="7">
        <f t="shared" ref="L16:L57" si="0">X16</f>
        <v>600</v>
      </c>
      <c r="M16" s="7">
        <f>C16-G16-K16-$AF$8-$AF$9-AO16</f>
        <v>34747.230000000003</v>
      </c>
      <c r="N16" s="1">
        <f>IF(M16&lt;52882,((228.74*((M16-13469)/10000)+2397)*((M16-13469)/10000)+1014)/M16,(0.42*M16-8196)/M16)</f>
        <v>0.20577300641631913</v>
      </c>
      <c r="O16" s="7">
        <f>C16-G16-K16-$AF$8-$AF$9</f>
        <v>35287.230000000003</v>
      </c>
      <c r="P16" s="1">
        <f>IF(O16&lt;52882,((228.74*((O16-13469)/10000)+2397)*((O16-13469)/10000)+1014)/O16,(0.42*O16-8196)/O16)</f>
        <v>0.20780074142247712</v>
      </c>
      <c r="Q16" s="7">
        <f>O16*P16</f>
        <v>7332.7125567454777</v>
      </c>
      <c r="R16" s="7">
        <f>Q16*$B$5</f>
        <v>659.94413010709297</v>
      </c>
      <c r="S16" s="7">
        <f>O16-R16</f>
        <v>34627.285869892912</v>
      </c>
      <c r="T16" s="1">
        <f>IF(S16&lt;52882,((228.74*((S16-13469)/10000)+2397)*((S16-13469)/10000)+1014)/S16,(0.42*S16-8196)/S16)</f>
        <v>0.20531925341618396</v>
      </c>
      <c r="U16" s="7">
        <f>S16*T16</f>
        <v>7109.6484826351889</v>
      </c>
      <c r="V16" s="7">
        <f>U16*$B$6</f>
        <v>391.0306665449354</v>
      </c>
      <c r="W16" s="7">
        <f>(C16-E16-F16-H16-I16-R16-V16-U16)/12</f>
        <v>2171.3855600593984</v>
      </c>
      <c r="X16" s="31">
        <f>50*12</f>
        <v>600</v>
      </c>
      <c r="Y16" s="21">
        <f>24*12</f>
        <v>288</v>
      </c>
      <c r="Z16" s="21">
        <f>X16-Y16</f>
        <v>312</v>
      </c>
      <c r="AA16" s="21">
        <f>(IF( 2*I16+L16 &lt;= 20000, (2*I16+L16)*J16-I16, 20000*J16-I16) - IF( 2*I16 &lt;= 20000, (2*I16)*J16-I16, 20000*J16-I16)) * T16</f>
        <v>96.089410598774094</v>
      </c>
      <c r="AB16" s="21">
        <f>522.77*(1+$AB$12 - $AA$12)</f>
        <v>543.65988919999995</v>
      </c>
      <c r="AC16" s="21"/>
      <c r="AD16" s="41"/>
      <c r="AE16" s="31">
        <f>68.34*12</f>
        <v>820.08</v>
      </c>
      <c r="AF16" s="21">
        <f>40.44*12</f>
        <v>485.28</v>
      </c>
      <c r="AG16" s="21">
        <f>AE16-AF16</f>
        <v>334.80000000000007</v>
      </c>
      <c r="AH16" s="26">
        <v>100</v>
      </c>
      <c r="AI16" s="26"/>
      <c r="AJ16" s="41"/>
      <c r="AK16" s="31">
        <v>600</v>
      </c>
      <c r="AL16" s="21">
        <f>(AK16-240-78)*(1+$AN$12-$AM$12)</f>
        <v>294.12600000000003</v>
      </c>
      <c r="AM16" s="26"/>
      <c r="AN16" s="41"/>
      <c r="AO16" s="31">
        <v>540</v>
      </c>
      <c r="AP16" s="21">
        <f>(427.43+354+154+AO16-158.54-(354+154)*$AQ$13-((354+154+AO16)*$AQ$11))*(1+$AR$12-$AQ$12)</f>
        <v>1291.2652349999998</v>
      </c>
      <c r="AQ16" s="26"/>
      <c r="AR16" s="21">
        <v>0</v>
      </c>
      <c r="AS16" s="41">
        <v>0</v>
      </c>
    </row>
    <row r="17" spans="1:45" s="3" customFormat="1">
      <c r="A17" s="3">
        <f>A16+1</f>
        <v>2015</v>
      </c>
      <c r="B17" s="3">
        <f t="shared" ref="B17:B80" si="1">A17-$B$8</f>
        <v>27</v>
      </c>
      <c r="C17" s="7">
        <f>C16*(1+$Y$9)</f>
        <v>43860</v>
      </c>
      <c r="D17" s="7">
        <f t="shared" ref="D17:D57" si="2">C17/12</f>
        <v>3655</v>
      </c>
      <c r="E17" s="7">
        <f t="shared" ref="E17:E80" si="3">IF(D17&gt;$AG$1, $AG$1*12*$C$1, C17*$C$1)</f>
        <v>3596.52</v>
      </c>
      <c r="F17" s="7">
        <f t="shared" ref="F17:F57" si="4">IF(D17&gt;$AG$1, $AG$1*12*($C$2+$F$2), C17*($C$2+$F$2))</f>
        <v>559.21500000000003</v>
      </c>
      <c r="G17" s="7">
        <f t="shared" ref="G17:G80" si="5">E17*$AA$1+F17*$AA$2</f>
        <v>4011.8742000000002</v>
      </c>
      <c r="H17" s="7">
        <f t="shared" ref="H17:H57" si="6">IF(D17&gt;$AG$4, $AG$4*12*$C$4, C17*$C$4)</f>
        <v>657.9</v>
      </c>
      <c r="I17" s="7">
        <f t="shared" ref="I17:I57" si="7">IF(D17&gt;$AG$3, $AG$3*12*$C$3, C17*$C$3)</f>
        <v>4144.7700000000004</v>
      </c>
      <c r="J17" s="2">
        <f t="shared" ref="J17:J57" si="8">IF(A17&lt;=2025, 60%+2%*(A17-2005), 100% )</f>
        <v>0.8</v>
      </c>
      <c r="K17" s="7">
        <f t="shared" ref="K17:K57" si="9">IF( 2*I17+L17 &lt;= 20000, (2*I17+L17)*J17-I17, 20000*J17-I17)</f>
        <v>4090.0619999999999</v>
      </c>
      <c r="L17" s="7">
        <f t="shared" si="0"/>
        <v>2004</v>
      </c>
      <c r="M17" s="7">
        <f t="shared" ref="M17:M57" si="10">C17-G17-K17-$AF$8-$AF$9-AO17</f>
        <v>32967.663800000002</v>
      </c>
      <c r="N17" s="1">
        <f t="shared" ref="N17:P57" si="11">IF(M17&lt;52882,((228.74*((M17-13469)/10000)+2397)*((M17-13469)/10000)+1014)/M17,(0.42*M17-8196)/M17)</f>
        <v>0.19890685631211377</v>
      </c>
      <c r="O17" s="7">
        <f>C17-G17-K17-$AF$8-$AF$9</f>
        <v>34722.063800000004</v>
      </c>
      <c r="P17" s="1">
        <f t="shared" si="11"/>
        <v>0.20567790450913889</v>
      </c>
      <c r="Q17" s="7">
        <f t="shared" ref="Q17:Q80" si="12">O17*P17</f>
        <v>7141.5613226166288</v>
      </c>
      <c r="R17" s="7">
        <f t="shared" ref="R17:R80" si="13">Q17*$B$5</f>
        <v>642.74051903549662</v>
      </c>
      <c r="S17" s="7">
        <f t="shared" ref="S17:S80" si="14">O17-R17</f>
        <v>34079.323280964505</v>
      </c>
      <c r="T17" s="1">
        <f t="shared" ref="T17:T57" si="15">IF(S17&lt;52882,((228.74*((S17-13469)/10000)+2397)*((S17-13469)/10000)+1014)/S17,(0.42*S17-8196)/S17)</f>
        <v>0.2032302289631108</v>
      </c>
      <c r="U17" s="7">
        <f t="shared" ref="U17:U80" si="16">S17*T17</f>
        <v>6925.9486732982887</v>
      </c>
      <c r="V17" s="7">
        <f t="shared" ref="V17:V80" si="17">U17*$B$6</f>
        <v>380.9271770314059</v>
      </c>
      <c r="W17" s="7">
        <f t="shared" ref="W17:W57" si="18">(C17-E17-F17-H17-I17-R17-V17-U17)/12</f>
        <v>2245.9982192195671</v>
      </c>
      <c r="X17" s="31">
        <f>12*167</f>
        <v>2004</v>
      </c>
      <c r="Y17" s="21">
        <f>12*72.4</f>
        <v>868.80000000000007</v>
      </c>
      <c r="Z17" s="21">
        <f t="shared" ref="Z17:Z57" si="19">X17-Y17</f>
        <v>1135.1999999999998</v>
      </c>
      <c r="AA17" s="21">
        <f t="shared" ref="AA17:AA57" si="20">(IF( 2*I17+L17 &lt;= 20000, (2*I17+L17)*J17-I17, 20000*J17-I17) - IF( 2*I17 &lt;= 20000, (2*I17)*J17-I17, 20000*J17-I17)) * T17</f>
        <v>325.81870307365904</v>
      </c>
      <c r="AB17" s="21">
        <f>(AB16+Z17- Z17*$AA$11 - IF(MOD(A17,$Y$12) = 0, (Z17-Z16) * $AA$13, 0) ) * (1+$AB$12 - $AA$12)</f>
        <v>1587.1732673743518</v>
      </c>
      <c r="AC17" s="21"/>
      <c r="AD17" s="41"/>
      <c r="AE17" s="31">
        <f>74.03*12</f>
        <v>888.36</v>
      </c>
      <c r="AF17" s="21">
        <f>12*44.62</f>
        <v>535.43999999999994</v>
      </c>
      <c r="AG17" s="21">
        <f>AE17-AF17</f>
        <v>352.92000000000007</v>
      </c>
      <c r="AH17" s="21">
        <f>(AH16+AF17- AF17*$AH$11 - IF(MOD(A17,$AF$14) = 0, (AF17-AF16) * $AH$13, 0) ) * (1+$AI$12 )</f>
        <v>639.19731839999986</v>
      </c>
      <c r="AI17" s="26"/>
      <c r="AJ17" s="41"/>
      <c r="AK17" s="31">
        <f>AK16</f>
        <v>600</v>
      </c>
      <c r="AL17" s="21">
        <f>(AL16+AK17-240-78)*(1+$AN$12-$AM$12)</f>
        <v>600.89941800000008</v>
      </c>
      <c r="AM17" s="26"/>
      <c r="AN17" s="41"/>
      <c r="AO17" s="31">
        <f>IF(4%*C17 &gt; 2100, 2100, 4%*C17)</f>
        <v>1754.4</v>
      </c>
      <c r="AP17" s="21">
        <f>(AP16+154+AO17-158.54-154*$AQ$13-((154+AO17)*$AQ$11) - IF(AO17-AO16 &gt; 0, (AO17-AO16) * $AQ$13, 0))*(1+$AR$12-$AQ$12)</f>
        <v>2997.6783613724997</v>
      </c>
      <c r="AQ17" s="26"/>
      <c r="AR17" s="21">
        <f>Q17-(M17*N17)-154</f>
        <v>430.06695620395385</v>
      </c>
      <c r="AS17" s="44">
        <f>(AS16+AR17)*(1+$AS$14)</f>
        <v>442.96896489007247</v>
      </c>
    </row>
    <row r="18" spans="1:45" s="3" customFormat="1">
      <c r="A18" s="3">
        <f t="shared" ref="A18:A81" si="21">A17+1</f>
        <v>2016</v>
      </c>
      <c r="B18" s="3">
        <f t="shared" si="1"/>
        <v>28</v>
      </c>
      <c r="C18" s="7">
        <f t="shared" ref="C18:C57" si="22">C17*(1+$Y$9)</f>
        <v>44737.200000000004</v>
      </c>
      <c r="D18" s="7">
        <f t="shared" si="2"/>
        <v>3728.1000000000004</v>
      </c>
      <c r="E18" s="7">
        <f t="shared" si="3"/>
        <v>3668.4504000000006</v>
      </c>
      <c r="F18" s="7">
        <f t="shared" si="4"/>
        <v>570.39930000000015</v>
      </c>
      <c r="G18" s="7">
        <f t="shared" si="5"/>
        <v>4092.1116840000004</v>
      </c>
      <c r="H18" s="7">
        <f t="shared" si="6"/>
        <v>671.05799999999999</v>
      </c>
      <c r="I18" s="7">
        <f t="shared" si="7"/>
        <v>4227.6654000000008</v>
      </c>
      <c r="J18" s="2">
        <f t="shared" si="8"/>
        <v>0.82</v>
      </c>
      <c r="K18" s="7">
        <f t="shared" si="9"/>
        <v>4513.3138559999998</v>
      </c>
      <c r="L18" s="7">
        <f t="shared" si="0"/>
        <v>2204.4</v>
      </c>
      <c r="M18" s="7">
        <f t="shared" si="10"/>
        <v>33306.286460000003</v>
      </c>
      <c r="N18" s="1">
        <f t="shared" si="11"/>
        <v>0.20023638765381047</v>
      </c>
      <c r="O18" s="7">
        <f>C18-G18-K18-$AF$8-$AF$9</f>
        <v>35095.774460000001</v>
      </c>
      <c r="P18" s="1">
        <f t="shared" si="11"/>
        <v>0.20708460406221443</v>
      </c>
      <c r="Q18" s="7">
        <f t="shared" si="12"/>
        <v>7267.7945583058781</v>
      </c>
      <c r="R18" s="7">
        <f t="shared" si="13"/>
        <v>654.10151024752906</v>
      </c>
      <c r="S18" s="7">
        <f t="shared" si="14"/>
        <v>34441.672949752472</v>
      </c>
      <c r="T18" s="1">
        <f t="shared" si="15"/>
        <v>0.20461461012403509</v>
      </c>
      <c r="U18" s="7">
        <f t="shared" si="16"/>
        <v>7047.2694826331281</v>
      </c>
      <c r="V18" s="7">
        <f t="shared" si="17"/>
        <v>387.59982154482202</v>
      </c>
      <c r="W18" s="7">
        <f t="shared" si="18"/>
        <v>2292.554673797878</v>
      </c>
      <c r="X18" s="31">
        <f>IF(MOD(A18,$Y$12) &gt; 0, X17, X17*(1+$X$12))</f>
        <v>2204.4</v>
      </c>
      <c r="Y18" s="21">
        <f>IF(MOD(A18,$Y$12) &gt; 0,Y17, Y17*(1+$X$12))</f>
        <v>955.68000000000018</v>
      </c>
      <c r="Z18" s="21">
        <f t="shared" si="19"/>
        <v>1248.7199999999998</v>
      </c>
      <c r="AA18" s="21">
        <f t="shared" si="20"/>
        <v>369.86300617708667</v>
      </c>
      <c r="AB18" s="21">
        <f>(AB17+Z18- Z18*$AA$11 - IF(MOD(A18,$Y$12) = 0, (Z18-Z17) * $AA$13, 0) ) * (1+$AB$12 - $AA$12)</f>
        <v>2765.8281498599431</v>
      </c>
      <c r="AC18" s="21"/>
      <c r="AD18" s="41"/>
      <c r="AE18" s="31">
        <f>AF18+AG18</f>
        <v>959.55000000000018</v>
      </c>
      <c r="AF18" s="21">
        <f>IF(MOD($A18,$AF$14) &gt; 0, AF17, AF17*(1+$AE$14))</f>
        <v>588.98400000000004</v>
      </c>
      <c r="AG18" s="21">
        <f>IF(MOD($A18,$AF$12) &gt; 0, AG17, AG17*(1+$AE$12))</f>
        <v>370.56600000000009</v>
      </c>
      <c r="AH18" s="21">
        <f t="shared" ref="AH18:AH57" si="23">(AH17+AF18- AF18*$AH$11 - IF(MOD(A18,$AF$14) = 0, (AF18-AF17) * $AH$13, 0) ) * (1+$AI$12 )</f>
        <v>1249.2011567591996</v>
      </c>
      <c r="AI18" s="26"/>
      <c r="AJ18" s="41"/>
      <c r="AK18" s="31">
        <f t="shared" ref="AK18:AK19" si="24">AK17</f>
        <v>600</v>
      </c>
      <c r="AL18" s="21">
        <f>(AL17+AK18-240-78)*(1+$AN$12-$AM$12)</f>
        <v>920.86409297400007</v>
      </c>
      <c r="AM18" s="26"/>
      <c r="AN18" s="41"/>
      <c r="AO18" s="31">
        <f>IF(4%*C18 &gt; 2100, 2100, 4%*C18)</f>
        <v>1789.4880000000003</v>
      </c>
      <c r="AP18" s="21">
        <f t="shared" ref="AP18:AP20" si="25">(AP17+154+AO18-158.54-154*$AQ$13-((154+AO18)*$AQ$11) - IF(AO18-AO17 &gt; 0, (AO18-AO17) * $AQ$13, 0))*(1+$AR$12-$AQ$12)</f>
        <v>4844.6406783984776</v>
      </c>
      <c r="AQ18" s="26"/>
      <c r="AR18" s="21">
        <f t="shared" ref="AR18:AR57" si="26">Q18-(M18*N18)-154</f>
        <v>444.66407139245894</v>
      </c>
      <c r="AS18" s="44">
        <f t="shared" ref="AS18:AS57" si="27">(AS17+AR18)*(1+$AS$14)</f>
        <v>914.26202737100732</v>
      </c>
    </row>
    <row r="19" spans="1:45" s="3" customFormat="1">
      <c r="A19" s="3">
        <f t="shared" si="21"/>
        <v>2017</v>
      </c>
      <c r="B19" s="3">
        <f t="shared" si="1"/>
        <v>29</v>
      </c>
      <c r="C19" s="7">
        <f t="shared" si="22"/>
        <v>45631.944000000003</v>
      </c>
      <c r="D19" s="7">
        <f t="shared" si="2"/>
        <v>3802.6620000000003</v>
      </c>
      <c r="E19" s="7">
        <f t="shared" si="3"/>
        <v>3741.8194080000003</v>
      </c>
      <c r="F19" s="7">
        <f t="shared" si="4"/>
        <v>581.80728600000009</v>
      </c>
      <c r="G19" s="7">
        <f t="shared" si="5"/>
        <v>4173.9539176799999</v>
      </c>
      <c r="H19" s="7">
        <f t="shared" si="6"/>
        <v>684.47915999999998</v>
      </c>
      <c r="I19" s="7">
        <f t="shared" si="7"/>
        <v>4312.2187080000003</v>
      </c>
      <c r="J19" s="2">
        <f t="shared" si="8"/>
        <v>0.84</v>
      </c>
      <c r="K19" s="7">
        <f t="shared" si="9"/>
        <v>4784.0047214400001</v>
      </c>
      <c r="L19" s="7">
        <f t="shared" si="0"/>
        <v>2204.4</v>
      </c>
      <c r="M19" s="7">
        <f t="shared" si="10"/>
        <v>33812.707600880007</v>
      </c>
      <c r="N19" s="1">
        <f t="shared" si="11"/>
        <v>0.20220400226710808</v>
      </c>
      <c r="O19" s="7">
        <f>C19-G19-K19-$AF$8-$AF$9</f>
        <v>35637.985360880004</v>
      </c>
      <c r="P19" s="1">
        <f t="shared" si="11"/>
        <v>0.20910498356435969</v>
      </c>
      <c r="Q19" s="7">
        <f t="shared" si="12"/>
        <v>7452.0803431537042</v>
      </c>
      <c r="R19" s="7">
        <f t="shared" si="13"/>
        <v>670.68723088383331</v>
      </c>
      <c r="S19" s="7">
        <f t="shared" si="14"/>
        <v>34967.298129996168</v>
      </c>
      <c r="T19" s="1">
        <f t="shared" si="15"/>
        <v>0.20660233166021283</v>
      </c>
      <c r="U19" s="7">
        <f t="shared" si="16"/>
        <v>7224.3253255150084</v>
      </c>
      <c r="V19" s="7">
        <f t="shared" si="17"/>
        <v>397.33789290332544</v>
      </c>
      <c r="W19" s="7">
        <f t="shared" si="18"/>
        <v>2334.939082391485</v>
      </c>
      <c r="X19" s="31">
        <f>IF(MOD(A19,$Y$12) &gt; 0, X18, X18*(1+$X$12))</f>
        <v>2204.4</v>
      </c>
      <c r="Y19" s="21">
        <f>IF(MOD(A19,$Y$12) &gt; 0,Y18, Y18*(1+$X$12))</f>
        <v>955.68000000000018</v>
      </c>
      <c r="Z19" s="21">
        <f t="shared" si="19"/>
        <v>1248.7199999999998</v>
      </c>
      <c r="AA19" s="21">
        <f t="shared" si="20"/>
        <v>382.56471112588946</v>
      </c>
      <c r="AB19" s="21">
        <f>(AB18+Z19- Z19*$AA$11 - IF(MOD(A19,$Y$12) = 0, (Z19-Z18) * $AA$13, 0) ) * (1+$AB$12 - $AA$12)</f>
        <v>4000.3182446304586</v>
      </c>
      <c r="AC19" s="21"/>
      <c r="AD19" s="41"/>
      <c r="AE19" s="31">
        <f t="shared" ref="AE19:AE57" si="28">AF19+AG19</f>
        <v>959.55000000000018</v>
      </c>
      <c r="AF19" s="21">
        <f t="shared" ref="AF19:AF57" si="29">IF(MOD($A19,$AF$14) &gt; 0, AF18, AF18*(1+$AE$14))</f>
        <v>588.98400000000004</v>
      </c>
      <c r="AG19" s="21">
        <f t="shared" ref="AG19:AG50" si="30">IF(MOD($A19,$AF$12) &gt; 0, AG18, AG18*(1+$AE$12))</f>
        <v>370.56600000000009</v>
      </c>
      <c r="AH19" s="21">
        <f t="shared" si="23"/>
        <v>1889.0254544263269</v>
      </c>
      <c r="AI19" s="26"/>
      <c r="AJ19" s="41"/>
      <c r="AK19" s="31">
        <f t="shared" si="24"/>
        <v>600</v>
      </c>
      <c r="AL19" s="21">
        <f>(AL18+AK19-240-78)*(1+$AN$12-$AM$12)</f>
        <v>1254.5872489718822</v>
      </c>
      <c r="AM19" s="26"/>
      <c r="AN19" s="41"/>
      <c r="AO19" s="31">
        <f t="shared" ref="AO19:AO57" si="31">IF(4%*C19 &gt; 2100, 2100, 4%*C19)</f>
        <v>1825.2777600000002</v>
      </c>
      <c r="AP19" s="21">
        <f t="shared" si="25"/>
        <v>6788.7714469832263</v>
      </c>
      <c r="AQ19" s="26"/>
      <c r="AR19" s="21">
        <f t="shared" si="26"/>
        <v>461.01553876830076</v>
      </c>
      <c r="AS19" s="44">
        <f t="shared" si="27"/>
        <v>1416.5358931234873</v>
      </c>
    </row>
    <row r="20" spans="1:45" s="3" customFormat="1">
      <c r="A20" s="3">
        <f t="shared" si="21"/>
        <v>2018</v>
      </c>
      <c r="B20" s="3">
        <f t="shared" si="1"/>
        <v>30</v>
      </c>
      <c r="C20" s="7">
        <f t="shared" si="22"/>
        <v>46544.582880000002</v>
      </c>
      <c r="D20" s="7">
        <f t="shared" si="2"/>
        <v>3878.71524</v>
      </c>
      <c r="E20" s="7">
        <f t="shared" si="3"/>
        <v>3816.6557961600001</v>
      </c>
      <c r="F20" s="7">
        <f t="shared" si="4"/>
        <v>593.44343172000004</v>
      </c>
      <c r="G20" s="7">
        <f t="shared" si="5"/>
        <v>4257.4329960335999</v>
      </c>
      <c r="H20" s="7">
        <f t="shared" si="6"/>
        <v>698.16874319999999</v>
      </c>
      <c r="I20" s="7">
        <f t="shared" si="7"/>
        <v>4398.4630821600003</v>
      </c>
      <c r="J20" s="2">
        <f t="shared" si="8"/>
        <v>0.86</v>
      </c>
      <c r="K20" s="7">
        <f t="shared" si="9"/>
        <v>5062.6774191551995</v>
      </c>
      <c r="L20" s="7">
        <f t="shared" si="0"/>
        <v>2204.4</v>
      </c>
      <c r="M20" s="7">
        <f t="shared" si="10"/>
        <v>34326.6891496112</v>
      </c>
      <c r="N20" s="1">
        <f t="shared" si="11"/>
        <v>0.2041765772008749</v>
      </c>
      <c r="O20" s="7">
        <f>C20-G20-K20-$AF$8-$AF$9</f>
        <v>36188.472464811202</v>
      </c>
      <c r="P20" s="1">
        <f t="shared" si="11"/>
        <v>0.21113228656779479</v>
      </c>
      <c r="Q20" s="7">
        <f t="shared" si="12"/>
        <v>7640.5549388912696</v>
      </c>
      <c r="R20" s="7">
        <f t="shared" si="13"/>
        <v>687.64994450021425</v>
      </c>
      <c r="S20" s="7">
        <f t="shared" si="14"/>
        <v>35500.822520310991</v>
      </c>
      <c r="T20" s="1">
        <f t="shared" si="15"/>
        <v>0.20859614074912552</v>
      </c>
      <c r="U20" s="7">
        <f t="shared" si="16"/>
        <v>7405.3345711565162</v>
      </c>
      <c r="V20" s="7">
        <f t="shared" si="17"/>
        <v>407.29340141360836</v>
      </c>
      <c r="W20" s="7">
        <f t="shared" si="18"/>
        <v>2378.1311591408053</v>
      </c>
      <c r="X20" s="31">
        <f>IF(MOD(A20,$Y$12) &gt; 0, X19, X19*(1+$X$12))</f>
        <v>2204.4</v>
      </c>
      <c r="Y20" s="21">
        <f>IF(MOD(A20,$Y$12) &gt; 0,Y19, Y19*(1+$X$12))</f>
        <v>955.68000000000018</v>
      </c>
      <c r="Z20" s="21">
        <f t="shared" si="19"/>
        <v>1248.7199999999998</v>
      </c>
      <c r="AA20" s="21">
        <f t="shared" si="20"/>
        <v>395.45322609394009</v>
      </c>
      <c r="AB20" s="21">
        <f>(AB19+Z20- Z20*$AA$11 - IF(MOD(A20,$Y$12) = 0, (Z20-Z19) * $AA$13, 0) ) * (1+$AB$12 - $AA$12)</f>
        <v>5284.1385635880033</v>
      </c>
      <c r="AC20" s="21"/>
      <c r="AD20" s="41"/>
      <c r="AE20" s="31">
        <f t="shared" si="28"/>
        <v>959.55000000000018</v>
      </c>
      <c r="AF20" s="21">
        <f t="shared" si="29"/>
        <v>588.98400000000004</v>
      </c>
      <c r="AG20" s="21">
        <f t="shared" si="30"/>
        <v>370.56600000000009</v>
      </c>
      <c r="AH20" s="21">
        <f t="shared" si="23"/>
        <v>2555.0825482978062</v>
      </c>
      <c r="AI20" s="26"/>
      <c r="AJ20" s="41"/>
      <c r="AK20" s="31">
        <v>2000.04</v>
      </c>
      <c r="AL20" s="21">
        <f>(AL19+AK20-240-148)*(1+$AN$12-$AM$12)</f>
        <v>2989.8922206776733</v>
      </c>
      <c r="AM20" s="26"/>
      <c r="AN20" s="41"/>
      <c r="AO20" s="31">
        <f t="shared" si="31"/>
        <v>1861.7833152000001</v>
      </c>
      <c r="AP20" s="21">
        <f t="shared" si="25"/>
        <v>8834.0317145327317</v>
      </c>
      <c r="AQ20" s="26"/>
      <c r="AR20" s="21">
        <f t="shared" si="26"/>
        <v>477.84904168524372</v>
      </c>
      <c r="AS20" s="44">
        <f t="shared" si="27"/>
        <v>1951.2164828529931</v>
      </c>
    </row>
    <row r="21" spans="1:45" s="3" customFormat="1">
      <c r="A21" s="3">
        <f t="shared" si="21"/>
        <v>2019</v>
      </c>
      <c r="B21" s="3">
        <f t="shared" si="1"/>
        <v>31</v>
      </c>
      <c r="C21" s="7">
        <f t="shared" si="22"/>
        <v>47475.474537599999</v>
      </c>
      <c r="D21" s="7">
        <f t="shared" si="2"/>
        <v>3956.2895447999999</v>
      </c>
      <c r="E21" s="7">
        <f t="shared" si="3"/>
        <v>3874.5</v>
      </c>
      <c r="F21" s="7">
        <f t="shared" si="4"/>
        <v>602.4375</v>
      </c>
      <c r="G21" s="7">
        <f t="shared" si="5"/>
        <v>4321.9575000000004</v>
      </c>
      <c r="H21" s="7">
        <f t="shared" si="6"/>
        <v>712.132118064</v>
      </c>
      <c r="I21" s="7">
        <f t="shared" si="7"/>
        <v>4486.4323438031997</v>
      </c>
      <c r="J21" s="2">
        <f t="shared" si="8"/>
        <v>0.88</v>
      </c>
      <c r="K21" s="7">
        <f t="shared" si="9"/>
        <v>5349.5605812904314</v>
      </c>
      <c r="L21" s="7">
        <f t="shared" si="0"/>
        <v>2204.4</v>
      </c>
      <c r="M21" s="7">
        <f t="shared" si="10"/>
        <v>34868.937474805571</v>
      </c>
      <c r="N21" s="1">
        <f t="shared" si="11"/>
        <v>0.20623216869324415</v>
      </c>
      <c r="O21" s="7">
        <f>C21-G21-K21-$AF$8-$AF$9</f>
        <v>36767.95645630957</v>
      </c>
      <c r="P21" s="1">
        <f t="shared" si="11"/>
        <v>0.2132415280163675</v>
      </c>
      <c r="Q21" s="7">
        <f t="shared" si="12"/>
        <v>7840.4552167827178</v>
      </c>
      <c r="R21" s="7">
        <f t="shared" si="13"/>
        <v>705.64096951044462</v>
      </c>
      <c r="S21" s="7">
        <f t="shared" si="14"/>
        <v>36062.315486799125</v>
      </c>
      <c r="T21" s="1">
        <f t="shared" si="15"/>
        <v>0.21066975403023186</v>
      </c>
      <c r="U21" s="7">
        <f t="shared" si="16"/>
        <v>7597.2391333645928</v>
      </c>
      <c r="V21" s="7">
        <f t="shared" si="17"/>
        <v>417.84815233505259</v>
      </c>
      <c r="W21" s="7">
        <f t="shared" si="18"/>
        <v>2423.2703600435593</v>
      </c>
      <c r="X21" s="31">
        <f>IF(MOD(A21,$Y$12) &gt; 0, X20, X20*(1+$X$12))</f>
        <v>2204.4</v>
      </c>
      <c r="Y21" s="21">
        <f>IF(MOD(A21,$Y$12) &gt; 0,Y20, Y20*(1+$X$12))</f>
        <v>955.68000000000018</v>
      </c>
      <c r="Z21" s="21">
        <f t="shared" si="19"/>
        <v>1248.7199999999998</v>
      </c>
      <c r="AA21" s="21">
        <f t="shared" si="20"/>
        <v>408.6723570901338</v>
      </c>
      <c r="AB21" s="21">
        <f>(AB20+Z21- Z21*$AA$11 - IF(MOD(A21,$Y$12) = 0, (Z21-Z20) * $AA$13, 0) ) * (1+$AB$12 - $AA$12)</f>
        <v>6619.2603424910913</v>
      </c>
      <c r="AC21" s="21"/>
      <c r="AD21" s="41"/>
      <c r="AE21" s="31">
        <f t="shared" si="28"/>
        <v>959.55000000000018</v>
      </c>
      <c r="AF21" s="21">
        <f t="shared" si="29"/>
        <v>588.98400000000004</v>
      </c>
      <c r="AG21" s="21">
        <f t="shared" si="30"/>
        <v>370.56600000000009</v>
      </c>
      <c r="AH21" s="21">
        <f t="shared" si="23"/>
        <v>3248.4479830180157</v>
      </c>
      <c r="AI21" s="26"/>
      <c r="AJ21" s="41"/>
      <c r="AK21" s="31">
        <f>IF(MOD($A21,$AK$14) &gt; 0, AK20, AK20*(1+$AK$12))</f>
        <v>2100.0419999999999</v>
      </c>
      <c r="AL21" s="21">
        <f>(AL20+AK21-532.02- AK22*$AM$11  - IF(MOD(A22,$AK$14) = 0, (AK22-AK21) * $AM$13, 0) )*(1+$AN$12-$AM$12)</f>
        <v>4591.8190905228121</v>
      </c>
      <c r="AM21" s="26"/>
      <c r="AN21" s="41"/>
      <c r="AO21" s="31">
        <f t="shared" si="31"/>
        <v>1899.0189815040001</v>
      </c>
      <c r="AP21" s="21">
        <f>(AP20+154+AO21-154*$AQ$13-((154+AO21)*$AQ$11) - IF(AO21-AO20 &gt; 0, (AO21-AO20) * $AQ$13, 0))*(1+$AR$12-$AQ$12)</f>
        <v>11148.380431626654</v>
      </c>
      <c r="AQ21" s="26"/>
      <c r="AR21" s="21">
        <f t="shared" si="26"/>
        <v>495.35862132443253</v>
      </c>
      <c r="AS21" s="44">
        <f t="shared" si="27"/>
        <v>2519.9723573027486</v>
      </c>
    </row>
    <row r="22" spans="1:45" s="3" customFormat="1">
      <c r="A22" s="3">
        <f t="shared" si="21"/>
        <v>2020</v>
      </c>
      <c r="B22" s="3">
        <f t="shared" si="1"/>
        <v>32</v>
      </c>
      <c r="C22" s="7">
        <f t="shared" si="22"/>
        <v>48424.984028352002</v>
      </c>
      <c r="D22" s="7">
        <f t="shared" si="2"/>
        <v>4035.4153356960001</v>
      </c>
      <c r="E22" s="7">
        <f>IF(D22&gt;$AG$1, $AG$1*12*$C$1, C22*$C$1)</f>
        <v>3874.5</v>
      </c>
      <c r="F22" s="7">
        <f t="shared" si="4"/>
        <v>602.4375</v>
      </c>
      <c r="G22" s="7">
        <f t="shared" si="5"/>
        <v>4321.9575000000004</v>
      </c>
      <c r="H22" s="7">
        <f t="shared" si="6"/>
        <v>726.37476042527999</v>
      </c>
      <c r="I22" s="7">
        <f t="shared" si="7"/>
        <v>4576.1609906792646</v>
      </c>
      <c r="J22" s="2">
        <f t="shared" si="8"/>
        <v>0.89999999999999991</v>
      </c>
      <c r="K22" s="7">
        <f t="shared" si="9"/>
        <v>5843.2847925434116</v>
      </c>
      <c r="L22" s="7">
        <f t="shared" si="0"/>
        <v>2424.84</v>
      </c>
      <c r="M22" s="7">
        <f t="shared" si="10"/>
        <v>35286.742374674504</v>
      </c>
      <c r="N22" s="1">
        <f t="shared" si="11"/>
        <v>0.20779892129992694</v>
      </c>
      <c r="O22" s="7">
        <f>C22-G22-K22-$AF$8-$AF$9</f>
        <v>37223.741735808588</v>
      </c>
      <c r="P22" s="1">
        <f t="shared" si="11"/>
        <v>0.21488337904023469</v>
      </c>
      <c r="Q22" s="7">
        <f t="shared" si="12"/>
        <v>7998.7634047115607</v>
      </c>
      <c r="R22" s="7">
        <f t="shared" si="13"/>
        <v>719.88870642404049</v>
      </c>
      <c r="S22" s="7">
        <f t="shared" si="14"/>
        <v>36503.853029384547</v>
      </c>
      <c r="T22" s="1">
        <f t="shared" si="15"/>
        <v>0.21228331412523624</v>
      </c>
      <c r="U22" s="7">
        <f t="shared" si="16"/>
        <v>7749.1588994182966</v>
      </c>
      <c r="V22" s="7">
        <f t="shared" si="17"/>
        <v>426.20373946800629</v>
      </c>
      <c r="W22" s="7">
        <f t="shared" si="18"/>
        <v>2479.1882859947596</v>
      </c>
      <c r="X22" s="31">
        <f>IF(MOD(A22,$Y$12) &gt; 0, X21, X21*(1+$X$12))</f>
        <v>2424.84</v>
      </c>
      <c r="Y22" s="21">
        <f>IF(MOD(A22,$Y$12) &gt; 0,Y21, Y21*(1+$X$12))</f>
        <v>1051.2480000000003</v>
      </c>
      <c r="Z22" s="21">
        <f t="shared" si="19"/>
        <v>1373.5919999999999</v>
      </c>
      <c r="AA22" s="21">
        <f t="shared" si="20"/>
        <v>463.27776428109439</v>
      </c>
      <c r="AB22" s="21">
        <f>(AB21+Z22- Z22*$AA$11 - IF(MOD(A22,$Y$12) = 0, (Z22-Z21) * $AA$13, 0) ) * (1+$AB$12 - $AA$12)</f>
        <v>8110.520568370478</v>
      </c>
      <c r="AC22" s="21"/>
      <c r="AD22" s="41"/>
      <c r="AE22" s="31">
        <f t="shared" si="28"/>
        <v>1018.4484000000002</v>
      </c>
      <c r="AF22" s="21">
        <f t="shared" si="29"/>
        <v>647.88240000000008</v>
      </c>
      <c r="AG22" s="21">
        <f t="shared" si="30"/>
        <v>370.56600000000009</v>
      </c>
      <c r="AH22" s="21">
        <f t="shared" si="23"/>
        <v>4023.8107734570335</v>
      </c>
      <c r="AI22" s="26"/>
      <c r="AJ22" s="41"/>
      <c r="AK22" s="31">
        <f>IF(MOD($A22,$AK$14) &gt; 0, AK21, AK21*(1+$AK$12))</f>
        <v>2100.0419999999999</v>
      </c>
      <c r="AL22" s="21">
        <f t="shared" ref="AL22:AL57" si="32">(AL21+AK22-532.02- AK23*$AM$11  - IF(MOD(A23,$AK$14) = 0, (AK23-AK22) * $AM$13, 0) )*(1+$AN$12-$AM$12)</f>
        <v>6262.6288157712934</v>
      </c>
      <c r="AM22" s="26"/>
      <c r="AN22" s="41"/>
      <c r="AO22" s="31">
        <f t="shared" si="31"/>
        <v>1936.9993611340801</v>
      </c>
      <c r="AP22" s="21">
        <f t="shared" ref="AP22:AP57" si="33">(AP21+154+AO22-154*$AQ$13-((154+AO22)*$AQ$11) - IF(AO22-AO21 &gt; 0, (AO22-AO21) * $AQ$13, 0))*(1+$AR$12-$AQ$12)</f>
        <v>13577.715394136367</v>
      </c>
      <c r="AQ22" s="26"/>
      <c r="AR22" s="21">
        <f t="shared" si="26"/>
        <v>512.21640306577592</v>
      </c>
      <c r="AS22" s="44">
        <f t="shared" si="27"/>
        <v>3123.1544231795801</v>
      </c>
    </row>
    <row r="23" spans="1:45" s="3" customFormat="1">
      <c r="A23" s="3">
        <f t="shared" si="21"/>
        <v>2021</v>
      </c>
      <c r="B23" s="3">
        <f t="shared" si="1"/>
        <v>33</v>
      </c>
      <c r="C23" s="7">
        <f t="shared" si="22"/>
        <v>49393.483708919041</v>
      </c>
      <c r="D23" s="7">
        <f t="shared" si="2"/>
        <v>4116.1236424099197</v>
      </c>
      <c r="E23" s="7">
        <f t="shared" si="3"/>
        <v>3874.5</v>
      </c>
      <c r="F23" s="7">
        <f t="shared" si="4"/>
        <v>602.4375</v>
      </c>
      <c r="G23" s="7">
        <f t="shared" si="5"/>
        <v>4321.9575000000004</v>
      </c>
      <c r="H23" s="7">
        <f t="shared" si="6"/>
        <v>740.90225563378556</v>
      </c>
      <c r="I23" s="7">
        <f t="shared" si="7"/>
        <v>4667.6842104928492</v>
      </c>
      <c r="J23" s="2">
        <f t="shared" si="8"/>
        <v>0.91999999999999993</v>
      </c>
      <c r="K23" s="7">
        <f t="shared" si="9"/>
        <v>6151.7075368139922</v>
      </c>
      <c r="L23" s="7">
        <f t="shared" si="0"/>
        <v>2424.84</v>
      </c>
      <c r="M23" s="7">
        <f t="shared" si="10"/>
        <v>35908.079323748279</v>
      </c>
      <c r="N23" s="1">
        <f t="shared" si="11"/>
        <v>0.21010261332016594</v>
      </c>
      <c r="O23" s="7">
        <f>C23-G23-K23-$AF$8-$AF$9</f>
        <v>37883.818672105044</v>
      </c>
      <c r="P23" s="1">
        <f t="shared" si="11"/>
        <v>0.21723557514840627</v>
      </c>
      <c r="Q23" s="7">
        <f t="shared" si="12"/>
        <v>8229.7131380526716</v>
      </c>
      <c r="R23" s="7">
        <f t="shared" si="13"/>
        <v>740.67418242474037</v>
      </c>
      <c r="S23" s="7">
        <f t="shared" si="14"/>
        <v>37143.1444896803</v>
      </c>
      <c r="T23" s="1">
        <f t="shared" si="15"/>
        <v>0.21459411832363046</v>
      </c>
      <c r="U23" s="7">
        <f t="shared" si="16"/>
        <v>7970.7003435301567</v>
      </c>
      <c r="V23" s="7">
        <f t="shared" si="17"/>
        <v>438.38851889415861</v>
      </c>
      <c r="W23" s="7">
        <f t="shared" si="18"/>
        <v>2529.8497248286121</v>
      </c>
      <c r="X23" s="31">
        <f>IF(MOD(A23,$Y$12) &gt; 0, X22, X22*(1+$X$12))</f>
        <v>2424.84</v>
      </c>
      <c r="Y23" s="21">
        <f>IF(MOD(A23,$Y$12) &gt; 0,Y22, Y22*(1+$X$12))</f>
        <v>1051.2480000000003</v>
      </c>
      <c r="Z23" s="21">
        <f t="shared" si="19"/>
        <v>1373.5919999999999</v>
      </c>
      <c r="AA23" s="21">
        <f t="shared" si="20"/>
        <v>478.72788972580202</v>
      </c>
      <c r="AB23" s="21">
        <f>(AB22+Z23- Z23*$AA$11 - IF(MOD(A23,$Y$12) = 0, (Z23-Z22) * $AA$13, 0) ) * (1+$AB$12 - $AA$12)</f>
        <v>9670.9813323748858</v>
      </c>
      <c r="AC23" s="21"/>
      <c r="AD23" s="41"/>
      <c r="AE23" s="31">
        <f t="shared" si="28"/>
        <v>1018.4484000000002</v>
      </c>
      <c r="AF23" s="21">
        <f t="shared" si="29"/>
        <v>647.88240000000008</v>
      </c>
      <c r="AG23" s="21">
        <f>IF(MOD($A23,$AF$12) &gt; 0, AG22, AG22*(1+$AE$12))</f>
        <v>370.56600000000009</v>
      </c>
      <c r="AH23" s="21">
        <f t="shared" si="23"/>
        <v>4836.2547704327717</v>
      </c>
      <c r="AI23" s="26"/>
      <c r="AJ23" s="41"/>
      <c r="AK23" s="31">
        <f>IF(MOD($A23,$AK$14) &gt; 0, AK22, AK22*(1+$AK$12))</f>
        <v>2100.0419999999999</v>
      </c>
      <c r="AL23" s="21">
        <f t="shared" si="32"/>
        <v>7986.1288026219891</v>
      </c>
      <c r="AM23" s="26"/>
      <c r="AN23" s="41"/>
      <c r="AO23" s="31">
        <f t="shared" si="31"/>
        <v>1975.7393483567616</v>
      </c>
      <c r="AP23" s="21">
        <f t="shared" si="33"/>
        <v>16126.637752551156</v>
      </c>
      <c r="AQ23" s="26"/>
      <c r="AR23" s="21">
        <f t="shared" si="26"/>
        <v>531.33183282534083</v>
      </c>
      <c r="AS23" s="44">
        <f t="shared" si="27"/>
        <v>3764.1208436850688</v>
      </c>
    </row>
    <row r="24" spans="1:45" s="3" customFormat="1">
      <c r="A24" s="3">
        <f t="shared" si="21"/>
        <v>2022</v>
      </c>
      <c r="B24" s="3">
        <f t="shared" si="1"/>
        <v>34</v>
      </c>
      <c r="C24" s="7">
        <f t="shared" si="22"/>
        <v>50381.353383097419</v>
      </c>
      <c r="D24" s="7">
        <f t="shared" si="2"/>
        <v>4198.446115258118</v>
      </c>
      <c r="E24" s="7">
        <f t="shared" si="3"/>
        <v>3874.5</v>
      </c>
      <c r="F24" s="7">
        <f t="shared" si="4"/>
        <v>602.4375</v>
      </c>
      <c r="G24" s="7">
        <f t="shared" si="5"/>
        <v>4321.9575000000004</v>
      </c>
      <c r="H24" s="7">
        <f t="shared" si="6"/>
        <v>755.72030074646125</v>
      </c>
      <c r="I24" s="7">
        <f t="shared" si="7"/>
        <v>4761.0378947027066</v>
      </c>
      <c r="J24" s="2">
        <f t="shared" si="8"/>
        <v>0.94</v>
      </c>
      <c r="K24" s="7">
        <f t="shared" si="9"/>
        <v>6469.0629473383806</v>
      </c>
      <c r="L24" s="7">
        <f t="shared" si="0"/>
        <v>2424.84</v>
      </c>
      <c r="M24" s="7">
        <f t="shared" si="10"/>
        <v>36539.078800435134</v>
      </c>
      <c r="N24" s="1">
        <f t="shared" si="11"/>
        <v>0.21241141528981622</v>
      </c>
      <c r="O24" s="7">
        <f>C24-G24-K24-$AF$8-$AF$9</f>
        <v>38554.332935759034</v>
      </c>
      <c r="P24" s="1">
        <f t="shared" si="11"/>
        <v>0.21959543439266629</v>
      </c>
      <c r="Q24" s="7">
        <f t="shared" si="12"/>
        <v>8466.3554887474857</v>
      </c>
      <c r="R24" s="7">
        <f t="shared" si="13"/>
        <v>761.97199398727366</v>
      </c>
      <c r="S24" s="7">
        <f t="shared" si="14"/>
        <v>37792.36094177176</v>
      </c>
      <c r="T24" s="1">
        <f t="shared" si="15"/>
        <v>0.21691141988850715</v>
      </c>
      <c r="U24" s="7">
        <f t="shared" si="16"/>
        <v>8197.5946728186718</v>
      </c>
      <c r="V24" s="7">
        <f t="shared" si="17"/>
        <v>450.86770700502694</v>
      </c>
      <c r="W24" s="7">
        <f t="shared" si="18"/>
        <v>2581.4352761531068</v>
      </c>
      <c r="X24" s="31">
        <f>IF(MOD(A24,$Y$12) &gt; 0, X23, X23*(1+$X$12))</f>
        <v>2424.84</v>
      </c>
      <c r="Y24" s="21">
        <f>IF(MOD(A24,$Y$12) &gt; 0,Y23, Y23*(1+$X$12))</f>
        <v>1051.2480000000003</v>
      </c>
      <c r="Z24" s="21">
        <f t="shared" si="19"/>
        <v>1373.5919999999999</v>
      </c>
      <c r="AA24" s="21">
        <f t="shared" si="20"/>
        <v>494.4169581583007</v>
      </c>
      <c r="AB24" s="21">
        <f>(AB23+Z24- Z24*$AA$11 - IF(MOD(A24,$Y$12) = 0, (Z24-Z23) * $AA$13, 0) ) * (1+$AB$12 - $AA$12)</f>
        <v>11293.79810850891</v>
      </c>
      <c r="AC24" s="21"/>
      <c r="AD24" s="41"/>
      <c r="AE24" s="31">
        <f t="shared" si="28"/>
        <v>1036.9767000000002</v>
      </c>
      <c r="AF24" s="21">
        <f t="shared" si="29"/>
        <v>647.88240000000008</v>
      </c>
      <c r="AG24" s="21">
        <f t="shared" si="30"/>
        <v>389.09430000000009</v>
      </c>
      <c r="AH24" s="21">
        <f t="shared" si="23"/>
        <v>5682.0089712845156</v>
      </c>
      <c r="AI24" s="26"/>
      <c r="AJ24" s="41"/>
      <c r="AK24" s="31">
        <f>IF(MOD($A24,$AK$14) &gt; 0, AK23, AK23*(1+$AK$12))</f>
        <v>2205.0441000000001</v>
      </c>
      <c r="AL24" s="21">
        <f t="shared" si="32"/>
        <v>9904.3067637085351</v>
      </c>
      <c r="AM24" s="26"/>
      <c r="AN24" s="41"/>
      <c r="AO24" s="31">
        <f t="shared" si="31"/>
        <v>2015.2541353238969</v>
      </c>
      <c r="AP24" s="21">
        <f t="shared" si="33"/>
        <v>18799.917778127066</v>
      </c>
      <c r="AQ24" s="26"/>
      <c r="AR24" s="21">
        <f t="shared" si="26"/>
        <v>551.03804736093844</v>
      </c>
      <c r="AS24" s="44">
        <f t="shared" si="27"/>
        <v>4444.6136577773868</v>
      </c>
    </row>
    <row r="25" spans="1:45" s="3" customFormat="1">
      <c r="A25" s="3">
        <f t="shared" si="21"/>
        <v>2023</v>
      </c>
      <c r="B25" s="3">
        <f t="shared" si="1"/>
        <v>35</v>
      </c>
      <c r="C25" s="7">
        <f t="shared" si="22"/>
        <v>51388.980450759365</v>
      </c>
      <c r="D25" s="7">
        <f t="shared" si="2"/>
        <v>4282.4150375632807</v>
      </c>
      <c r="E25" s="7">
        <f t="shared" si="3"/>
        <v>3874.5</v>
      </c>
      <c r="F25" s="7">
        <f t="shared" si="4"/>
        <v>602.4375</v>
      </c>
      <c r="G25" s="7">
        <f t="shared" si="5"/>
        <v>4321.9575000000004</v>
      </c>
      <c r="H25" s="7">
        <f t="shared" si="6"/>
        <v>770.83470676139041</v>
      </c>
      <c r="I25" s="7">
        <f t="shared" si="7"/>
        <v>4856.2586525967599</v>
      </c>
      <c r="J25" s="2">
        <f t="shared" si="8"/>
        <v>0.96</v>
      </c>
      <c r="K25" s="7">
        <f t="shared" si="9"/>
        <v>6795.6043603890193</v>
      </c>
      <c r="L25" s="7">
        <f t="shared" si="0"/>
        <v>2424.84</v>
      </c>
      <c r="M25" s="7">
        <f t="shared" si="10"/>
        <v>37179.859372339968</v>
      </c>
      <c r="N25" s="1">
        <f t="shared" si="11"/>
        <v>0.21472594316357319</v>
      </c>
      <c r="O25" s="7">
        <f>C25-G25-K25-$AF$8-$AF$9</f>
        <v>39235.41859037034</v>
      </c>
      <c r="P25" s="1">
        <f t="shared" si="11"/>
        <v>0.22196359198191268</v>
      </c>
      <c r="Q25" s="7">
        <f t="shared" si="12"/>
        <v>8708.8344432325139</v>
      </c>
      <c r="R25" s="7">
        <f t="shared" si="13"/>
        <v>783.79509989092617</v>
      </c>
      <c r="S25" s="7">
        <f t="shared" si="14"/>
        <v>38451.623490479411</v>
      </c>
      <c r="T25" s="1">
        <f t="shared" si="15"/>
        <v>0.21923581957536611</v>
      </c>
      <c r="U25" s="7">
        <f t="shared" si="16"/>
        <v>8429.9731899386534</v>
      </c>
      <c r="V25" s="7">
        <f t="shared" si="17"/>
        <v>463.64852544662591</v>
      </c>
      <c r="W25" s="7">
        <f t="shared" si="18"/>
        <v>2633.9610646770834</v>
      </c>
      <c r="X25" s="31">
        <f>IF(MOD(A25,$Y$12) &gt; 0, X24, X24*(1+$X$12))</f>
        <v>2424.84</v>
      </c>
      <c r="Y25" s="21">
        <f>IF(MOD(A25,$Y$12) &gt; 0,Y24, Y24*(1+$X$12))</f>
        <v>1051.2480000000003</v>
      </c>
      <c r="Z25" s="21">
        <f t="shared" si="19"/>
        <v>1373.5919999999999</v>
      </c>
      <c r="AA25" s="21">
        <f t="shared" si="20"/>
        <v>510.34731334956564</v>
      </c>
      <c r="AB25" s="21">
        <f>(AB24+Z25- Z25*$AA$11 - IF(MOD(A25,$Y$12) = 0, (Z25-Z24) * $AA$13, 0) ) * (1+$AB$12 - $AA$12)</f>
        <v>12981.46264301725</v>
      </c>
      <c r="AC25" s="21"/>
      <c r="AD25" s="41"/>
      <c r="AE25" s="31">
        <f t="shared" si="28"/>
        <v>1036.9767000000002</v>
      </c>
      <c r="AF25" s="21">
        <f t="shared" si="29"/>
        <v>647.88240000000008</v>
      </c>
      <c r="AG25" s="21">
        <f t="shared" si="30"/>
        <v>389.09430000000009</v>
      </c>
      <c r="AH25" s="21">
        <f t="shared" si="23"/>
        <v>6562.4390943711805</v>
      </c>
      <c r="AI25" s="26"/>
      <c r="AJ25" s="41"/>
      <c r="AK25" s="31">
        <f>IF(MOD($A25,$AK$14) &gt; 0, AK24, AK24*(1+$AK$12))</f>
        <v>2205.0441000000001</v>
      </c>
      <c r="AL25" s="21">
        <f t="shared" si="32"/>
        <v>11904.966377121804</v>
      </c>
      <c r="AM25" s="26"/>
      <c r="AN25" s="41"/>
      <c r="AO25" s="31">
        <f t="shared" si="31"/>
        <v>2055.5592180303747</v>
      </c>
      <c r="AP25" s="21">
        <f t="shared" si="33"/>
        <v>21602.500828077085</v>
      </c>
      <c r="AQ25" s="26"/>
      <c r="AR25" s="21">
        <f t="shared" si="26"/>
        <v>571.35407281779771</v>
      </c>
      <c r="AS25" s="44">
        <f t="shared" si="27"/>
        <v>5166.4467625130401</v>
      </c>
    </row>
    <row r="26" spans="1:45" s="3" customFormat="1">
      <c r="A26" s="3">
        <f t="shared" si="21"/>
        <v>2024</v>
      </c>
      <c r="B26" s="3">
        <f t="shared" si="1"/>
        <v>36</v>
      </c>
      <c r="C26" s="7">
        <f t="shared" si="22"/>
        <v>52416.760059774555</v>
      </c>
      <c r="D26" s="7">
        <f t="shared" si="2"/>
        <v>4368.0633383145459</v>
      </c>
      <c r="E26" s="7">
        <f t="shared" si="3"/>
        <v>3874.5</v>
      </c>
      <c r="F26" s="7">
        <f t="shared" si="4"/>
        <v>602.4375</v>
      </c>
      <c r="G26" s="7">
        <f t="shared" si="5"/>
        <v>4321.9575000000004</v>
      </c>
      <c r="H26" s="7">
        <f t="shared" si="6"/>
        <v>786.25140089661829</v>
      </c>
      <c r="I26" s="7">
        <f t="shared" si="7"/>
        <v>4953.3838256486952</v>
      </c>
      <c r="J26" s="2">
        <f t="shared" si="8"/>
        <v>0.98</v>
      </c>
      <c r="K26" s="7">
        <f t="shared" si="9"/>
        <v>7369.225992622748</v>
      </c>
      <c r="L26" s="7">
        <f t="shared" si="0"/>
        <v>2667.3240000000005</v>
      </c>
      <c r="M26" s="7">
        <f t="shared" si="10"/>
        <v>37592.906164760825</v>
      </c>
      <c r="N26" s="1">
        <f t="shared" si="11"/>
        <v>0.21620254874855227</v>
      </c>
      <c r="O26" s="7">
        <f>C26-G26-K26-$AF$8-$AF$9</f>
        <v>39689.576567151809</v>
      </c>
      <c r="P26" s="1">
        <f t="shared" si="11"/>
        <v>0.22352726074087625</v>
      </c>
      <c r="Q26" s="7">
        <f t="shared" si="12"/>
        <v>8871.7023300207147</v>
      </c>
      <c r="R26" s="7">
        <f t="shared" si="13"/>
        <v>798.45320970186435</v>
      </c>
      <c r="S26" s="7">
        <f t="shared" si="14"/>
        <v>38891.123357449942</v>
      </c>
      <c r="T26" s="1">
        <f t="shared" si="15"/>
        <v>0.22077001288402318</v>
      </c>
      <c r="U26" s="7">
        <f t="shared" si="16"/>
        <v>8585.9938046983589</v>
      </c>
      <c r="V26" s="7">
        <f t="shared" si="17"/>
        <v>472.22965925840975</v>
      </c>
      <c r="W26" s="7">
        <f t="shared" si="18"/>
        <v>2695.2925549642173</v>
      </c>
      <c r="X26" s="31">
        <f>IF(MOD(A26,$Y$12) &gt; 0, X25, X25*(1+$X$12))</f>
        <v>2667.3240000000005</v>
      </c>
      <c r="Y26" s="21">
        <f>IF(MOD(A26,$Y$12) &gt; 0,Y25, Y25*(1+$X$12))</f>
        <v>1156.3728000000003</v>
      </c>
      <c r="Z26" s="21">
        <f t="shared" si="19"/>
        <v>1510.9512000000002</v>
      </c>
      <c r="AA26" s="21">
        <f t="shared" si="20"/>
        <v>577.08785076894708</v>
      </c>
      <c r="AB26" s="21">
        <f>(AB25+Z26- Z26*$AA$11 - IF(MOD(A26,$Y$12) = 0, (Z26-Z25) * $AA$13, 0) ) * (1+$AB$12 - $AA$12)</f>
        <v>14849.631931085007</v>
      </c>
      <c r="AC26" s="21"/>
      <c r="AD26" s="41"/>
      <c r="AE26" s="31">
        <f t="shared" si="28"/>
        <v>1101.7649400000003</v>
      </c>
      <c r="AF26" s="21">
        <f t="shared" si="29"/>
        <v>712.67064000000016</v>
      </c>
      <c r="AG26" s="21">
        <f t="shared" si="30"/>
        <v>389.09430000000009</v>
      </c>
      <c r="AH26" s="21">
        <f t="shared" si="23"/>
        <v>7537.8931626892063</v>
      </c>
      <c r="AI26" s="26"/>
      <c r="AJ26" s="41"/>
      <c r="AK26" s="31">
        <f>IF(MOD($A26,$AK$14) &gt; 0, AK25, AK25*(1+$AK$12))</f>
        <v>2205.0441000000001</v>
      </c>
      <c r="AL26" s="21">
        <f t="shared" si="32"/>
        <v>13971.542069499199</v>
      </c>
      <c r="AM26" s="26"/>
      <c r="AN26" s="41"/>
      <c r="AO26" s="31">
        <f t="shared" si="31"/>
        <v>2096.6704023909824</v>
      </c>
      <c r="AP26" s="21">
        <f t="shared" si="33"/>
        <v>24539.513516588082</v>
      </c>
      <c r="AQ26" s="26"/>
      <c r="AR26" s="21">
        <f t="shared" si="26"/>
        <v>590.02020233426174</v>
      </c>
      <c r="AS26" s="44">
        <f t="shared" si="27"/>
        <v>5929.1609737927211</v>
      </c>
    </row>
    <row r="27" spans="1:45" s="3" customFormat="1">
      <c r="A27" s="3">
        <f t="shared" si="21"/>
        <v>2025</v>
      </c>
      <c r="B27" s="3">
        <f t="shared" si="1"/>
        <v>37</v>
      </c>
      <c r="C27" s="7">
        <f t="shared" si="22"/>
        <v>53465.095260970047</v>
      </c>
      <c r="D27" s="7">
        <f t="shared" si="2"/>
        <v>4455.424605080837</v>
      </c>
      <c r="E27" s="7">
        <f t="shared" si="3"/>
        <v>3874.5</v>
      </c>
      <c r="F27" s="7">
        <f t="shared" si="4"/>
        <v>602.4375</v>
      </c>
      <c r="G27" s="7">
        <f t="shared" si="5"/>
        <v>4321.9575000000004</v>
      </c>
      <c r="H27" s="7">
        <f t="shared" si="6"/>
        <v>801.97642891455064</v>
      </c>
      <c r="I27" s="7">
        <f t="shared" si="7"/>
        <v>5052.4515021616699</v>
      </c>
      <c r="J27" s="2">
        <f t="shared" si="8"/>
        <v>1</v>
      </c>
      <c r="K27" s="7">
        <f t="shared" si="9"/>
        <v>7719.7755021616704</v>
      </c>
      <c r="L27" s="7">
        <f t="shared" si="0"/>
        <v>2667.3240000000005</v>
      </c>
      <c r="M27" s="7">
        <f t="shared" si="10"/>
        <v>38287.362258808374</v>
      </c>
      <c r="N27" s="1">
        <f t="shared" si="11"/>
        <v>0.21865930420856866</v>
      </c>
      <c r="O27" s="7">
        <f>C27-G27-K27-$AF$8-$AF$9</f>
        <v>40387.362258808374</v>
      </c>
      <c r="P27" s="1">
        <f t="shared" si="11"/>
        <v>0.22590674178509715</v>
      </c>
      <c r="Q27" s="7">
        <f t="shared" si="12"/>
        <v>9123.7774171818019</v>
      </c>
      <c r="R27" s="7">
        <f t="shared" si="13"/>
        <v>821.13996754636219</v>
      </c>
      <c r="S27" s="7">
        <f t="shared" si="14"/>
        <v>39566.222291262013</v>
      </c>
      <c r="T27" s="1">
        <f t="shared" si="15"/>
        <v>0.22310374301408362</v>
      </c>
      <c r="U27" s="7">
        <f t="shared" si="16"/>
        <v>8827.3722901078272</v>
      </c>
      <c r="V27" s="7">
        <f t="shared" si="17"/>
        <v>485.50547595593048</v>
      </c>
      <c r="W27" s="7">
        <f t="shared" si="18"/>
        <v>2749.9760080236424</v>
      </c>
      <c r="X27" s="31">
        <f>IF(MOD(A27,$Y$12) &gt; 0, X26, X26*(1+$X$12))</f>
        <v>2667.3240000000005</v>
      </c>
      <c r="Y27" s="21">
        <f>IF(MOD(A27,$Y$12) &gt; 0,Y26, Y26*(1+$X$12))</f>
        <v>1156.3728000000003</v>
      </c>
      <c r="Z27" s="21">
        <f t="shared" si="19"/>
        <v>1510.9512000000002</v>
      </c>
      <c r="AA27" s="21">
        <f t="shared" si="20"/>
        <v>595.08996823129769</v>
      </c>
      <c r="AB27" s="21">
        <f>(AB26+Z27- Z27*$AA$11 - IF(MOD(A27,$Y$12) = 0, (Z27-Z26) * $AA$13, 0) ) * (1+$AB$12 - $AA$12)</f>
        <v>16803.024021352718</v>
      </c>
      <c r="AC27" s="21"/>
      <c r="AD27" s="41"/>
      <c r="AE27" s="31">
        <f t="shared" si="28"/>
        <v>1101.7649400000003</v>
      </c>
      <c r="AF27" s="21">
        <f t="shared" si="29"/>
        <v>712.67064000000016</v>
      </c>
      <c r="AG27" s="21">
        <f t="shared" si="30"/>
        <v>389.09430000000009</v>
      </c>
      <c r="AH27" s="21">
        <f t="shared" si="23"/>
        <v>8559.1613131498634</v>
      </c>
      <c r="AI27" s="26"/>
      <c r="AJ27" s="41"/>
      <c r="AK27" s="31">
        <f t="shared" ref="AK27:AK57" si="34">IF(MOD($A27,$AK$14) &gt; 0, AK26, AK26*(1+$AK$12))</f>
        <v>2315.2963050000003</v>
      </c>
      <c r="AL27" s="21">
        <f t="shared" si="32"/>
        <v>16253.576365190156</v>
      </c>
      <c r="AM27" s="26"/>
      <c r="AN27" s="41"/>
      <c r="AO27" s="31">
        <f t="shared" si="31"/>
        <v>2100</v>
      </c>
      <c r="AP27" s="21">
        <f t="shared" si="33"/>
        <v>27579.764308828624</v>
      </c>
      <c r="AQ27" s="26"/>
      <c r="AR27" s="21">
        <f t="shared" si="26"/>
        <v>597.8894256893509</v>
      </c>
      <c r="AS27" s="44">
        <f t="shared" si="27"/>
        <v>6722.8619114665344</v>
      </c>
    </row>
    <row r="28" spans="1:45" s="3" customFormat="1">
      <c r="A28" s="3">
        <f t="shared" si="21"/>
        <v>2026</v>
      </c>
      <c r="B28" s="3">
        <f t="shared" si="1"/>
        <v>38</v>
      </c>
      <c r="C28" s="7">
        <f t="shared" si="22"/>
        <v>54534.397166189447</v>
      </c>
      <c r="D28" s="7">
        <f t="shared" si="2"/>
        <v>4544.5330971824542</v>
      </c>
      <c r="E28" s="7">
        <f t="shared" si="3"/>
        <v>3874.5</v>
      </c>
      <c r="F28" s="7">
        <f t="shared" si="4"/>
        <v>602.4375</v>
      </c>
      <c r="G28" s="7">
        <f t="shared" si="5"/>
        <v>4321.9575000000004</v>
      </c>
      <c r="H28" s="7">
        <f t="shared" si="6"/>
        <v>818.01595749284172</v>
      </c>
      <c r="I28" s="7">
        <f t="shared" si="7"/>
        <v>5153.5005322049028</v>
      </c>
      <c r="J28" s="2">
        <f t="shared" si="8"/>
        <v>1</v>
      </c>
      <c r="K28" s="7">
        <f t="shared" si="9"/>
        <v>7820.8245322049033</v>
      </c>
      <c r="L28" s="7">
        <f t="shared" si="0"/>
        <v>2667.3240000000005</v>
      </c>
      <c r="M28" s="7">
        <f t="shared" si="10"/>
        <v>39255.615133984538</v>
      </c>
      <c r="N28" s="1">
        <f t="shared" si="11"/>
        <v>0.22203338681794046</v>
      </c>
      <c r="O28" s="7">
        <f>C28-G28-K28-$AF$8-$AF$9</f>
        <v>41355.615133984538</v>
      </c>
      <c r="P28" s="1">
        <f t="shared" si="11"/>
        <v>0.22916473754862682</v>
      </c>
      <c r="Q28" s="7">
        <f t="shared" si="12"/>
        <v>9477.2486883415859</v>
      </c>
      <c r="R28" s="7">
        <f t="shared" si="13"/>
        <v>852.95238195074273</v>
      </c>
      <c r="S28" s="7">
        <f t="shared" si="14"/>
        <v>40502.662752033793</v>
      </c>
      <c r="T28" s="1">
        <f t="shared" si="15"/>
        <v>0.22629732320269</v>
      </c>
      <c r="U28" s="7">
        <f t="shared" si="16"/>
        <v>9165.6441633665454</v>
      </c>
      <c r="V28" s="7">
        <f t="shared" si="17"/>
        <v>504.11042898516001</v>
      </c>
      <c r="W28" s="7">
        <f t="shared" si="18"/>
        <v>2796.9363501824378</v>
      </c>
      <c r="X28" s="31">
        <f>IF(MOD(A28,$Y$12) &gt; 0, X27, X27*(1+$X$12))</f>
        <v>2667.3240000000005</v>
      </c>
      <c r="Y28" s="21">
        <f>IF(MOD(A28,$Y$12) &gt; 0,Y27, Y27*(1+$X$12))</f>
        <v>1156.3728000000003</v>
      </c>
      <c r="Z28" s="21">
        <f t="shared" si="19"/>
        <v>1510.9512000000002</v>
      </c>
      <c r="AA28" s="21">
        <f t="shared" si="20"/>
        <v>603.60828131429207</v>
      </c>
      <c r="AB28" s="21">
        <f>(AB27+Z28- Z28*$AA$11 - IF(MOD(A28,$Y$12) = 0, (Z28-Z27) * $AA$13, 0) ) * (1+$AB$12 - $AA$12)</f>
        <v>18834.473659547526</v>
      </c>
      <c r="AC28" s="21"/>
      <c r="AD28" s="41"/>
      <c r="AE28" s="31">
        <f t="shared" si="28"/>
        <v>1101.7649400000003</v>
      </c>
      <c r="AF28" s="21">
        <f t="shared" si="29"/>
        <v>712.67064000000016</v>
      </c>
      <c r="AG28" s="21">
        <f t="shared" si="30"/>
        <v>389.09430000000009</v>
      </c>
      <c r="AH28" s="21">
        <f t="shared" si="23"/>
        <v>9622.3014577794074</v>
      </c>
      <c r="AI28" s="26"/>
      <c r="AJ28" s="41"/>
      <c r="AK28" s="31">
        <f t="shared" si="34"/>
        <v>2315.2963050000003</v>
      </c>
      <c r="AL28" s="21">
        <f t="shared" si="32"/>
        <v>18633.738135595824</v>
      </c>
      <c r="AM28" s="26"/>
      <c r="AN28" s="41"/>
      <c r="AO28" s="31">
        <f t="shared" si="31"/>
        <v>2100</v>
      </c>
      <c r="AP28" s="21">
        <f t="shared" si="33"/>
        <v>30722.001148174379</v>
      </c>
      <c r="AQ28" s="26"/>
      <c r="AR28" s="21">
        <f t="shared" si="26"/>
        <v>607.19150852139865</v>
      </c>
      <c r="AS28" s="44">
        <f t="shared" si="27"/>
        <v>7549.955022587571</v>
      </c>
    </row>
    <row r="29" spans="1:45" s="3" customFormat="1">
      <c r="A29" s="3">
        <f t="shared" si="21"/>
        <v>2027</v>
      </c>
      <c r="B29" s="3">
        <f t="shared" si="1"/>
        <v>39</v>
      </c>
      <c r="C29" s="7">
        <f t="shared" si="22"/>
        <v>55625.085109513238</v>
      </c>
      <c r="D29" s="7">
        <f t="shared" si="2"/>
        <v>4635.4237591261035</v>
      </c>
      <c r="E29" s="7">
        <f t="shared" si="3"/>
        <v>3874.5</v>
      </c>
      <c r="F29" s="7">
        <f t="shared" si="4"/>
        <v>602.4375</v>
      </c>
      <c r="G29" s="7">
        <f t="shared" si="5"/>
        <v>4321.9575000000004</v>
      </c>
      <c r="H29" s="7">
        <f t="shared" si="6"/>
        <v>834.3762766426986</v>
      </c>
      <c r="I29" s="7">
        <f t="shared" si="7"/>
        <v>5256.570542849001</v>
      </c>
      <c r="J29" s="2">
        <f t="shared" si="8"/>
        <v>1</v>
      </c>
      <c r="K29" s="7">
        <f t="shared" si="9"/>
        <v>7923.8945428490015</v>
      </c>
      <c r="L29" s="7">
        <f t="shared" si="0"/>
        <v>2667.3240000000005</v>
      </c>
      <c r="M29" s="7">
        <f t="shared" si="10"/>
        <v>40243.23306666423</v>
      </c>
      <c r="N29" s="1">
        <f t="shared" si="11"/>
        <v>0.22541748075138945</v>
      </c>
      <c r="O29" s="7">
        <f>C29-G29-K29-$AF$8-$AF$9</f>
        <v>42343.23306666423</v>
      </c>
      <c r="P29" s="1">
        <f t="shared" si="11"/>
        <v>0.23243874251862637</v>
      </c>
      <c r="Q29" s="7">
        <f t="shared" si="12"/>
        <v>9842.2078481885528</v>
      </c>
      <c r="R29" s="7">
        <f t="shared" si="13"/>
        <v>885.79870633696976</v>
      </c>
      <c r="S29" s="7">
        <f t="shared" si="14"/>
        <v>41457.434360327257</v>
      </c>
      <c r="T29" s="1">
        <f t="shared" si="15"/>
        <v>0.22950450927018393</v>
      </c>
      <c r="U29" s="7">
        <f t="shared" si="16"/>
        <v>9514.6681284677688</v>
      </c>
      <c r="V29" s="7">
        <f t="shared" si="17"/>
        <v>523.30674706572734</v>
      </c>
      <c r="W29" s="7">
        <f t="shared" si="18"/>
        <v>2844.4522673459228</v>
      </c>
      <c r="X29" s="31">
        <f>IF(MOD(A29,$Y$12) &gt; 0, X28, X28*(1+$X$12))</f>
        <v>2667.3240000000005</v>
      </c>
      <c r="Y29" s="21">
        <f>IF(MOD(A29,$Y$12) &gt; 0,Y28, Y28*(1+$X$12))</f>
        <v>1156.3728000000003</v>
      </c>
      <c r="Z29" s="21">
        <f t="shared" si="19"/>
        <v>1510.9512000000002</v>
      </c>
      <c r="AA29" s="21">
        <f t="shared" si="20"/>
        <v>612.16288568458424</v>
      </c>
      <c r="AB29" s="21">
        <f>(AB28+Z29- Z29*$AA$11 - IF(MOD(A29,$Y$12) = 0, (Z29-Z28) * $AA$13, 0) ) * (1+$AB$12 - $AA$12)</f>
        <v>20947.100025284599</v>
      </c>
      <c r="AC29" s="21"/>
      <c r="AD29" s="41"/>
      <c r="AE29" s="31">
        <f t="shared" si="28"/>
        <v>1101.7649400000003</v>
      </c>
      <c r="AF29" s="21">
        <f t="shared" si="29"/>
        <v>712.67064000000016</v>
      </c>
      <c r="AG29" s="21">
        <f t="shared" si="30"/>
        <v>389.09430000000009</v>
      </c>
      <c r="AH29" s="21">
        <f t="shared" si="23"/>
        <v>10729.030348338763</v>
      </c>
      <c r="AI29" s="26"/>
      <c r="AJ29" s="41"/>
      <c r="AK29" s="31">
        <f t="shared" si="34"/>
        <v>2315.2963050000003</v>
      </c>
      <c r="AL29" s="21">
        <f t="shared" si="32"/>
        <v>21095.128963495663</v>
      </c>
      <c r="AM29" s="26"/>
      <c r="AN29" s="41"/>
      <c r="AO29" s="31">
        <f t="shared" si="31"/>
        <v>2100</v>
      </c>
      <c r="AP29" s="21">
        <f t="shared" si="33"/>
        <v>33969.50292163821</v>
      </c>
      <c r="AQ29" s="26"/>
      <c r="AR29" s="21">
        <f t="shared" si="26"/>
        <v>616.67963301008967</v>
      </c>
      <c r="AS29" s="44">
        <f t="shared" si="27"/>
        <v>8411.6336952655911</v>
      </c>
    </row>
    <row r="30" spans="1:45" s="3" customFormat="1">
      <c r="A30" s="3">
        <f t="shared" si="21"/>
        <v>2028</v>
      </c>
      <c r="B30" s="3">
        <f t="shared" si="1"/>
        <v>40</v>
      </c>
      <c r="C30" s="7">
        <f t="shared" si="22"/>
        <v>56737.586811703506</v>
      </c>
      <c r="D30" s="7">
        <f t="shared" si="2"/>
        <v>4728.1322343086258</v>
      </c>
      <c r="E30" s="7">
        <f t="shared" si="3"/>
        <v>3874.5</v>
      </c>
      <c r="F30" s="7">
        <f t="shared" si="4"/>
        <v>602.4375</v>
      </c>
      <c r="G30" s="7">
        <f t="shared" si="5"/>
        <v>4321.9575000000004</v>
      </c>
      <c r="H30" s="7">
        <f t="shared" si="6"/>
        <v>851.06380217555261</v>
      </c>
      <c r="I30" s="7">
        <f t="shared" si="7"/>
        <v>5361.7019537059814</v>
      </c>
      <c r="J30" s="2">
        <f t="shared" si="8"/>
        <v>1</v>
      </c>
      <c r="K30" s="7">
        <f t="shared" si="9"/>
        <v>8295.7583537059836</v>
      </c>
      <c r="L30" s="7">
        <f t="shared" si="0"/>
        <v>2934.0564000000008</v>
      </c>
      <c r="M30" s="7">
        <f t="shared" si="10"/>
        <v>40983.870957997526</v>
      </c>
      <c r="N30" s="1">
        <f t="shared" si="11"/>
        <v>0.22791971516467938</v>
      </c>
      <c r="O30" s="7">
        <f>C30-G30-K30-$AF$8-$AF$9</f>
        <v>43083.870957997526</v>
      </c>
      <c r="P30" s="1">
        <f t="shared" si="11"/>
        <v>0.23486346446076711</v>
      </c>
      <c r="Q30" s="7">
        <f t="shared" si="12"/>
        <v>10118.827195575928</v>
      </c>
      <c r="R30" s="7">
        <f t="shared" si="13"/>
        <v>910.69444760183353</v>
      </c>
      <c r="S30" s="7">
        <f t="shared" si="14"/>
        <v>42173.176510395693</v>
      </c>
      <c r="T30" s="1">
        <f t="shared" si="15"/>
        <v>0.23187838400823416</v>
      </c>
      <c r="U30" s="7">
        <f t="shared" si="16"/>
        <v>9779.0480177245736</v>
      </c>
      <c r="V30" s="7">
        <f t="shared" si="17"/>
        <v>537.84764097485152</v>
      </c>
      <c r="W30" s="7">
        <f t="shared" si="18"/>
        <v>2901.6911207933931</v>
      </c>
      <c r="X30" s="31">
        <f>IF(MOD(A30,$Y$12) &gt; 0, X29, X29*(1+$X$12))</f>
        <v>2934.0564000000008</v>
      </c>
      <c r="Y30" s="21">
        <f>IF(MOD(A30,$Y$12) &gt; 0,Y29, Y29*(1+$X$12))</f>
        <v>1272.0100800000005</v>
      </c>
      <c r="Z30" s="21">
        <f t="shared" si="19"/>
        <v>1662.0463200000004</v>
      </c>
      <c r="AA30" s="21">
        <f t="shared" si="20"/>
        <v>680.34425662101762</v>
      </c>
      <c r="AB30" s="21">
        <f>(AB29+Z30- Z30*$AA$11 - IF(MOD(A30,$Y$12) = 0, (Z30-Z29) * $AA$13, 0) ) * (1+$AB$12 - $AA$12)</f>
        <v>23268.51918723304</v>
      </c>
      <c r="AC30" s="21"/>
      <c r="AD30" s="41"/>
      <c r="AE30" s="31">
        <f t="shared" si="28"/>
        <v>1192.4867190000004</v>
      </c>
      <c r="AF30" s="21">
        <f t="shared" si="29"/>
        <v>783.93770400000028</v>
      </c>
      <c r="AG30" s="21">
        <f t="shared" si="30"/>
        <v>408.54901500000011</v>
      </c>
      <c r="AH30" s="21">
        <f t="shared" si="23"/>
        <v>11945.954064614341</v>
      </c>
      <c r="AI30" s="26"/>
      <c r="AJ30" s="41"/>
      <c r="AK30" s="31">
        <f t="shared" si="34"/>
        <v>2431.0611202500004</v>
      </c>
      <c r="AL30" s="21">
        <f t="shared" si="32"/>
        <v>23795.285237963595</v>
      </c>
      <c r="AM30" s="26"/>
      <c r="AN30" s="41"/>
      <c r="AO30" s="31">
        <f t="shared" si="31"/>
        <v>2100</v>
      </c>
      <c r="AP30" s="21">
        <f t="shared" si="33"/>
        <v>37325.796004513082</v>
      </c>
      <c r="AQ30" s="26"/>
      <c r="AR30" s="21">
        <f t="shared" si="26"/>
        <v>623.7950004831564</v>
      </c>
      <c r="AS30" s="44">
        <f t="shared" si="27"/>
        <v>9306.4915566212094</v>
      </c>
    </row>
    <row r="31" spans="1:45" s="3" customFormat="1">
      <c r="A31" s="3">
        <f t="shared" si="21"/>
        <v>2029</v>
      </c>
      <c r="B31" s="3">
        <f t="shared" si="1"/>
        <v>41</v>
      </c>
      <c r="C31" s="7">
        <f t="shared" si="22"/>
        <v>57872.338547937579</v>
      </c>
      <c r="D31" s="7">
        <f t="shared" si="2"/>
        <v>4822.6948789947983</v>
      </c>
      <c r="E31" s="7">
        <f t="shared" si="3"/>
        <v>3874.5</v>
      </c>
      <c r="F31" s="7">
        <f t="shared" si="4"/>
        <v>602.4375</v>
      </c>
      <c r="G31" s="7">
        <f t="shared" si="5"/>
        <v>4321.9575000000004</v>
      </c>
      <c r="H31" s="7">
        <f t="shared" si="6"/>
        <v>868.08507821906369</v>
      </c>
      <c r="I31" s="7">
        <f t="shared" si="7"/>
        <v>5468.9359927801015</v>
      </c>
      <c r="J31" s="2">
        <f t="shared" si="8"/>
        <v>1</v>
      </c>
      <c r="K31" s="7">
        <f t="shared" si="9"/>
        <v>8402.9923927801028</v>
      </c>
      <c r="L31" s="7">
        <f t="shared" si="0"/>
        <v>2934.0564000000008</v>
      </c>
      <c r="M31" s="7">
        <f t="shared" si="10"/>
        <v>42011.388655157483</v>
      </c>
      <c r="N31" s="1">
        <f t="shared" si="11"/>
        <v>0.23134398411757928</v>
      </c>
      <c r="O31" s="7">
        <f>C31-G31-K31-$AF$8-$AF$9</f>
        <v>44111.388655157483</v>
      </c>
      <c r="P31" s="1">
        <f t="shared" si="11"/>
        <v>0.23818675392729785</v>
      </c>
      <c r="Q31" s="7">
        <f t="shared" si="12"/>
        <v>10506.748474997394</v>
      </c>
      <c r="R31" s="7">
        <f t="shared" si="13"/>
        <v>945.60736274976534</v>
      </c>
      <c r="S31" s="7">
        <f t="shared" si="14"/>
        <v>43165.781292407715</v>
      </c>
      <c r="T31" s="1">
        <f t="shared" si="15"/>
        <v>0.23513008523840156</v>
      </c>
      <c r="U31" s="7">
        <f t="shared" si="16"/>
        <v>10149.573834666026</v>
      </c>
      <c r="V31" s="7">
        <f t="shared" si="17"/>
        <v>558.22656090663145</v>
      </c>
      <c r="W31" s="7">
        <f t="shared" si="18"/>
        <v>2950.4143515513329</v>
      </c>
      <c r="X31" s="31">
        <f>IF(MOD(A31,$Y$12) &gt; 0, X30, X30*(1+$X$12))</f>
        <v>2934.0564000000008</v>
      </c>
      <c r="Y31" s="21">
        <f>IF(MOD(A31,$Y$12) &gt; 0,Y30, Y30*(1+$X$12))</f>
        <v>1272.0100800000005</v>
      </c>
      <c r="Z31" s="21">
        <f t="shared" si="19"/>
        <v>1662.0463200000004</v>
      </c>
      <c r="AA31" s="21">
        <f t="shared" si="20"/>
        <v>689.88493142627794</v>
      </c>
      <c r="AB31" s="21">
        <f>(AB30+Z31- Z31*$AA$11 - IF(MOD(A31,$Y$12) = 0, (Z31-Z30) * $AA$13, 0) ) * (1+$AB$12 - $AA$12)</f>
        <v>25694.330092086584</v>
      </c>
      <c r="AC31" s="21"/>
      <c r="AD31" s="41"/>
      <c r="AE31" s="31">
        <f t="shared" si="28"/>
        <v>1192.4867190000004</v>
      </c>
      <c r="AF31" s="21">
        <f t="shared" si="29"/>
        <v>783.93770400000028</v>
      </c>
      <c r="AG31" s="21">
        <f t="shared" si="30"/>
        <v>408.54901500000011</v>
      </c>
      <c r="AH31" s="21">
        <f t="shared" si="23"/>
        <v>13219.174165132968</v>
      </c>
      <c r="AI31" s="26"/>
      <c r="AJ31" s="41"/>
      <c r="AK31" s="31">
        <f t="shared" si="34"/>
        <v>2431.0611202500004</v>
      </c>
      <c r="AL31" s="21">
        <f t="shared" si="32"/>
        <v>26611.548232233647</v>
      </c>
      <c r="AM31" s="26"/>
      <c r="AN31" s="41"/>
      <c r="AO31" s="31">
        <f t="shared" si="31"/>
        <v>2100</v>
      </c>
      <c r="AP31" s="21">
        <f t="shared" si="33"/>
        <v>40794.524905664264</v>
      </c>
      <c r="AQ31" s="26"/>
      <c r="AR31" s="21">
        <f t="shared" si="26"/>
        <v>633.66644520119007</v>
      </c>
      <c r="AS31" s="44">
        <f t="shared" si="27"/>
        <v>10238.362741877072</v>
      </c>
    </row>
    <row r="32" spans="1:45" s="3" customFormat="1">
      <c r="A32" s="3">
        <f t="shared" si="21"/>
        <v>2030</v>
      </c>
      <c r="B32" s="3">
        <f t="shared" si="1"/>
        <v>42</v>
      </c>
      <c r="C32" s="7">
        <f t="shared" si="22"/>
        <v>59029.785318896335</v>
      </c>
      <c r="D32" s="7">
        <f t="shared" si="2"/>
        <v>4919.1487765746942</v>
      </c>
      <c r="E32" s="7">
        <f t="shared" si="3"/>
        <v>3874.5</v>
      </c>
      <c r="F32" s="7">
        <f t="shared" si="4"/>
        <v>602.4375</v>
      </c>
      <c r="G32" s="7">
        <f t="shared" si="5"/>
        <v>4321.9575000000004</v>
      </c>
      <c r="H32" s="7">
        <f t="shared" si="6"/>
        <v>885.44677978344498</v>
      </c>
      <c r="I32" s="7">
        <f t="shared" si="7"/>
        <v>5578.3147126357035</v>
      </c>
      <c r="J32" s="2">
        <f t="shared" si="8"/>
        <v>1</v>
      </c>
      <c r="K32" s="7">
        <f t="shared" si="9"/>
        <v>8512.3711126357048</v>
      </c>
      <c r="L32" s="7">
        <f t="shared" si="0"/>
        <v>2934.0564000000008</v>
      </c>
      <c r="M32" s="7">
        <f t="shared" si="10"/>
        <v>43059.456706260622</v>
      </c>
      <c r="N32" s="1">
        <f t="shared" si="11"/>
        <v>0.23478393695112737</v>
      </c>
      <c r="O32" s="7">
        <f>C32-G32-K32-$AF$8-$AF$9</f>
        <v>45159.456706260622</v>
      </c>
      <c r="P32" s="1">
        <f t="shared" si="11"/>
        <v>0.24153089702192856</v>
      </c>
      <c r="Q32" s="7">
        <f t="shared" si="12"/>
        <v>10907.404087286075</v>
      </c>
      <c r="R32" s="7">
        <f t="shared" si="13"/>
        <v>981.66636785574667</v>
      </c>
      <c r="S32" s="7">
        <f t="shared" si="14"/>
        <v>44177.790338404877</v>
      </c>
      <c r="T32" s="1">
        <f t="shared" si="15"/>
        <v>0.23839995928315075</v>
      </c>
      <c r="U32" s="7">
        <f t="shared" si="16"/>
        <v>10531.983417895293</v>
      </c>
      <c r="V32" s="7">
        <f t="shared" si="17"/>
        <v>579.25908798424109</v>
      </c>
      <c r="W32" s="7">
        <f t="shared" si="18"/>
        <v>2999.6814543951591</v>
      </c>
      <c r="X32" s="31">
        <f>IF(MOD(A32,$Y$12) &gt; 0, X31, X31*(1+$X$12))</f>
        <v>2934.0564000000008</v>
      </c>
      <c r="Y32" s="21">
        <f>IF(MOD(A32,$Y$12) &gt; 0,Y31, Y31*(1+$X$12))</f>
        <v>1272.0100800000005</v>
      </c>
      <c r="Z32" s="21">
        <f t="shared" si="19"/>
        <v>1662.0463200000004</v>
      </c>
      <c r="AA32" s="21">
        <f t="shared" si="20"/>
        <v>699.47892629446812</v>
      </c>
      <c r="AB32" s="21">
        <f>(AB31+Z32- Z32*$AA$11 - IF(MOD(A32,$Y$12) = 0, (Z32-Z31) * $AA$13, 0) ) * (1+$AB$12 - $AA$12)</f>
        <v>28217.076400698079</v>
      </c>
      <c r="AC32" s="21"/>
      <c r="AD32" s="41"/>
      <c r="AE32" s="31">
        <f t="shared" si="28"/>
        <v>1192.4867190000004</v>
      </c>
      <c r="AF32" s="21">
        <f t="shared" si="29"/>
        <v>783.93770400000028</v>
      </c>
      <c r="AG32" s="21">
        <f t="shared" si="30"/>
        <v>408.54901500000011</v>
      </c>
      <c r="AH32" s="21">
        <f t="shared" si="23"/>
        <v>14544.59628977286</v>
      </c>
      <c r="AI32" s="26"/>
      <c r="AJ32" s="41"/>
      <c r="AK32" s="31">
        <f t="shared" si="34"/>
        <v>2431.0611202500004</v>
      </c>
      <c r="AL32" s="21">
        <f t="shared" si="32"/>
        <v>29526.73674169237</v>
      </c>
      <c r="AM32" s="26"/>
      <c r="AN32" s="41"/>
      <c r="AO32" s="31">
        <f t="shared" si="31"/>
        <v>2100</v>
      </c>
      <c r="AP32" s="21">
        <f t="shared" si="33"/>
        <v>44379.456225004011</v>
      </c>
      <c r="AQ32" s="26"/>
      <c r="AR32" s="21">
        <f t="shared" si="26"/>
        <v>643.73531881358213</v>
      </c>
      <c r="AS32" s="44">
        <f t="shared" si="27"/>
        <v>11208.561002511375</v>
      </c>
    </row>
    <row r="33" spans="1:45" s="3" customFormat="1">
      <c r="A33" s="3">
        <f t="shared" si="21"/>
        <v>2031</v>
      </c>
      <c r="B33" s="3">
        <f t="shared" si="1"/>
        <v>43</v>
      </c>
      <c r="C33" s="7">
        <f t="shared" si="22"/>
        <v>60210.381025274262</v>
      </c>
      <c r="D33" s="7">
        <f t="shared" si="2"/>
        <v>5017.5317521061888</v>
      </c>
      <c r="E33" s="7">
        <f t="shared" si="3"/>
        <v>3874.5</v>
      </c>
      <c r="F33" s="7">
        <f t="shared" si="4"/>
        <v>602.4375</v>
      </c>
      <c r="G33" s="7">
        <f t="shared" si="5"/>
        <v>4321.9575000000004</v>
      </c>
      <c r="H33" s="7">
        <f t="shared" si="6"/>
        <v>903.15571537911387</v>
      </c>
      <c r="I33" s="7">
        <f t="shared" si="7"/>
        <v>5689.8810068884177</v>
      </c>
      <c r="J33" s="2">
        <f t="shared" si="8"/>
        <v>1</v>
      </c>
      <c r="K33" s="7">
        <f t="shared" si="9"/>
        <v>8623.937406888419</v>
      </c>
      <c r="L33" s="7">
        <f t="shared" si="0"/>
        <v>2934.0564000000008</v>
      </c>
      <c r="M33" s="7">
        <f t="shared" si="10"/>
        <v>44128.486118385845</v>
      </c>
      <c r="N33" s="1">
        <f t="shared" si="11"/>
        <v>0.23824166883157366</v>
      </c>
      <c r="O33" s="7">
        <f>C33-G33-K33-$AF$8-$AF$9</f>
        <v>46228.486118385845</v>
      </c>
      <c r="P33" s="1">
        <f t="shared" si="11"/>
        <v>0.24489769612530629</v>
      </c>
      <c r="Q33" s="7">
        <f t="shared" si="12"/>
        <v>11321.249745753397</v>
      </c>
      <c r="R33" s="7">
        <f t="shared" si="13"/>
        <v>1018.9124771178057</v>
      </c>
      <c r="S33" s="7">
        <f t="shared" si="14"/>
        <v>45209.573641268042</v>
      </c>
      <c r="T33" s="1">
        <f t="shared" si="15"/>
        <v>0.2416897088346896</v>
      </c>
      <c r="U33" s="7">
        <f t="shared" si="16"/>
        <v>10926.68868989853</v>
      </c>
      <c r="V33" s="7">
        <f t="shared" si="17"/>
        <v>600.96787794441923</v>
      </c>
      <c r="W33" s="7">
        <f t="shared" si="18"/>
        <v>3049.4864798371641</v>
      </c>
      <c r="X33" s="31">
        <f>IF(MOD(A33,$Y$12) &gt; 0, X32, X32*(1+$X$12))</f>
        <v>2934.0564000000008</v>
      </c>
      <c r="Y33" s="21">
        <f>IF(MOD(A33,$Y$12) &gt; 0,Y32, Y32*(1+$X$12))</f>
        <v>1272.0100800000005</v>
      </c>
      <c r="Z33" s="21">
        <f t="shared" si="19"/>
        <v>1662.0463200000004</v>
      </c>
      <c r="AA33" s="21">
        <f t="shared" si="20"/>
        <v>709.13123702055782</v>
      </c>
      <c r="AB33" s="21">
        <f>(AB32+Z33- Z33*$AA$11 - IF(MOD(A33,$Y$12) = 0, (Z33-Z32) * $AA$13, 0) ) * (1+$AB$12 - $AA$12)</f>
        <v>30840.631651801687</v>
      </c>
      <c r="AC33" s="21"/>
      <c r="AD33" s="41"/>
      <c r="AE33" s="31">
        <f t="shared" si="28"/>
        <v>1192.4867190000004</v>
      </c>
      <c r="AF33" s="21">
        <f t="shared" si="29"/>
        <v>783.93770400000028</v>
      </c>
      <c r="AG33" s="21">
        <f t="shared" si="30"/>
        <v>408.54901500000011</v>
      </c>
      <c r="AH33" s="21">
        <f t="shared" si="23"/>
        <v>15924.360721522988</v>
      </c>
      <c r="AI33" s="26"/>
      <c r="AJ33" s="41"/>
      <c r="AK33" s="31">
        <f t="shared" si="34"/>
        <v>2552.6141762625007</v>
      </c>
      <c r="AL33" s="21">
        <f t="shared" si="32"/>
        <v>32706.850280074643</v>
      </c>
      <c r="AM33" s="26"/>
      <c r="AN33" s="41"/>
      <c r="AO33" s="31">
        <f t="shared" si="31"/>
        <v>2100</v>
      </c>
      <c r="AP33" s="21">
        <f t="shared" si="33"/>
        <v>48084.482743541637</v>
      </c>
      <c r="AQ33" s="26"/>
      <c r="AR33" s="21">
        <f t="shared" si="26"/>
        <v>654.00556989822144</v>
      </c>
      <c r="AS33" s="44">
        <f t="shared" si="27"/>
        <v>12218.443569581885</v>
      </c>
    </row>
    <row r="34" spans="1:45" s="3" customFormat="1">
      <c r="A34" s="3">
        <f t="shared" si="21"/>
        <v>2032</v>
      </c>
      <c r="B34" s="3">
        <f t="shared" si="1"/>
        <v>44</v>
      </c>
      <c r="C34" s="7">
        <f t="shared" si="22"/>
        <v>61414.588645779746</v>
      </c>
      <c r="D34" s="7">
        <f t="shared" si="2"/>
        <v>5117.8823871483119</v>
      </c>
      <c r="E34" s="7">
        <f t="shared" si="3"/>
        <v>3874.5</v>
      </c>
      <c r="F34" s="7">
        <f t="shared" si="4"/>
        <v>602.4375</v>
      </c>
      <c r="G34" s="7">
        <f t="shared" si="5"/>
        <v>4321.9575000000004</v>
      </c>
      <c r="H34" s="7">
        <f t="shared" si="6"/>
        <v>921.21882968669615</v>
      </c>
      <c r="I34" s="7">
        <f t="shared" si="7"/>
        <v>5803.6786270261864</v>
      </c>
      <c r="J34" s="2">
        <f t="shared" si="8"/>
        <v>1</v>
      </c>
      <c r="K34" s="7">
        <f t="shared" si="9"/>
        <v>9031.1406670261858</v>
      </c>
      <c r="L34" s="7">
        <f t="shared" si="0"/>
        <v>3227.4620400000013</v>
      </c>
      <c r="M34" s="7">
        <f t="shared" si="10"/>
        <v>44925.490478753556</v>
      </c>
      <c r="N34" s="1">
        <f t="shared" si="11"/>
        <v>0.24078819487413494</v>
      </c>
      <c r="O34" s="7">
        <f>C34-G34-K34-$AF$8-$AF$9</f>
        <v>47025.490478753556</v>
      </c>
      <c r="P34" s="1">
        <f t="shared" si="11"/>
        <v>0.24738051835990493</v>
      </c>
      <c r="Q34" s="7">
        <f t="shared" si="12"/>
        <v>11633.190210762828</v>
      </c>
      <c r="R34" s="7">
        <f t="shared" si="13"/>
        <v>1046.9871189686546</v>
      </c>
      <c r="S34" s="7">
        <f t="shared" si="14"/>
        <v>45978.503359784903</v>
      </c>
      <c r="T34" s="1">
        <f t="shared" si="15"/>
        <v>0.24411423949866085</v>
      </c>
      <c r="U34" s="7">
        <f t="shared" si="16"/>
        <v>11224.007380960515</v>
      </c>
      <c r="V34" s="7">
        <f t="shared" si="17"/>
        <v>617.32040595282831</v>
      </c>
      <c r="W34" s="7">
        <f t="shared" si="18"/>
        <v>3110.3698985987389</v>
      </c>
      <c r="X34" s="31">
        <f>IF(MOD(A34,$Y$12) &gt; 0, X33, X33*(1+$X$12))</f>
        <v>3227.4620400000013</v>
      </c>
      <c r="Y34" s="21">
        <f>IF(MOD(A34,$Y$12) &gt; 0,Y33, Y33*(1+$X$12))</f>
        <v>1399.2110880000007</v>
      </c>
      <c r="Z34" s="21">
        <f t="shared" si="19"/>
        <v>1828.2509520000006</v>
      </c>
      <c r="AA34" s="21">
        <f t="shared" si="20"/>
        <v>787.8694414053964</v>
      </c>
      <c r="AB34" s="21">
        <f>(AB33+Z34- Z34*$AA$11 - IF(MOD(A34,$Y$12) = 0, (Z34-Z33) * $AA$13, 0) ) * (1+$AB$12 - $AA$12)</f>
        <v>33705.833642039557</v>
      </c>
      <c r="AC34" s="21"/>
      <c r="AD34" s="41"/>
      <c r="AE34" s="31">
        <f t="shared" si="28"/>
        <v>1270.8804894000004</v>
      </c>
      <c r="AF34" s="21">
        <f t="shared" si="29"/>
        <v>862.33147440000039</v>
      </c>
      <c r="AG34" s="21">
        <f t="shared" si="30"/>
        <v>408.54901500000011</v>
      </c>
      <c r="AH34" s="21">
        <f t="shared" si="23"/>
        <v>17431.996330298487</v>
      </c>
      <c r="AI34" s="26"/>
      <c r="AJ34" s="41"/>
      <c r="AK34" s="31">
        <f t="shared" si="34"/>
        <v>2552.6141762625007</v>
      </c>
      <c r="AL34" s="21">
        <f t="shared" si="32"/>
        <v>36023.708700607356</v>
      </c>
      <c r="AM34" s="26"/>
      <c r="AN34" s="41"/>
      <c r="AO34" s="31">
        <f t="shared" si="31"/>
        <v>2100</v>
      </c>
      <c r="AP34" s="21">
        <f t="shared" si="33"/>
        <v>51913.627650450275</v>
      </c>
      <c r="AQ34" s="26"/>
      <c r="AR34" s="21">
        <f t="shared" si="26"/>
        <v>661.66245454862292</v>
      </c>
      <c r="AS34" s="44">
        <f t="shared" si="27"/>
        <v>13266.509204854423</v>
      </c>
    </row>
    <row r="35" spans="1:45" s="3" customFormat="1">
      <c r="A35" s="3">
        <f t="shared" si="21"/>
        <v>2033</v>
      </c>
      <c r="B35" s="3">
        <f t="shared" si="1"/>
        <v>45</v>
      </c>
      <c r="C35" s="7">
        <f t="shared" si="22"/>
        <v>62642.880418695342</v>
      </c>
      <c r="D35" s="7">
        <f t="shared" si="2"/>
        <v>5220.2400348912788</v>
      </c>
      <c r="E35" s="7">
        <f t="shared" si="3"/>
        <v>3874.5</v>
      </c>
      <c r="F35" s="7">
        <f t="shared" si="4"/>
        <v>602.4375</v>
      </c>
      <c r="G35" s="7">
        <f t="shared" si="5"/>
        <v>4321.9575000000004</v>
      </c>
      <c r="H35" s="7">
        <f t="shared" si="6"/>
        <v>939.64320628043015</v>
      </c>
      <c r="I35" s="7">
        <f t="shared" si="7"/>
        <v>5919.7521995667103</v>
      </c>
      <c r="J35" s="2">
        <f t="shared" si="8"/>
        <v>1</v>
      </c>
      <c r="K35" s="7">
        <f t="shared" si="9"/>
        <v>9147.2142395667124</v>
      </c>
      <c r="L35" s="7">
        <f t="shared" si="0"/>
        <v>3227.4620400000013</v>
      </c>
      <c r="M35" s="7">
        <f t="shared" si="10"/>
        <v>46037.708679128635</v>
      </c>
      <c r="N35" s="1">
        <f t="shared" si="11"/>
        <v>0.24429999921247955</v>
      </c>
      <c r="O35" s="7">
        <f>C35-G35-K35-$AF$8-$AF$9</f>
        <v>48137.708679128635</v>
      </c>
      <c r="P35" s="1">
        <f t="shared" si="11"/>
        <v>0.25080877651052996</v>
      </c>
      <c r="Q35" s="7">
        <f t="shared" si="12"/>
        <v>12073.359817832572</v>
      </c>
      <c r="R35" s="7">
        <f t="shared" si="13"/>
        <v>1086.6023836049314</v>
      </c>
      <c r="S35" s="7">
        <f t="shared" si="14"/>
        <v>47051.106295523707</v>
      </c>
      <c r="T35" s="1">
        <f t="shared" si="15"/>
        <v>0.24745994583614553</v>
      </c>
      <c r="U35" s="7">
        <f t="shared" si="16"/>
        <v>11643.264215421023</v>
      </c>
      <c r="V35" s="7">
        <f t="shared" si="17"/>
        <v>640.37953184815626</v>
      </c>
      <c r="W35" s="7">
        <f t="shared" si="18"/>
        <v>3161.3584484978405</v>
      </c>
      <c r="X35" s="31">
        <f>IF(MOD(A35,$Y$12) &gt; 0, X34, X34*(1+$X$12))</f>
        <v>3227.4620400000013</v>
      </c>
      <c r="Y35" s="21">
        <f>IF(MOD(A35,$Y$12) &gt; 0,Y34, Y34*(1+$X$12))</f>
        <v>1399.2110880000007</v>
      </c>
      <c r="Z35" s="21">
        <f t="shared" si="19"/>
        <v>1828.2509520000006</v>
      </c>
      <c r="AA35" s="21">
        <f t="shared" si="20"/>
        <v>798.6675816066163</v>
      </c>
      <c r="AB35" s="21">
        <f>(AB34+Z35- Z35*$AA$11 - IF(MOD(A35,$Y$12) = 0, (Z35-Z34) * $AA$13, 0) ) * (1+$AB$12 - $AA$12)</f>
        <v>36698.319720320345</v>
      </c>
      <c r="AC35" s="21"/>
      <c r="AD35" s="41"/>
      <c r="AE35" s="31">
        <f t="shared" si="28"/>
        <v>1270.8804894000004</v>
      </c>
      <c r="AF35" s="21">
        <f t="shared" si="29"/>
        <v>862.33147440000039</v>
      </c>
      <c r="AG35" s="21">
        <f t="shared" si="30"/>
        <v>408.54901500000011</v>
      </c>
      <c r="AH35" s="21">
        <f t="shared" si="23"/>
        <v>19008.487762097109</v>
      </c>
      <c r="AI35" s="26"/>
      <c r="AJ35" s="41"/>
      <c r="AK35" s="31">
        <f t="shared" si="34"/>
        <v>2552.6141762625007</v>
      </c>
      <c r="AL35" s="21">
        <f t="shared" si="32"/>
        <v>39459.909549979784</v>
      </c>
      <c r="AM35" s="26"/>
      <c r="AN35" s="41"/>
      <c r="AO35" s="31">
        <f t="shared" si="31"/>
        <v>2100</v>
      </c>
      <c r="AP35" s="21">
        <f t="shared" si="33"/>
        <v>55871.048911740349</v>
      </c>
      <c r="AQ35" s="26"/>
      <c r="AR35" s="21">
        <f t="shared" si="26"/>
        <v>672.34762377708284</v>
      </c>
      <c r="AS35" s="44">
        <f t="shared" si="27"/>
        <v>14357.022533490452</v>
      </c>
    </row>
    <row r="36" spans="1:45" s="3" customFormat="1">
      <c r="A36" s="3">
        <f t="shared" si="21"/>
        <v>2034</v>
      </c>
      <c r="B36" s="3">
        <f t="shared" si="1"/>
        <v>46</v>
      </c>
      <c r="C36" s="7">
        <f t="shared" si="22"/>
        <v>63895.738027069252</v>
      </c>
      <c r="D36" s="7">
        <f t="shared" si="2"/>
        <v>5324.6448355891043</v>
      </c>
      <c r="E36" s="7">
        <f t="shared" si="3"/>
        <v>3874.5</v>
      </c>
      <c r="F36" s="7">
        <f t="shared" si="4"/>
        <v>602.4375</v>
      </c>
      <c r="G36" s="7">
        <f t="shared" si="5"/>
        <v>4321.9575000000004</v>
      </c>
      <c r="H36" s="7">
        <f t="shared" si="6"/>
        <v>958.43607040603877</v>
      </c>
      <c r="I36" s="7">
        <f t="shared" si="7"/>
        <v>6038.1472435580445</v>
      </c>
      <c r="J36" s="2">
        <f t="shared" si="8"/>
        <v>1</v>
      </c>
      <c r="K36" s="7">
        <f t="shared" si="9"/>
        <v>9265.6092835580457</v>
      </c>
      <c r="L36" s="7">
        <f t="shared" si="0"/>
        <v>3227.4620400000013</v>
      </c>
      <c r="M36" s="7">
        <f t="shared" si="10"/>
        <v>47172.171243511199</v>
      </c>
      <c r="N36" s="1">
        <f t="shared" si="11"/>
        <v>0.24783502817254666</v>
      </c>
      <c r="O36" s="7">
        <f>C36-G36-K36-$AF$8-$AF$9</f>
        <v>49272.171243511199</v>
      </c>
      <c r="P36" s="1">
        <f t="shared" si="11"/>
        <v>0.25426447768192834</v>
      </c>
      <c r="Q36" s="7">
        <f t="shared" si="12"/>
        <v>12528.162885485905</v>
      </c>
      <c r="R36" s="7">
        <f t="shared" si="13"/>
        <v>1127.5346596937313</v>
      </c>
      <c r="S36" s="7">
        <f t="shared" si="14"/>
        <v>48144.636583817468</v>
      </c>
      <c r="T36" s="1">
        <f t="shared" si="15"/>
        <v>0.25083000279205669</v>
      </c>
      <c r="U36" s="7">
        <f t="shared" si="16"/>
        <v>12076.11932874149</v>
      </c>
      <c r="V36" s="7">
        <f t="shared" si="17"/>
        <v>664.18656308078198</v>
      </c>
      <c r="W36" s="7">
        <f t="shared" si="18"/>
        <v>3212.864721799097</v>
      </c>
      <c r="X36" s="31">
        <f>IF(MOD(A36,$Y$12) &gt; 0, X35, X35*(1+$X$12))</f>
        <v>3227.4620400000013</v>
      </c>
      <c r="Y36" s="21">
        <f>IF(MOD(A36,$Y$12) &gt; 0,Y35, Y35*(1+$X$12))</f>
        <v>1399.2110880000007</v>
      </c>
      <c r="Z36" s="21">
        <f t="shared" si="19"/>
        <v>1828.2509520000006</v>
      </c>
      <c r="AA36" s="21">
        <f t="shared" si="20"/>
        <v>809.54431250445725</v>
      </c>
      <c r="AB36" s="21">
        <f>(AB35+Z36- Z36*$AA$11 - IF(MOD(A36,$Y$12) = 0, (Z36-Z35) * $AA$13, 0) ) * (1+$AB$12 - $AA$12)</f>
        <v>39810.38554228923</v>
      </c>
      <c r="AC36" s="21"/>
      <c r="AD36" s="41"/>
      <c r="AE36" s="31">
        <f t="shared" si="28"/>
        <v>1291.3079401500006</v>
      </c>
      <c r="AF36" s="21">
        <f t="shared" si="29"/>
        <v>862.33147440000039</v>
      </c>
      <c r="AG36" s="21">
        <f t="shared" si="30"/>
        <v>428.97646575000016</v>
      </c>
      <c r="AH36" s="21">
        <f t="shared" si="23"/>
        <v>20649.615342599474</v>
      </c>
      <c r="AI36" s="26"/>
      <c r="AJ36" s="41"/>
      <c r="AK36" s="31">
        <f t="shared" si="34"/>
        <v>2680.2448850756259</v>
      </c>
      <c r="AL36" s="21">
        <f t="shared" si="32"/>
        <v>43190.417555042899</v>
      </c>
      <c r="AM36" s="26"/>
      <c r="AN36" s="41"/>
      <c r="AO36" s="31">
        <f t="shared" si="31"/>
        <v>2100</v>
      </c>
      <c r="AP36" s="21">
        <f t="shared" si="33"/>
        <v>59961.04378528364</v>
      </c>
      <c r="AQ36" s="26"/>
      <c r="AR36" s="21">
        <f t="shared" si="26"/>
        <v>683.24649639011113</v>
      </c>
      <c r="AS36" s="44">
        <f t="shared" si="27"/>
        <v>15491.47710077698</v>
      </c>
    </row>
    <row r="37" spans="1:45" s="3" customFormat="1">
      <c r="A37" s="3">
        <f t="shared" si="21"/>
        <v>2035</v>
      </c>
      <c r="B37" s="3">
        <f t="shared" si="1"/>
        <v>47</v>
      </c>
      <c r="C37" s="7">
        <f t="shared" si="22"/>
        <v>65173.652787610641</v>
      </c>
      <c r="D37" s="7">
        <f t="shared" si="2"/>
        <v>5431.1377323008865</v>
      </c>
      <c r="E37" s="7">
        <f t="shared" si="3"/>
        <v>3874.5</v>
      </c>
      <c r="F37" s="7">
        <f t="shared" si="4"/>
        <v>602.4375</v>
      </c>
      <c r="G37" s="7">
        <f t="shared" si="5"/>
        <v>4321.9575000000004</v>
      </c>
      <c r="H37" s="7">
        <f t="shared" si="6"/>
        <v>977.60479181415963</v>
      </c>
      <c r="I37" s="7">
        <f t="shared" si="7"/>
        <v>6158.9101884292058</v>
      </c>
      <c r="J37" s="2">
        <f t="shared" si="8"/>
        <v>1</v>
      </c>
      <c r="K37" s="7">
        <f t="shared" si="9"/>
        <v>9386.3722284292053</v>
      </c>
      <c r="L37" s="7">
        <f t="shared" si="0"/>
        <v>3227.4620400000013</v>
      </c>
      <c r="M37" s="7">
        <f t="shared" si="10"/>
        <v>48329.323059181435</v>
      </c>
      <c r="N37" s="1">
        <f t="shared" si="11"/>
        <v>0.25139529176450987</v>
      </c>
      <c r="O37" s="7">
        <f>C37-G37-K37-$AF$8-$AF$9</f>
        <v>50429.323059181435</v>
      </c>
      <c r="P37" s="1">
        <f t="shared" si="11"/>
        <v>0.25774939716017192</v>
      </c>
      <c r="Q37" s="7">
        <f t="shared" si="12"/>
        <v>12998.127617699573</v>
      </c>
      <c r="R37" s="7">
        <f t="shared" si="13"/>
        <v>1169.8314855929614</v>
      </c>
      <c r="S37" s="7">
        <f t="shared" si="14"/>
        <v>49259.491573588472</v>
      </c>
      <c r="T37" s="1">
        <f t="shared" si="15"/>
        <v>0.25422607305529737</v>
      </c>
      <c r="U37" s="7">
        <f t="shared" si="16"/>
        <v>12523.047103453908</v>
      </c>
      <c r="V37" s="7">
        <f t="shared" si="17"/>
        <v>688.76759068996489</v>
      </c>
      <c r="W37" s="7">
        <f t="shared" si="18"/>
        <v>3264.8795106358698</v>
      </c>
      <c r="X37" s="31">
        <f>IF(MOD(A37,$Y$12) &gt; 0, X36, X36*(1+$X$12))</f>
        <v>3227.4620400000013</v>
      </c>
      <c r="Y37" s="21">
        <f>IF(MOD(A37,$Y$12) &gt; 0,Y36, Y36*(1+$X$12))</f>
        <v>1399.2110880000007</v>
      </c>
      <c r="Z37" s="21">
        <f t="shared" si="19"/>
        <v>1828.2509520000006</v>
      </c>
      <c r="AA37" s="21">
        <f t="shared" si="20"/>
        <v>820.50500036423898</v>
      </c>
      <c r="AB37" s="21">
        <f>(AB36+Z37- Z37*$AA$11 - IF(MOD(A37,$Y$12) = 0, (Z37-Z36) * $AA$13, 0) ) * (1+$AB$12 - $AA$12)</f>
        <v>43046.809514503992</v>
      </c>
      <c r="AC37" s="21"/>
      <c r="AD37" s="41"/>
      <c r="AE37" s="31">
        <f t="shared" si="28"/>
        <v>1291.3079401500006</v>
      </c>
      <c r="AF37" s="21">
        <f t="shared" si="29"/>
        <v>862.33147440000039</v>
      </c>
      <c r="AG37" s="21">
        <f t="shared" si="30"/>
        <v>428.97646575000016</v>
      </c>
      <c r="AH37" s="21">
        <f t="shared" si="23"/>
        <v>22358.029153902437</v>
      </c>
      <c r="AI37" s="26"/>
      <c r="AJ37" s="41"/>
      <c r="AK37" s="31">
        <f t="shared" si="34"/>
        <v>2680.2448850756259</v>
      </c>
      <c r="AL37" s="21">
        <f t="shared" si="32"/>
        <v>47081.337404323727</v>
      </c>
      <c r="AM37" s="26"/>
      <c r="AN37" s="41"/>
      <c r="AO37" s="31">
        <f t="shared" si="31"/>
        <v>2100</v>
      </c>
      <c r="AP37" s="21">
        <f t="shared" si="33"/>
        <v>64188.053487090627</v>
      </c>
      <c r="AQ37" s="26"/>
      <c r="AR37" s="21">
        <f t="shared" si="26"/>
        <v>694.36334645540046</v>
      </c>
      <c r="AS37" s="44">
        <f t="shared" si="27"/>
        <v>16671.415660649353</v>
      </c>
    </row>
    <row r="38" spans="1:45" s="3" customFormat="1">
      <c r="A38" s="3">
        <f t="shared" si="21"/>
        <v>2036</v>
      </c>
      <c r="B38" s="3">
        <f t="shared" si="1"/>
        <v>48</v>
      </c>
      <c r="C38" s="7">
        <f t="shared" si="22"/>
        <v>66477.125843362854</v>
      </c>
      <c r="D38" s="7">
        <f t="shared" si="2"/>
        <v>5539.7604869469042</v>
      </c>
      <c r="E38" s="7">
        <f t="shared" si="3"/>
        <v>3874.5</v>
      </c>
      <c r="F38" s="7">
        <f t="shared" si="4"/>
        <v>602.4375</v>
      </c>
      <c r="G38" s="7">
        <f t="shared" si="5"/>
        <v>4321.9575000000004</v>
      </c>
      <c r="H38" s="7">
        <f t="shared" si="6"/>
        <v>997.15688765044274</v>
      </c>
      <c r="I38" s="7">
        <f t="shared" si="7"/>
        <v>6282.0883921977893</v>
      </c>
      <c r="J38" s="2">
        <f t="shared" si="8"/>
        <v>1</v>
      </c>
      <c r="K38" s="7">
        <f t="shared" si="9"/>
        <v>9832.2966361977906</v>
      </c>
      <c r="L38" s="7">
        <f t="shared" si="0"/>
        <v>3550.2082440000017</v>
      </c>
      <c r="M38" s="7">
        <f t="shared" si="10"/>
        <v>49186.871707165061</v>
      </c>
      <c r="N38" s="1">
        <f t="shared" si="11"/>
        <v>0.25400602609631512</v>
      </c>
      <c r="O38" s="7">
        <f>C38-G38-K38-$AF$8-$AF$9</f>
        <v>51286.871707165061</v>
      </c>
      <c r="P38" s="1">
        <f t="shared" si="11"/>
        <v>0.26030762374421884</v>
      </c>
      <c r="Q38" s="7">
        <f t="shared" si="12"/>
        <v>13350.363703366746</v>
      </c>
      <c r="R38" s="7">
        <f t="shared" si="13"/>
        <v>1201.532733303007</v>
      </c>
      <c r="S38" s="7">
        <f t="shared" si="14"/>
        <v>50085.338973862054</v>
      </c>
      <c r="T38" s="1">
        <f t="shared" si="15"/>
        <v>0.25671748719262694</v>
      </c>
      <c r="U38" s="7">
        <f t="shared" si="16"/>
        <v>12857.78236656081</v>
      </c>
      <c r="V38" s="7">
        <f t="shared" si="17"/>
        <v>707.17803016084451</v>
      </c>
      <c r="W38" s="7">
        <f t="shared" si="18"/>
        <v>3329.5374944574965</v>
      </c>
      <c r="X38" s="31">
        <f>IF(MOD(A38,$Y$12) &gt; 0, X37, X37*(1+$X$12))</f>
        <v>3550.2082440000017</v>
      </c>
      <c r="Y38" s="21">
        <f>IF(MOD(A38,$Y$12) &gt; 0,Y37, Y37*(1+$X$12))</f>
        <v>1539.1321968000009</v>
      </c>
      <c r="Z38" s="21">
        <f t="shared" si="19"/>
        <v>2011.0760472000009</v>
      </c>
      <c r="AA38" s="21">
        <f t="shared" si="20"/>
        <v>911.40053941022893</v>
      </c>
      <c r="AB38" s="21">
        <f>(AB37+Z38- Z38*$AA$11 - IF(MOD(A38,$Y$12) = 0, (Z38-Z37) * $AA$13, 0) ) * (1+$AB$12 - $AA$12)</f>
        <v>46563.051407078638</v>
      </c>
      <c r="AC38" s="21"/>
      <c r="AD38" s="41"/>
      <c r="AE38" s="31">
        <f t="shared" si="28"/>
        <v>1377.5410875900006</v>
      </c>
      <c r="AF38" s="21">
        <f t="shared" si="29"/>
        <v>948.56462184000054</v>
      </c>
      <c r="AG38" s="21">
        <f t="shared" si="30"/>
        <v>428.97646575000016</v>
      </c>
      <c r="AH38" s="21">
        <f t="shared" si="23"/>
        <v>24214.918850324801</v>
      </c>
      <c r="AI38" s="26"/>
      <c r="AJ38" s="41"/>
      <c r="AK38" s="31">
        <f t="shared" si="34"/>
        <v>2680.2448850756259</v>
      </c>
      <c r="AL38" s="21">
        <f t="shared" si="32"/>
        <v>51115.12019971828</v>
      </c>
      <c r="AM38" s="26"/>
      <c r="AN38" s="41"/>
      <c r="AO38" s="31">
        <f t="shared" si="31"/>
        <v>2100</v>
      </c>
      <c r="AP38" s="21">
        <f t="shared" si="33"/>
        <v>68556.668013908158</v>
      </c>
      <c r="AQ38" s="26"/>
      <c r="AR38" s="21">
        <f t="shared" si="26"/>
        <v>702.60188492047382</v>
      </c>
      <c r="AS38" s="44">
        <f t="shared" si="27"/>
        <v>17895.238071936921</v>
      </c>
    </row>
    <row r="39" spans="1:45" s="3" customFormat="1">
      <c r="A39" s="3">
        <f t="shared" si="21"/>
        <v>2037</v>
      </c>
      <c r="B39" s="3">
        <f t="shared" si="1"/>
        <v>49</v>
      </c>
      <c r="C39" s="7">
        <f t="shared" si="22"/>
        <v>67806.668360230105</v>
      </c>
      <c r="D39" s="7">
        <f t="shared" si="2"/>
        <v>5650.5556966858421</v>
      </c>
      <c r="E39" s="7">
        <f t="shared" si="3"/>
        <v>3874.5</v>
      </c>
      <c r="F39" s="7">
        <f t="shared" si="4"/>
        <v>602.4375</v>
      </c>
      <c r="G39" s="7">
        <f t="shared" si="5"/>
        <v>4321.9575000000004</v>
      </c>
      <c r="H39" s="7">
        <f t="shared" si="6"/>
        <v>1017.1000254034516</v>
      </c>
      <c r="I39" s="7">
        <f t="shared" si="7"/>
        <v>6407.730160041745</v>
      </c>
      <c r="J39" s="2">
        <f t="shared" si="8"/>
        <v>1</v>
      </c>
      <c r="K39" s="7">
        <f t="shared" si="9"/>
        <v>9957.9384040417463</v>
      </c>
      <c r="L39" s="7">
        <f t="shared" si="0"/>
        <v>3550.2082440000017</v>
      </c>
      <c r="M39" s="7">
        <f t="shared" si="10"/>
        <v>50390.772456188351</v>
      </c>
      <c r="N39" s="1">
        <f t="shared" si="11"/>
        <v>0.25763391657264856</v>
      </c>
      <c r="O39" s="7">
        <f>C39-G39-K39-$AF$8-$AF$9</f>
        <v>52490.772456188351</v>
      </c>
      <c r="P39" s="1">
        <f t="shared" si="11"/>
        <v>0.2638661858957736</v>
      </c>
      <c r="Q39" s="7">
        <f t="shared" si="12"/>
        <v>13850.539922737347</v>
      </c>
      <c r="R39" s="7">
        <f t="shared" si="13"/>
        <v>1246.5485930463612</v>
      </c>
      <c r="S39" s="7">
        <f t="shared" si="14"/>
        <v>51244.22386314199</v>
      </c>
      <c r="T39" s="1">
        <f t="shared" si="15"/>
        <v>0.26018086920038891</v>
      </c>
      <c r="U39" s="7">
        <f t="shared" si="16"/>
        <v>13332.766706211594</v>
      </c>
      <c r="V39" s="7">
        <f t="shared" si="17"/>
        <v>733.30216884163769</v>
      </c>
      <c r="W39" s="7">
        <f t="shared" si="18"/>
        <v>3382.6902672237757</v>
      </c>
      <c r="X39" s="31">
        <f>IF(MOD(A39,$Y$12) &gt; 0, X38, X38*(1+$X$12))</f>
        <v>3550.2082440000017</v>
      </c>
      <c r="Y39" s="21">
        <f>IF(MOD(A39,$Y$12) &gt; 0,Y38, Y38*(1+$X$12))</f>
        <v>1539.1321968000009</v>
      </c>
      <c r="Z39" s="21">
        <f t="shared" si="19"/>
        <v>2011.0760472000009</v>
      </c>
      <c r="AA39" s="21">
        <f t="shared" si="20"/>
        <v>923.69626676630674</v>
      </c>
      <c r="AB39" s="21">
        <f>(AB38+Z39- Z39*$AA$11 - IF(MOD(A39,$Y$12) = 0, (Z39-Z38) * $AA$13, 0) ) * (1+$AB$12 - $AA$12)</f>
        <v>50233.872003844874</v>
      </c>
      <c r="AC39" s="21"/>
      <c r="AD39" s="41"/>
      <c r="AE39" s="31">
        <f t="shared" si="28"/>
        <v>1377.5410875900006</v>
      </c>
      <c r="AF39" s="21">
        <f t="shared" si="29"/>
        <v>948.56462184000054</v>
      </c>
      <c r="AG39" s="21">
        <f t="shared" si="30"/>
        <v>428.97646575000016</v>
      </c>
      <c r="AH39" s="21">
        <f t="shared" si="23"/>
        <v>26155.688063670139</v>
      </c>
      <c r="AI39" s="26"/>
      <c r="AJ39" s="41"/>
      <c r="AK39" s="31">
        <f t="shared" si="34"/>
        <v>2814.2571293294072</v>
      </c>
      <c r="AL39" s="21">
        <f t="shared" si="32"/>
        <v>55476.233700440847</v>
      </c>
      <c r="AM39" s="26"/>
      <c r="AN39" s="41"/>
      <c r="AO39" s="31">
        <f t="shared" si="31"/>
        <v>2100</v>
      </c>
      <c r="AP39" s="21">
        <f t="shared" si="33"/>
        <v>73071.631127374072</v>
      </c>
      <c r="AQ39" s="26"/>
      <c r="AR39" s="21">
        <f t="shared" si="26"/>
        <v>714.16785572840126</v>
      </c>
      <c r="AS39" s="44">
        <f t="shared" si="27"/>
        <v>19167.688105495279</v>
      </c>
    </row>
    <row r="40" spans="1:45" s="3" customFormat="1">
      <c r="A40" s="3">
        <f t="shared" si="21"/>
        <v>2038</v>
      </c>
      <c r="B40" s="3">
        <f t="shared" si="1"/>
        <v>50</v>
      </c>
      <c r="C40" s="7">
        <f t="shared" si="22"/>
        <v>69162.801727434708</v>
      </c>
      <c r="D40" s="7">
        <f t="shared" si="2"/>
        <v>5763.566810619559</v>
      </c>
      <c r="E40" s="7">
        <f t="shared" si="3"/>
        <v>3874.5</v>
      </c>
      <c r="F40" s="7">
        <f t="shared" si="4"/>
        <v>602.4375</v>
      </c>
      <c r="G40" s="7">
        <f t="shared" si="5"/>
        <v>4321.9575000000004</v>
      </c>
      <c r="H40" s="7">
        <f t="shared" si="6"/>
        <v>1037.4420259115207</v>
      </c>
      <c r="I40" s="7">
        <f t="shared" si="7"/>
        <v>6535.8847632425795</v>
      </c>
      <c r="J40" s="2">
        <f t="shared" si="8"/>
        <v>1</v>
      </c>
      <c r="K40" s="7">
        <f t="shared" si="9"/>
        <v>10086.093007242584</v>
      </c>
      <c r="L40" s="7">
        <f t="shared" si="0"/>
        <v>3550.2082440000017</v>
      </c>
      <c r="M40" s="7">
        <f t="shared" si="10"/>
        <v>51618.75122019212</v>
      </c>
      <c r="N40" s="1">
        <f t="shared" si="11"/>
        <v>0.26129236093664004</v>
      </c>
      <c r="O40" s="7">
        <f>C40-G40-K40-$AF$8-$AF$9</f>
        <v>53718.75122019212</v>
      </c>
      <c r="P40" s="1">
        <f t="shared" si="11"/>
        <v>0.26742757763662905</v>
      </c>
      <c r="Q40" s="7">
        <f t="shared" si="12"/>
        <v>14365.87551248069</v>
      </c>
      <c r="R40" s="7">
        <f t="shared" si="13"/>
        <v>1292.9287961232621</v>
      </c>
      <c r="S40" s="7">
        <f t="shared" si="14"/>
        <v>52425.822424068858</v>
      </c>
      <c r="T40" s="1">
        <f t="shared" si="15"/>
        <v>0.26367514591262475</v>
      </c>
      <c r="U40" s="7">
        <f t="shared" si="16"/>
        <v>13823.386377255711</v>
      </c>
      <c r="V40" s="7">
        <f t="shared" si="17"/>
        <v>760.28625074906404</v>
      </c>
      <c r="W40" s="7">
        <f t="shared" si="18"/>
        <v>3436.3280011793809</v>
      </c>
      <c r="X40" s="31">
        <f>IF(MOD(A40,$Y$12) &gt; 0, X39, X39*(1+$X$12))</f>
        <v>3550.2082440000017</v>
      </c>
      <c r="Y40" s="21">
        <f>IF(MOD(A40,$Y$12) &gt; 0,Y39, Y39*(1+$X$12))</f>
        <v>1539.1321968000009</v>
      </c>
      <c r="Z40" s="21">
        <f t="shared" si="19"/>
        <v>2011.0760472000009</v>
      </c>
      <c r="AA40" s="21">
        <f t="shared" si="20"/>
        <v>936.10167675690434</v>
      </c>
      <c r="AB40" s="21">
        <f>(AB39+Z40- Z40*$AA$11 - IF(MOD(A40,$Y$12) = 0, (Z40-Z39) * $AA$13, 0) ) * (1+$AB$12 - $AA$12)</f>
        <v>54051.378591657885</v>
      </c>
      <c r="AC40" s="21"/>
      <c r="AD40" s="41"/>
      <c r="AE40" s="31">
        <f t="shared" si="28"/>
        <v>1377.5410875900006</v>
      </c>
      <c r="AF40" s="21">
        <f t="shared" si="29"/>
        <v>948.56462184000054</v>
      </c>
      <c r="AG40" s="21">
        <f t="shared" si="30"/>
        <v>428.97646575000016</v>
      </c>
      <c r="AH40" s="21">
        <f t="shared" si="23"/>
        <v>28176.028814762634</v>
      </c>
      <c r="AI40" s="26"/>
      <c r="AJ40" s="41"/>
      <c r="AK40" s="31">
        <f t="shared" si="34"/>
        <v>2814.2571293294072</v>
      </c>
      <c r="AL40" s="21">
        <f t="shared" si="32"/>
        <v>60024.875081694488</v>
      </c>
      <c r="AM40" s="26"/>
      <c r="AN40" s="41"/>
      <c r="AO40" s="31">
        <f t="shared" si="31"/>
        <v>2100</v>
      </c>
      <c r="AP40" s="21">
        <f t="shared" si="33"/>
        <v>77737.8455051411</v>
      </c>
      <c r="AQ40" s="26"/>
      <c r="AR40" s="21">
        <f t="shared" si="26"/>
        <v>724.29013755562301</v>
      </c>
      <c r="AS40" s="44">
        <f t="shared" si="27"/>
        <v>20488.737590342429</v>
      </c>
    </row>
    <row r="41" spans="1:45" s="3" customFormat="1">
      <c r="A41" s="3">
        <f t="shared" si="21"/>
        <v>2039</v>
      </c>
      <c r="B41" s="3">
        <f t="shared" si="1"/>
        <v>51</v>
      </c>
      <c r="C41" s="7">
        <f t="shared" si="22"/>
        <v>70546.057761983408</v>
      </c>
      <c r="D41" s="7">
        <f t="shared" si="2"/>
        <v>5878.8381468319503</v>
      </c>
      <c r="E41" s="7">
        <f t="shared" si="3"/>
        <v>3874.5</v>
      </c>
      <c r="F41" s="7">
        <f t="shared" si="4"/>
        <v>602.4375</v>
      </c>
      <c r="G41" s="7">
        <f t="shared" si="5"/>
        <v>4321.9575000000004</v>
      </c>
      <c r="H41" s="7">
        <f t="shared" si="6"/>
        <v>1058.1908664297512</v>
      </c>
      <c r="I41" s="7">
        <f t="shared" si="7"/>
        <v>6666.6024585074319</v>
      </c>
      <c r="J41" s="2">
        <f t="shared" si="8"/>
        <v>1</v>
      </c>
      <c r="K41" s="7">
        <f t="shared" si="9"/>
        <v>10216.810702507433</v>
      </c>
      <c r="L41" s="7">
        <f t="shared" si="0"/>
        <v>3550.2082440000017</v>
      </c>
      <c r="M41" s="7">
        <f t="shared" si="10"/>
        <v>52871.289559475968</v>
      </c>
      <c r="N41" s="1">
        <f t="shared" si="11"/>
        <v>0.26498331867125358</v>
      </c>
      <c r="O41" s="7">
        <f>C41-G41-K41-$AF$8-$AF$9</f>
        <v>54971.289559475968</v>
      </c>
      <c r="P41" s="1">
        <f t="shared" si="11"/>
        <v>0.27090398886981959</v>
      </c>
      <c r="Q41" s="7">
        <f t="shared" si="12"/>
        <v>14891.941614979907</v>
      </c>
      <c r="R41" s="7">
        <f t="shared" si="13"/>
        <v>1340.2747453481916</v>
      </c>
      <c r="S41" s="7">
        <f t="shared" si="14"/>
        <v>53631.014814127775</v>
      </c>
      <c r="T41" s="1">
        <f t="shared" si="15"/>
        <v>0.26717798034578744</v>
      </c>
      <c r="U41" s="7">
        <f t="shared" si="16"/>
        <v>14329.026221933666</v>
      </c>
      <c r="V41" s="7">
        <f t="shared" si="17"/>
        <v>788.09644220635164</v>
      </c>
      <c r="W41" s="7">
        <f t="shared" si="18"/>
        <v>3490.5774606298346</v>
      </c>
      <c r="X41" s="31">
        <f>IF(MOD(A41,$Y$12) &gt; 0, X40, X40*(1+$X$12))</f>
        <v>3550.2082440000017</v>
      </c>
      <c r="Y41" s="21">
        <f>IF(MOD(A41,$Y$12) &gt; 0,Y40, Y40*(1+$X$12))</f>
        <v>1539.1321968000009</v>
      </c>
      <c r="Z41" s="21">
        <f t="shared" si="19"/>
        <v>2011.0760472000009</v>
      </c>
      <c r="AA41" s="21">
        <f t="shared" si="20"/>
        <v>948.53746843888484</v>
      </c>
      <c r="AB41" s="21">
        <f>(AB40+Z41- Z41*$AA$11 - IF(MOD(A41,$Y$12) = 0, (Z41-Z40) * $AA$13, 0) ) * (1+$AB$12 - $AA$12)</f>
        <v>58021.43274271991</v>
      </c>
      <c r="AC41" s="21"/>
      <c r="AD41" s="41"/>
      <c r="AE41" s="31">
        <f t="shared" si="28"/>
        <v>1377.5410875900006</v>
      </c>
      <c r="AF41" s="21">
        <f t="shared" si="29"/>
        <v>948.56462184000054</v>
      </c>
      <c r="AG41" s="21">
        <f t="shared" si="30"/>
        <v>428.97646575000016</v>
      </c>
      <c r="AH41" s="21">
        <f t="shared" si="23"/>
        <v>30279.203536649922</v>
      </c>
      <c r="AI41" s="26"/>
      <c r="AJ41" s="41"/>
      <c r="AK41" s="31">
        <f t="shared" si="34"/>
        <v>2814.2571293294072</v>
      </c>
      <c r="AL41" s="21">
        <f t="shared" si="32"/>
        <v>64743.439104566423</v>
      </c>
      <c r="AM41" s="26"/>
      <c r="AN41" s="41"/>
      <c r="AO41" s="31">
        <f t="shared" si="31"/>
        <v>2100</v>
      </c>
      <c r="AP41" s="21">
        <f t="shared" si="33"/>
        <v>82560.378064563323</v>
      </c>
      <c r="AQ41" s="26"/>
      <c r="AR41" s="21">
        <f t="shared" si="26"/>
        <v>727.93184508116428</v>
      </c>
      <c r="AS41" s="44">
        <f t="shared" si="27"/>
        <v>21853.169518486302</v>
      </c>
    </row>
    <row r="42" spans="1:45" s="3" customFormat="1">
      <c r="A42" s="3">
        <f t="shared" si="21"/>
        <v>2040</v>
      </c>
      <c r="B42" s="3">
        <f t="shared" si="1"/>
        <v>52</v>
      </c>
      <c r="C42" s="7">
        <f t="shared" si="22"/>
        <v>71956.978917223081</v>
      </c>
      <c r="D42" s="7">
        <f t="shared" si="2"/>
        <v>5996.4149097685904</v>
      </c>
      <c r="E42" s="7">
        <f t="shared" si="3"/>
        <v>3874.5</v>
      </c>
      <c r="F42" s="7">
        <f t="shared" si="4"/>
        <v>602.4375</v>
      </c>
      <c r="G42" s="7">
        <f t="shared" si="5"/>
        <v>4321.9575000000004</v>
      </c>
      <c r="H42" s="7">
        <f t="shared" si="6"/>
        <v>1071</v>
      </c>
      <c r="I42" s="7">
        <f t="shared" si="7"/>
        <v>6747.3</v>
      </c>
      <c r="J42" s="2">
        <f t="shared" si="8"/>
        <v>1</v>
      </c>
      <c r="K42" s="7">
        <f t="shared" si="9"/>
        <v>10652.529068400003</v>
      </c>
      <c r="L42" s="7">
        <f t="shared" si="0"/>
        <v>3905.2290684000022</v>
      </c>
      <c r="M42" s="7">
        <f t="shared" si="10"/>
        <v>53846.492348823071</v>
      </c>
      <c r="N42" s="1">
        <f t="shared" si="11"/>
        <v>0.26778952829637487</v>
      </c>
      <c r="O42" s="7">
        <f>C42-G42-K42-$AF$8-$AF$9</f>
        <v>55946.492348823071</v>
      </c>
      <c r="P42" s="1">
        <f t="shared" si="11"/>
        <v>0.27350288005727996</v>
      </c>
      <c r="Q42" s="7">
        <f t="shared" si="12"/>
        <v>15301.526786505687</v>
      </c>
      <c r="R42" s="7">
        <f t="shared" si="13"/>
        <v>1377.1374107855117</v>
      </c>
      <c r="S42" s="7">
        <f t="shared" si="14"/>
        <v>54569.354938037563</v>
      </c>
      <c r="T42" s="1">
        <f t="shared" si="15"/>
        <v>0.26980581116807412</v>
      </c>
      <c r="U42" s="7">
        <f t="shared" si="16"/>
        <v>14723.129073975775</v>
      </c>
      <c r="V42" s="7">
        <f t="shared" si="17"/>
        <v>809.77209906866767</v>
      </c>
      <c r="W42" s="7">
        <f t="shared" si="18"/>
        <v>3562.641902782761</v>
      </c>
      <c r="X42" s="31">
        <f>IF(MOD(A42,$Y$12) &gt; 0, X41, X41*(1+$X$12))</f>
        <v>3905.2290684000022</v>
      </c>
      <c r="Y42" s="21">
        <f>IF(MOD(A42,$Y$12) &gt; 0,Y41, Y41*(1+$X$12))</f>
        <v>1693.0454164800012</v>
      </c>
      <c r="Z42" s="21">
        <f t="shared" si="19"/>
        <v>2212.183651920001</v>
      </c>
      <c r="AA42" s="21">
        <f t="shared" si="20"/>
        <v>1053.6534965968051</v>
      </c>
      <c r="AB42" s="21">
        <f>(AB41+Z42- Z42*$AA$11 - IF(MOD(A42,$Y$12) = 0, (Z42-Z41) * $AA$13, 0) ) * (1+$AB$12 - $AA$12)</f>
        <v>62315.66971793156</v>
      </c>
      <c r="AC42" s="21"/>
      <c r="AD42" s="41"/>
      <c r="AE42" s="31">
        <f t="shared" si="28"/>
        <v>1493.8463730615008</v>
      </c>
      <c r="AF42" s="21">
        <f t="shared" si="29"/>
        <v>1043.4210840240007</v>
      </c>
      <c r="AG42" s="21">
        <f t="shared" si="30"/>
        <v>450.42528903750019</v>
      </c>
      <c r="AH42" s="21">
        <f t="shared" si="23"/>
        <v>32554.882432876169</v>
      </c>
      <c r="AI42" s="26"/>
      <c r="AJ42" s="41"/>
      <c r="AK42" s="31">
        <f t="shared" si="34"/>
        <v>2954.9699857958776</v>
      </c>
      <c r="AL42" s="21">
        <f t="shared" si="32"/>
        <v>69826.473327804197</v>
      </c>
      <c r="AM42" s="26"/>
      <c r="AN42" s="41"/>
      <c r="AO42" s="31">
        <f t="shared" si="31"/>
        <v>2100</v>
      </c>
      <c r="AP42" s="21">
        <f t="shared" si="33"/>
        <v>87544.465464726192</v>
      </c>
      <c r="AQ42" s="26"/>
      <c r="AR42" s="21">
        <f t="shared" si="26"/>
        <v>727.99999999999818</v>
      </c>
      <c r="AS42" s="44">
        <f t="shared" si="27"/>
        <v>23258.604604040887</v>
      </c>
    </row>
    <row r="43" spans="1:45" s="3" customFormat="1">
      <c r="A43" s="3">
        <f t="shared" si="21"/>
        <v>2041</v>
      </c>
      <c r="B43" s="3">
        <f t="shared" si="1"/>
        <v>53</v>
      </c>
      <c r="C43" s="7">
        <f t="shared" si="22"/>
        <v>73396.118495567542</v>
      </c>
      <c r="D43" s="7">
        <f t="shared" si="2"/>
        <v>6116.3432079639615</v>
      </c>
      <c r="E43" s="7">
        <f t="shared" si="3"/>
        <v>3874.5</v>
      </c>
      <c r="F43" s="7">
        <f t="shared" si="4"/>
        <v>602.4375</v>
      </c>
      <c r="G43" s="7">
        <f t="shared" si="5"/>
        <v>4321.9575000000004</v>
      </c>
      <c r="H43" s="7">
        <f t="shared" si="6"/>
        <v>1071</v>
      </c>
      <c r="I43" s="7">
        <f t="shared" si="7"/>
        <v>6747.3</v>
      </c>
      <c r="J43" s="2">
        <f t="shared" si="8"/>
        <v>1</v>
      </c>
      <c r="K43" s="7">
        <f t="shared" si="9"/>
        <v>10652.529068400003</v>
      </c>
      <c r="L43" s="7">
        <f t="shared" si="0"/>
        <v>3905.2290684000022</v>
      </c>
      <c r="M43" s="7">
        <f t="shared" si="10"/>
        <v>55285.631927167531</v>
      </c>
      <c r="N43" s="1">
        <f t="shared" si="11"/>
        <v>0.27175171714058927</v>
      </c>
      <c r="O43" s="7">
        <f>C43-G43-K43-$AF$8-$AF$9</f>
        <v>57385.631927167531</v>
      </c>
      <c r="P43" s="1">
        <f t="shared" si="11"/>
        <v>0.277176792783215</v>
      </c>
      <c r="Q43" s="7">
        <f t="shared" si="12"/>
        <v>15905.965409410361</v>
      </c>
      <c r="R43" s="7">
        <f t="shared" si="13"/>
        <v>1431.5368868469325</v>
      </c>
      <c r="S43" s="7">
        <f t="shared" si="14"/>
        <v>55954.095040320601</v>
      </c>
      <c r="T43" s="1">
        <f t="shared" si="15"/>
        <v>0.27352278516712764</v>
      </c>
      <c r="U43" s="7">
        <f t="shared" si="16"/>
        <v>15304.719916934653</v>
      </c>
      <c r="V43" s="7">
        <f t="shared" si="17"/>
        <v>841.75959543140596</v>
      </c>
      <c r="W43" s="7">
        <f t="shared" si="18"/>
        <v>3626.9053830295452</v>
      </c>
      <c r="X43" s="31">
        <f>IF(MOD(A43,$Y$12) &gt; 0, X42, X42*(1+$X$12))</f>
        <v>3905.2290684000022</v>
      </c>
      <c r="Y43" s="21">
        <f>IF(MOD(A43,$Y$12) &gt; 0,Y42, Y42*(1+$X$12))</f>
        <v>1693.0454164800012</v>
      </c>
      <c r="Z43" s="21">
        <f t="shared" si="19"/>
        <v>2212.183651920001</v>
      </c>
      <c r="AA43" s="21">
        <f t="shared" si="20"/>
        <v>1068.1691315043959</v>
      </c>
      <c r="AB43" s="21">
        <f>(AB42+Z43- Z43*$AA$11 - IF(MOD(A43,$Y$12) = 0, (Z43-Z42) * $AA$13, 0) ) * (1+$AB$12 - $AA$12)</f>
        <v>66796.981048653412</v>
      </c>
      <c r="AC43" s="21"/>
      <c r="AD43" s="41"/>
      <c r="AE43" s="31">
        <f t="shared" si="28"/>
        <v>1493.8463730615008</v>
      </c>
      <c r="AF43" s="21">
        <f t="shared" si="29"/>
        <v>1043.4210840240007</v>
      </c>
      <c r="AG43" s="21">
        <f t="shared" si="30"/>
        <v>450.42528903750019</v>
      </c>
      <c r="AH43" s="21">
        <f t="shared" si="23"/>
        <v>34932.385907154312</v>
      </c>
      <c r="AI43" s="26"/>
      <c r="AJ43" s="41"/>
      <c r="AK43" s="31">
        <f t="shared" si="34"/>
        <v>2954.9699857958776</v>
      </c>
      <c r="AL43" s="21">
        <f t="shared" si="32"/>
        <v>75128.078022641188</v>
      </c>
      <c r="AM43" s="26"/>
      <c r="AN43" s="41"/>
      <c r="AO43" s="31">
        <f t="shared" si="31"/>
        <v>2100</v>
      </c>
      <c r="AP43" s="21">
        <f t="shared" si="33"/>
        <v>92695.519792794512</v>
      </c>
      <c r="AQ43" s="26"/>
      <c r="AR43" s="21">
        <f t="shared" si="26"/>
        <v>727.99999999999818</v>
      </c>
      <c r="AS43" s="44">
        <f t="shared" si="27"/>
        <v>24706.20274216211</v>
      </c>
    </row>
    <row r="44" spans="1:45" s="3" customFormat="1">
      <c r="A44" s="3">
        <f t="shared" si="21"/>
        <v>2042</v>
      </c>
      <c r="B44" s="3">
        <f t="shared" si="1"/>
        <v>54</v>
      </c>
      <c r="C44" s="7">
        <f t="shared" si="22"/>
        <v>74864.040865478892</v>
      </c>
      <c r="D44" s="7">
        <f t="shared" si="2"/>
        <v>6238.670072123241</v>
      </c>
      <c r="E44" s="7">
        <f t="shared" si="3"/>
        <v>3874.5</v>
      </c>
      <c r="F44" s="7">
        <f t="shared" si="4"/>
        <v>602.4375</v>
      </c>
      <c r="G44" s="7">
        <f t="shared" si="5"/>
        <v>4321.9575000000004</v>
      </c>
      <c r="H44" s="7">
        <f t="shared" si="6"/>
        <v>1071</v>
      </c>
      <c r="I44" s="7">
        <f t="shared" si="7"/>
        <v>6747.3</v>
      </c>
      <c r="J44" s="2">
        <f t="shared" si="8"/>
        <v>1</v>
      </c>
      <c r="K44" s="7">
        <f t="shared" si="9"/>
        <v>10652.529068400003</v>
      </c>
      <c r="L44" s="7">
        <f t="shared" si="0"/>
        <v>3905.2290684000022</v>
      </c>
      <c r="M44" s="7">
        <f t="shared" si="10"/>
        <v>56753.554297078881</v>
      </c>
      <c r="N44" s="1">
        <f t="shared" si="11"/>
        <v>0.2755861372646779</v>
      </c>
      <c r="O44" s="7">
        <f>C44-G44-K44-$AF$8-$AF$9</f>
        <v>58853.554297078881</v>
      </c>
      <c r="P44" s="1">
        <f t="shared" si="11"/>
        <v>0.28073908198256775</v>
      </c>
      <c r="Q44" s="7">
        <f t="shared" si="12"/>
        <v>16522.49280477313</v>
      </c>
      <c r="R44" s="7">
        <f t="shared" si="13"/>
        <v>1487.0243524295815</v>
      </c>
      <c r="S44" s="7">
        <f t="shared" si="14"/>
        <v>57366.529944649301</v>
      </c>
      <c r="T44" s="1">
        <f t="shared" si="15"/>
        <v>0.27712923532401218</v>
      </c>
      <c r="U44" s="7">
        <f t="shared" si="16"/>
        <v>15897.942576752708</v>
      </c>
      <c r="V44" s="7">
        <f t="shared" si="17"/>
        <v>874.38684172139892</v>
      </c>
      <c r="W44" s="7">
        <f t="shared" si="18"/>
        <v>3692.454132881267</v>
      </c>
      <c r="X44" s="31">
        <f>IF(MOD(A44,$Y$12) &gt; 0, X43, X43*(1+$X$12))</f>
        <v>3905.2290684000022</v>
      </c>
      <c r="Y44" s="21">
        <f>IF(MOD(A44,$Y$12) &gt; 0,Y43, Y43*(1+$X$12))</f>
        <v>1693.0454164800012</v>
      </c>
      <c r="Z44" s="21">
        <f t="shared" si="19"/>
        <v>2212.183651920001</v>
      </c>
      <c r="AA44" s="21">
        <f t="shared" si="20"/>
        <v>1082.2531454907971</v>
      </c>
      <c r="AB44" s="21">
        <f>(AB43+Z44- Z44*$AA$11 - IF(MOD(A44,$Y$12) = 0, (Z44-Z43) * $AA$13, 0) ) * (1+$AB$12 - $AA$12)</f>
        <v>71457.365580150916</v>
      </c>
      <c r="AC44" s="21"/>
      <c r="AD44" s="41"/>
      <c r="AE44" s="31">
        <f t="shared" si="28"/>
        <v>1493.8463730615008</v>
      </c>
      <c r="AF44" s="21">
        <f t="shared" si="29"/>
        <v>1043.4210840240007</v>
      </c>
      <c r="AG44" s="21">
        <f t="shared" si="30"/>
        <v>450.42528903750019</v>
      </c>
      <c r="AH44" s="21">
        <f t="shared" si="23"/>
        <v>37407.367023877858</v>
      </c>
      <c r="AI44" s="26"/>
      <c r="AJ44" s="41"/>
      <c r="AK44" s="31">
        <f t="shared" si="34"/>
        <v>2954.9699857958776</v>
      </c>
      <c r="AL44" s="21">
        <f t="shared" si="32"/>
        <v>80630.699334691773</v>
      </c>
      <c r="AM44" s="26"/>
      <c r="AN44" s="41"/>
      <c r="AO44" s="31">
        <f t="shared" si="31"/>
        <v>2100</v>
      </c>
      <c r="AP44" s="21">
        <f t="shared" si="33"/>
        <v>98019.134440853115</v>
      </c>
      <c r="AQ44" s="26"/>
      <c r="AR44" s="21">
        <f t="shared" si="26"/>
        <v>728</v>
      </c>
      <c r="AS44" s="44">
        <f t="shared" si="27"/>
        <v>26197.228824426973</v>
      </c>
    </row>
    <row r="45" spans="1:45" s="3" customFormat="1">
      <c r="A45" s="3">
        <f t="shared" si="21"/>
        <v>2043</v>
      </c>
      <c r="B45" s="3">
        <f t="shared" si="1"/>
        <v>55</v>
      </c>
      <c r="C45" s="7">
        <f t="shared" si="22"/>
        <v>76361.321682788475</v>
      </c>
      <c r="D45" s="7">
        <f t="shared" si="2"/>
        <v>6363.443473565706</v>
      </c>
      <c r="E45" s="7">
        <f t="shared" si="3"/>
        <v>3874.5</v>
      </c>
      <c r="F45" s="7">
        <f t="shared" si="4"/>
        <v>602.4375</v>
      </c>
      <c r="G45" s="7">
        <f t="shared" si="5"/>
        <v>4321.9575000000004</v>
      </c>
      <c r="H45" s="7">
        <f t="shared" si="6"/>
        <v>1071</v>
      </c>
      <c r="I45" s="7">
        <f t="shared" si="7"/>
        <v>6747.3</v>
      </c>
      <c r="J45" s="2">
        <f t="shared" si="8"/>
        <v>1</v>
      </c>
      <c r="K45" s="7">
        <f t="shared" si="9"/>
        <v>10652.529068400003</v>
      </c>
      <c r="L45" s="7">
        <f t="shared" si="0"/>
        <v>3905.2290684000022</v>
      </c>
      <c r="M45" s="7">
        <f t="shared" si="10"/>
        <v>58250.835114388465</v>
      </c>
      <c r="N45" s="1">
        <f t="shared" si="11"/>
        <v>0.27929815454310086</v>
      </c>
      <c r="O45" s="7">
        <f>C45-G45-K45-$AF$8-$AF$9</f>
        <v>60350.835114388465</v>
      </c>
      <c r="P45" s="1">
        <f t="shared" si="11"/>
        <v>0.28419409135821616</v>
      </c>
      <c r="Q45" s="7">
        <f t="shared" si="12"/>
        <v>17151.350748043154</v>
      </c>
      <c r="R45" s="7">
        <f t="shared" si="13"/>
        <v>1543.6215673238839</v>
      </c>
      <c r="S45" s="7">
        <f t="shared" si="14"/>
        <v>58807.213547064581</v>
      </c>
      <c r="T45" s="1">
        <f t="shared" si="15"/>
        <v>0.28062934280263796</v>
      </c>
      <c r="U45" s="7">
        <f t="shared" si="16"/>
        <v>16503.029689767121</v>
      </c>
      <c r="V45" s="7">
        <f t="shared" si="17"/>
        <v>907.66663293719171</v>
      </c>
      <c r="W45" s="7">
        <f t="shared" si="18"/>
        <v>3759.3138577300228</v>
      </c>
      <c r="X45" s="31">
        <f>IF(MOD(A45,$Y$12) &gt; 0, X44, X44*(1+$X$12))</f>
        <v>3905.2290684000022</v>
      </c>
      <c r="Y45" s="21">
        <f>IF(MOD(A45,$Y$12) &gt; 0,Y44, Y44*(1+$X$12))</f>
        <v>1693.0454164800012</v>
      </c>
      <c r="Z45" s="21">
        <f t="shared" si="19"/>
        <v>2212.183651920001</v>
      </c>
      <c r="AA45" s="21">
        <f t="shared" si="20"/>
        <v>1095.9218669588508</v>
      </c>
      <c r="AB45" s="21">
        <f>(AB44+Z45- Z45*$AA$11 - IF(MOD(A45,$Y$12) = 0, (Z45-Z44) * $AA$13, 0) ) * (1+$AB$12 - $AA$12)</f>
        <v>76303.979077527052</v>
      </c>
      <c r="AC45" s="21"/>
      <c r="AD45" s="41"/>
      <c r="AE45" s="31">
        <f t="shared" si="28"/>
        <v>1493.8463730615008</v>
      </c>
      <c r="AF45" s="21">
        <f t="shared" si="29"/>
        <v>1043.4210840240007</v>
      </c>
      <c r="AG45" s="21">
        <f t="shared" si="30"/>
        <v>450.42528903750019</v>
      </c>
      <c r="AH45" s="21">
        <f t="shared" si="23"/>
        <v>39983.822366387067</v>
      </c>
      <c r="AI45" s="26"/>
      <c r="AJ45" s="41"/>
      <c r="AK45" s="31">
        <f t="shared" si="34"/>
        <v>3102.7184850856715</v>
      </c>
      <c r="AL45" s="21">
        <f t="shared" si="32"/>
        <v>86539.583907912005</v>
      </c>
      <c r="AM45" s="26"/>
      <c r="AN45" s="41"/>
      <c r="AO45" s="31">
        <f t="shared" si="31"/>
        <v>2100</v>
      </c>
      <c r="AP45" s="21">
        <f t="shared" si="33"/>
        <v>103521.09017962168</v>
      </c>
      <c r="AQ45" s="26"/>
      <c r="AR45" s="21">
        <f t="shared" si="26"/>
        <v>727.99999999999818</v>
      </c>
      <c r="AS45" s="44">
        <f t="shared" si="27"/>
        <v>27732.985689159785</v>
      </c>
    </row>
    <row r="46" spans="1:45" s="3" customFormat="1">
      <c r="A46" s="3">
        <f t="shared" si="21"/>
        <v>2044</v>
      </c>
      <c r="B46" s="3">
        <f t="shared" si="1"/>
        <v>56</v>
      </c>
      <c r="C46" s="7">
        <f t="shared" si="22"/>
        <v>77888.548116444246</v>
      </c>
      <c r="D46" s="7">
        <f t="shared" si="2"/>
        <v>6490.7123430370202</v>
      </c>
      <c r="E46" s="7">
        <f t="shared" si="3"/>
        <v>3874.5</v>
      </c>
      <c r="F46" s="7">
        <f t="shared" si="4"/>
        <v>602.4375</v>
      </c>
      <c r="G46" s="7">
        <f t="shared" si="5"/>
        <v>4321.9575000000004</v>
      </c>
      <c r="H46" s="7">
        <f t="shared" si="6"/>
        <v>1071</v>
      </c>
      <c r="I46" s="7">
        <f t="shared" si="7"/>
        <v>6747.3</v>
      </c>
      <c r="J46" s="2">
        <f t="shared" si="8"/>
        <v>1</v>
      </c>
      <c r="K46" s="7">
        <f t="shared" si="9"/>
        <v>11043.051975240003</v>
      </c>
      <c r="L46" s="7">
        <f t="shared" si="0"/>
        <v>4295.751975240003</v>
      </c>
      <c r="M46" s="7">
        <f t="shared" si="10"/>
        <v>59387.538641204243</v>
      </c>
      <c r="N46" s="1">
        <f t="shared" si="11"/>
        <v>0.28199124955292465</v>
      </c>
      <c r="O46" s="7">
        <f>C46-G46-K46-$AF$8-$AF$9</f>
        <v>61487.538641204243</v>
      </c>
      <c r="P46" s="1">
        <f t="shared" si="11"/>
        <v>0.28670469852719604</v>
      </c>
      <c r="Q46" s="7">
        <f t="shared" si="12"/>
        <v>17628.76622930578</v>
      </c>
      <c r="R46" s="7">
        <f t="shared" si="13"/>
        <v>1586.5889606375201</v>
      </c>
      <c r="S46" s="7">
        <f t="shared" si="14"/>
        <v>59900.949680566722</v>
      </c>
      <c r="T46" s="1">
        <f t="shared" si="15"/>
        <v>0.28317412255220092</v>
      </c>
      <c r="U46" s="7">
        <f t="shared" si="16"/>
        <v>16962.398865838022</v>
      </c>
      <c r="V46" s="7">
        <f t="shared" si="17"/>
        <v>932.93193762109127</v>
      </c>
      <c r="W46" s="7">
        <f t="shared" si="18"/>
        <v>3842.6159043623011</v>
      </c>
      <c r="X46" s="31">
        <f>IF(MOD(A46,$Y$12) &gt; 0, X45, X45*(1+$X$12))</f>
        <v>4295.751975240003</v>
      </c>
      <c r="Y46" s="21">
        <f>IF(MOD(A46,$Y$12) &gt; 0,Y45, Y45*(1+$X$12))</f>
        <v>1862.3499581280014</v>
      </c>
      <c r="Z46" s="21">
        <f t="shared" si="19"/>
        <v>2433.4020171120019</v>
      </c>
      <c r="AA46" s="21">
        <f t="shared" si="20"/>
        <v>1216.4457962904719</v>
      </c>
      <c r="AB46" s="21">
        <f>(AB45+Z46- Z46*$AA$11 - IF(MOD(A46,$Y$12) = 0, (Z46-Z45) * $AA$13, 0) ) * (1+$AB$12 - $AA$12)</f>
        <v>81526.35665655887</v>
      </c>
      <c r="AC46" s="21"/>
      <c r="AD46" s="41"/>
      <c r="AE46" s="31">
        <f t="shared" si="28"/>
        <v>1598.1884814639011</v>
      </c>
      <c r="AF46" s="21">
        <f t="shared" si="29"/>
        <v>1147.7631924264008</v>
      </c>
      <c r="AG46" s="21">
        <f t="shared" si="30"/>
        <v>450.42528903750019</v>
      </c>
      <c r="AH46" s="21">
        <f t="shared" si="23"/>
        <v>42760.813789754888</v>
      </c>
      <c r="AI46" s="26"/>
      <c r="AJ46" s="41"/>
      <c r="AK46" s="31">
        <f t="shared" si="34"/>
        <v>3102.7184850856715</v>
      </c>
      <c r="AL46" s="21">
        <f t="shared" si="32"/>
        <v>92702.550517780706</v>
      </c>
      <c r="AM46" s="26"/>
      <c r="AN46" s="41"/>
      <c r="AO46" s="31">
        <f t="shared" si="31"/>
        <v>2100</v>
      </c>
      <c r="AP46" s="21">
        <f t="shared" si="33"/>
        <v>109207.36143563899</v>
      </c>
      <c r="AQ46" s="26"/>
      <c r="AR46" s="21">
        <f t="shared" si="26"/>
        <v>728</v>
      </c>
      <c r="AS46" s="44">
        <f t="shared" si="27"/>
        <v>29314.815259834581</v>
      </c>
    </row>
    <row r="47" spans="1:45" s="3" customFormat="1">
      <c r="A47" s="3">
        <f t="shared" si="21"/>
        <v>2045</v>
      </c>
      <c r="B47" s="3">
        <f t="shared" si="1"/>
        <v>57</v>
      </c>
      <c r="C47" s="7">
        <f t="shared" si="22"/>
        <v>79446.319078773129</v>
      </c>
      <c r="D47" s="7">
        <f t="shared" si="2"/>
        <v>6620.5265898977605</v>
      </c>
      <c r="E47" s="7">
        <f t="shared" si="3"/>
        <v>3874.5</v>
      </c>
      <c r="F47" s="7">
        <f t="shared" si="4"/>
        <v>602.4375</v>
      </c>
      <c r="G47" s="7">
        <f t="shared" si="5"/>
        <v>4321.9575000000004</v>
      </c>
      <c r="H47" s="7">
        <f t="shared" si="6"/>
        <v>1071</v>
      </c>
      <c r="I47" s="7">
        <f t="shared" si="7"/>
        <v>6747.3</v>
      </c>
      <c r="J47" s="2">
        <f t="shared" si="8"/>
        <v>1</v>
      </c>
      <c r="K47" s="7">
        <f t="shared" si="9"/>
        <v>11043.051975240003</v>
      </c>
      <c r="L47" s="7">
        <f t="shared" si="0"/>
        <v>4295.751975240003</v>
      </c>
      <c r="M47" s="7">
        <f t="shared" si="10"/>
        <v>60945.309603533125</v>
      </c>
      <c r="N47" s="1">
        <f t="shared" si="11"/>
        <v>0.28551877325232489</v>
      </c>
      <c r="O47" s="7">
        <f>C47-G47-K47-$AF$8-$AF$9</f>
        <v>63045.309603533125</v>
      </c>
      <c r="P47" s="1">
        <f t="shared" si="11"/>
        <v>0.2899982591640618</v>
      </c>
      <c r="Q47" s="7">
        <f t="shared" si="12"/>
        <v>18283.030033483912</v>
      </c>
      <c r="R47" s="7">
        <f t="shared" si="13"/>
        <v>1645.4727030135521</v>
      </c>
      <c r="S47" s="7">
        <f t="shared" si="14"/>
        <v>61399.836900519571</v>
      </c>
      <c r="T47" s="1">
        <f t="shared" si="15"/>
        <v>0.28651430339661627</v>
      </c>
      <c r="U47" s="7">
        <f t="shared" si="16"/>
        <v>17591.931498218219</v>
      </c>
      <c r="V47" s="7">
        <f t="shared" si="17"/>
        <v>967.55623240200202</v>
      </c>
      <c r="W47" s="7">
        <f t="shared" si="18"/>
        <v>3912.1767620949463</v>
      </c>
      <c r="X47" s="31">
        <f>IF(MOD(A47,$Y$12) &gt; 0, X46, X46*(1+$X$12))</f>
        <v>4295.751975240003</v>
      </c>
      <c r="Y47" s="21">
        <f>IF(MOD(A47,$Y$12) &gt; 0,Y46, Y46*(1+$X$12))</f>
        <v>1862.3499581280014</v>
      </c>
      <c r="Z47" s="21">
        <f t="shared" si="19"/>
        <v>2433.4020171120019</v>
      </c>
      <c r="AA47" s="21">
        <f t="shared" si="20"/>
        <v>1230.7943847505278</v>
      </c>
      <c r="AB47" s="21">
        <f>(AB46+Z47- Z47*$AA$11 - IF(MOD(A47,$Y$12) = 0, (Z47-Z46) * $AA$13, 0) ) * (1+$AB$12 - $AA$12)</f>
        <v>86974.444754227618</v>
      </c>
      <c r="AC47" s="21"/>
      <c r="AD47" s="41"/>
      <c r="AE47" s="31">
        <f t="shared" si="28"/>
        <v>1598.1884814639011</v>
      </c>
      <c r="AF47" s="21">
        <f t="shared" si="29"/>
        <v>1147.7631924264008</v>
      </c>
      <c r="AG47" s="21">
        <f t="shared" si="30"/>
        <v>450.42528903750019</v>
      </c>
      <c r="AH47" s="21">
        <f t="shared" si="23"/>
        <v>45661.03577911808</v>
      </c>
      <c r="AI47" s="26"/>
      <c r="AJ47" s="41"/>
      <c r="AK47" s="31">
        <f t="shared" si="34"/>
        <v>3102.7184850856715</v>
      </c>
      <c r="AL47" s="21">
        <f t="shared" si="32"/>
        <v>99102.224687976151</v>
      </c>
      <c r="AM47" s="26"/>
      <c r="AN47" s="41"/>
      <c r="AO47" s="31">
        <f t="shared" si="31"/>
        <v>2100</v>
      </c>
      <c r="AP47" s="21">
        <f t="shared" si="33"/>
        <v>115084.12277873288</v>
      </c>
      <c r="AQ47" s="26"/>
      <c r="AR47" s="21">
        <f t="shared" si="26"/>
        <v>728</v>
      </c>
      <c r="AS47" s="44">
        <f t="shared" si="27"/>
        <v>30944.099717629619</v>
      </c>
    </row>
    <row r="48" spans="1:45" s="3" customFormat="1">
      <c r="A48" s="3">
        <f t="shared" si="21"/>
        <v>2046</v>
      </c>
      <c r="B48" s="3">
        <f t="shared" si="1"/>
        <v>58</v>
      </c>
      <c r="C48" s="7">
        <f t="shared" si="22"/>
        <v>81035.245460348597</v>
      </c>
      <c r="D48" s="7">
        <f t="shared" si="2"/>
        <v>6752.9371216957161</v>
      </c>
      <c r="E48" s="7">
        <f t="shared" si="3"/>
        <v>3874.5</v>
      </c>
      <c r="F48" s="7">
        <f t="shared" si="4"/>
        <v>602.4375</v>
      </c>
      <c r="G48" s="7">
        <f t="shared" si="5"/>
        <v>4321.9575000000004</v>
      </c>
      <c r="H48" s="7">
        <f t="shared" si="6"/>
        <v>1071</v>
      </c>
      <c r="I48" s="7">
        <f t="shared" si="7"/>
        <v>6747.3</v>
      </c>
      <c r="J48" s="2">
        <f t="shared" si="8"/>
        <v>1</v>
      </c>
      <c r="K48" s="7">
        <f t="shared" si="9"/>
        <v>11043.051975240003</v>
      </c>
      <c r="L48" s="7">
        <f t="shared" si="0"/>
        <v>4295.751975240003</v>
      </c>
      <c r="M48" s="7">
        <f t="shared" si="10"/>
        <v>62534.235985108593</v>
      </c>
      <c r="N48" s="1">
        <f t="shared" si="11"/>
        <v>0.28893579379539019</v>
      </c>
      <c r="O48" s="7">
        <f>C48-G48-K48-$AF$8-$AF$9</f>
        <v>64634.235985108593</v>
      </c>
      <c r="P48" s="1">
        <f t="shared" si="11"/>
        <v>0.29319413813619888</v>
      </c>
      <c r="Q48" s="7">
        <f t="shared" si="12"/>
        <v>18950.379113745606</v>
      </c>
      <c r="R48" s="7">
        <f t="shared" si="13"/>
        <v>1705.5341202371046</v>
      </c>
      <c r="S48" s="7">
        <f t="shared" si="14"/>
        <v>62928.701864871487</v>
      </c>
      <c r="T48" s="1">
        <f t="shared" si="15"/>
        <v>0.2897573641738313</v>
      </c>
      <c r="U48" s="7">
        <f t="shared" si="16"/>
        <v>18234.054783246025</v>
      </c>
      <c r="V48" s="7">
        <f t="shared" si="17"/>
        <v>1002.8730130785314</v>
      </c>
      <c r="W48" s="7">
        <f t="shared" si="18"/>
        <v>3983.1288369822446</v>
      </c>
      <c r="X48" s="31">
        <f>IF(MOD(A48,$Y$12) &gt; 0, X47, X47*(1+$X$12))</f>
        <v>4295.751975240003</v>
      </c>
      <c r="Y48" s="21">
        <f>IF(MOD(A48,$Y$12) &gt; 0,Y47, Y47*(1+$X$12))</f>
        <v>1862.3499581280014</v>
      </c>
      <c r="Z48" s="21">
        <f t="shared" si="19"/>
        <v>2433.4020171120019</v>
      </c>
      <c r="AA48" s="21">
        <f t="shared" si="20"/>
        <v>1244.7257694900727</v>
      </c>
      <c r="AB48" s="21">
        <f>(AB47+Z48- Z48*$AA$11 - IF(MOD(A48,$Y$12) = 0, (Z48-Z47) * $AA$13, 0) ) * (1+$AB$12 - $AA$12)</f>
        <v>92640.238452279198</v>
      </c>
      <c r="AC48" s="21"/>
      <c r="AD48" s="41"/>
      <c r="AE48" s="31">
        <f t="shared" si="28"/>
        <v>1620.709745915776</v>
      </c>
      <c r="AF48" s="21">
        <f t="shared" si="29"/>
        <v>1147.7631924264008</v>
      </c>
      <c r="AG48" s="21">
        <f t="shared" si="30"/>
        <v>472.94655348937522</v>
      </c>
      <c r="AH48" s="21">
        <f t="shared" si="23"/>
        <v>48680.166870045163</v>
      </c>
      <c r="AI48" s="26"/>
      <c r="AJ48" s="41"/>
      <c r="AK48" s="31">
        <f t="shared" si="34"/>
        <v>3257.8544093399551</v>
      </c>
      <c r="AL48" s="21">
        <f t="shared" si="32"/>
        <v>105955.21791947904</v>
      </c>
      <c r="AM48" s="26"/>
      <c r="AN48" s="41"/>
      <c r="AO48" s="31">
        <f t="shared" si="31"/>
        <v>2100</v>
      </c>
      <c r="AP48" s="21">
        <f t="shared" si="33"/>
        <v>121157.75562682042</v>
      </c>
      <c r="AQ48" s="26"/>
      <c r="AR48" s="21">
        <f t="shared" si="26"/>
        <v>728</v>
      </c>
      <c r="AS48" s="44">
        <f t="shared" si="27"/>
        <v>32622.262709158509</v>
      </c>
    </row>
    <row r="49" spans="1:61" s="3" customFormat="1">
      <c r="A49" s="3">
        <f t="shared" si="21"/>
        <v>2047</v>
      </c>
      <c r="B49" s="3">
        <f t="shared" si="1"/>
        <v>59</v>
      </c>
      <c r="C49" s="7">
        <f t="shared" si="22"/>
        <v>82655.950369555576</v>
      </c>
      <c r="D49" s="7">
        <f t="shared" si="2"/>
        <v>6887.9958641296316</v>
      </c>
      <c r="E49" s="7">
        <f t="shared" si="3"/>
        <v>3874.5</v>
      </c>
      <c r="F49" s="7">
        <f t="shared" si="4"/>
        <v>602.4375</v>
      </c>
      <c r="G49" s="7">
        <f t="shared" si="5"/>
        <v>4321.9575000000004</v>
      </c>
      <c r="H49" s="7">
        <f t="shared" si="6"/>
        <v>1071</v>
      </c>
      <c r="I49" s="7">
        <f t="shared" si="7"/>
        <v>6747.3</v>
      </c>
      <c r="J49" s="2">
        <f t="shared" si="8"/>
        <v>1</v>
      </c>
      <c r="K49" s="7">
        <f t="shared" si="9"/>
        <v>11043.051975240003</v>
      </c>
      <c r="L49" s="7">
        <f t="shared" si="0"/>
        <v>4295.751975240003</v>
      </c>
      <c r="M49" s="7">
        <f t="shared" si="10"/>
        <v>64154.940894315572</v>
      </c>
      <c r="N49" s="1">
        <f t="shared" si="11"/>
        <v>0.29224678433572987</v>
      </c>
      <c r="O49" s="7">
        <f>C49-G49-K49-$AF$8-$AF$9</f>
        <v>66254.940894315572</v>
      </c>
      <c r="P49" s="1">
        <f t="shared" si="11"/>
        <v>0.29629601823849505</v>
      </c>
      <c r="Q49" s="7">
        <f t="shared" si="12"/>
        <v>19631.075175612539</v>
      </c>
      <c r="R49" s="7">
        <f t="shared" si="13"/>
        <v>1766.7967658051284</v>
      </c>
      <c r="S49" s="7">
        <f t="shared" si="14"/>
        <v>64488.144128510445</v>
      </c>
      <c r="T49" s="1">
        <f t="shared" si="15"/>
        <v>0.29290687132091742</v>
      </c>
      <c r="U49" s="7">
        <f t="shared" si="16"/>
        <v>18889.020533974384</v>
      </c>
      <c r="V49" s="7">
        <f t="shared" si="17"/>
        <v>1038.8961293685911</v>
      </c>
      <c r="W49" s="7">
        <f t="shared" si="18"/>
        <v>4055.499953367289</v>
      </c>
      <c r="X49" s="31">
        <f>IF(MOD(A49,$Y$12) &gt; 0, X48, X48*(1+$X$12))</f>
        <v>4295.751975240003</v>
      </c>
      <c r="Y49" s="21">
        <f>IF(MOD(A49,$Y$12) &gt; 0,Y48, Y48*(1+$X$12))</f>
        <v>1862.3499581280014</v>
      </c>
      <c r="Z49" s="21">
        <f t="shared" si="19"/>
        <v>2433.4020171120019</v>
      </c>
      <c r="AA49" s="21">
        <f t="shared" si="20"/>
        <v>1258.2552710382004</v>
      </c>
      <c r="AB49" s="21">
        <f>(AB48+Z49- Z49*$AA$11 - IF(MOD(A49,$Y$12) = 0, (Z49-Z48) * $AA$13, 0) ) * (1+$AB$12 - $AA$12)</f>
        <v>98532.43726650493</v>
      </c>
      <c r="AC49" s="21"/>
      <c r="AD49" s="41"/>
      <c r="AE49" s="31">
        <f t="shared" si="28"/>
        <v>1620.709745915776</v>
      </c>
      <c r="AF49" s="21">
        <f t="shared" si="29"/>
        <v>1147.7631924264008</v>
      </c>
      <c r="AG49" s="21">
        <f t="shared" si="30"/>
        <v>472.94655348937522</v>
      </c>
      <c r="AH49" s="21">
        <f t="shared" si="23"/>
        <v>51823.082335700252</v>
      </c>
      <c r="AI49" s="26"/>
      <c r="AJ49" s="41"/>
      <c r="AK49" s="31">
        <f t="shared" si="34"/>
        <v>3257.8544093399551</v>
      </c>
      <c r="AL49" s="21">
        <f t="shared" si="32"/>
        <v>113102.88985993655</v>
      </c>
      <c r="AM49" s="26"/>
      <c r="AN49" s="41"/>
      <c r="AO49" s="31">
        <f t="shared" si="31"/>
        <v>2100</v>
      </c>
      <c r="AP49" s="21">
        <f t="shared" si="33"/>
        <v>127434.85517531889</v>
      </c>
      <c r="AQ49" s="26"/>
      <c r="AR49" s="21">
        <f t="shared" si="26"/>
        <v>728</v>
      </c>
      <c r="AS49" s="44">
        <f t="shared" si="27"/>
        <v>34350.770590433269</v>
      </c>
    </row>
    <row r="50" spans="1:61" s="3" customFormat="1">
      <c r="A50" s="3">
        <f t="shared" si="21"/>
        <v>2048</v>
      </c>
      <c r="B50" s="3">
        <f t="shared" si="1"/>
        <v>60</v>
      </c>
      <c r="C50" s="7">
        <f t="shared" si="22"/>
        <v>84309.069376946689</v>
      </c>
      <c r="D50" s="7">
        <f t="shared" si="2"/>
        <v>7025.7557814122238</v>
      </c>
      <c r="E50" s="7">
        <f t="shared" si="3"/>
        <v>3874.5</v>
      </c>
      <c r="F50" s="7">
        <f t="shared" si="4"/>
        <v>602.4375</v>
      </c>
      <c r="G50" s="7">
        <f t="shared" si="5"/>
        <v>4321.9575000000004</v>
      </c>
      <c r="H50" s="7">
        <f t="shared" si="6"/>
        <v>1071</v>
      </c>
      <c r="I50" s="7">
        <f t="shared" si="7"/>
        <v>6747.3</v>
      </c>
      <c r="J50" s="2">
        <f t="shared" si="8"/>
        <v>1</v>
      </c>
      <c r="K50" s="7">
        <f t="shared" si="9"/>
        <v>11472.627172764005</v>
      </c>
      <c r="L50" s="7">
        <f t="shared" si="0"/>
        <v>4725.327172764004</v>
      </c>
      <c r="M50" s="7">
        <f t="shared" si="10"/>
        <v>65378.484704182687</v>
      </c>
      <c r="N50" s="1">
        <f t="shared" si="11"/>
        <v>0.29463765737177372</v>
      </c>
      <c r="O50" s="7">
        <f>C50-G50-K50-$AF$8-$AF$9</f>
        <v>67478.484704182687</v>
      </c>
      <c r="P50" s="1">
        <f t="shared" si="11"/>
        <v>0.29853906269635055</v>
      </c>
      <c r="Q50" s="7">
        <f t="shared" si="12"/>
        <v>20144.963575756727</v>
      </c>
      <c r="R50" s="7">
        <f t="shared" si="13"/>
        <v>1813.0467218181054</v>
      </c>
      <c r="S50" s="7">
        <f t="shared" si="14"/>
        <v>65665.437982364587</v>
      </c>
      <c r="T50" s="1">
        <f t="shared" si="15"/>
        <v>0.29518548186336385</v>
      </c>
      <c r="U50" s="7">
        <f t="shared" si="16"/>
        <v>19383.483952593124</v>
      </c>
      <c r="V50" s="7">
        <f t="shared" si="17"/>
        <v>1066.0916173926219</v>
      </c>
      <c r="W50" s="7">
        <f t="shared" si="18"/>
        <v>4145.9341320952362</v>
      </c>
      <c r="X50" s="31">
        <f>IF(MOD(A50,$Y$12) &gt; 0, X49, X49*(1+$X$12))</f>
        <v>4725.327172764004</v>
      </c>
      <c r="Y50" s="21">
        <f>IF(MOD(A50,$Y$12) &gt; 0,Y49, Y49*(1+$X$12))</f>
        <v>2048.5849539408018</v>
      </c>
      <c r="Z50" s="21">
        <f t="shared" si="19"/>
        <v>2676.7422188232022</v>
      </c>
      <c r="AA50" s="21">
        <f t="shared" si="20"/>
        <v>1394.8479784543895</v>
      </c>
      <c r="AB50" s="21">
        <f>(AB49+Z50- Z50*$AA$11 - IF(MOD(A50,$Y$12) = 0, (Z50-Z49) * $AA$13, 0) ) * (1+$AB$12 - $AA$12)</f>
        <v>104860.39109227767</v>
      </c>
      <c r="AC50" s="21"/>
      <c r="AD50" s="41"/>
      <c r="AE50" s="31">
        <f t="shared" si="28"/>
        <v>1735.4860651584163</v>
      </c>
      <c r="AF50" s="21">
        <f t="shared" si="29"/>
        <v>1262.5395116690411</v>
      </c>
      <c r="AG50" s="21">
        <f t="shared" si="30"/>
        <v>472.94655348937522</v>
      </c>
      <c r="AH50" s="21">
        <f t="shared" si="23"/>
        <v>55199.248888444512</v>
      </c>
      <c r="AI50" s="26"/>
      <c r="AJ50" s="41"/>
      <c r="AK50" s="31">
        <f t="shared" si="34"/>
        <v>3257.8544093399551</v>
      </c>
      <c r="AL50" s="21">
        <f t="shared" si="32"/>
        <v>120528.19668974122</v>
      </c>
      <c r="AM50" s="26"/>
      <c r="AN50" s="41"/>
      <c r="AO50" s="31">
        <f t="shared" si="31"/>
        <v>2100</v>
      </c>
      <c r="AP50" s="21">
        <f t="shared" si="33"/>
        <v>133922.23755869205</v>
      </c>
      <c r="AQ50" s="26"/>
      <c r="AR50" s="21">
        <f t="shared" si="26"/>
        <v>728</v>
      </c>
      <c r="AS50" s="44">
        <f t="shared" si="27"/>
        <v>36131.13370814627</v>
      </c>
    </row>
    <row r="51" spans="1:61" s="3" customFormat="1">
      <c r="A51" s="3">
        <f t="shared" si="21"/>
        <v>2049</v>
      </c>
      <c r="B51" s="3">
        <f t="shared" si="1"/>
        <v>61</v>
      </c>
      <c r="C51" s="7">
        <f t="shared" si="22"/>
        <v>85995.250764485623</v>
      </c>
      <c r="D51" s="7">
        <f t="shared" si="2"/>
        <v>7166.2708970404683</v>
      </c>
      <c r="E51" s="7">
        <f t="shared" si="3"/>
        <v>3874.5</v>
      </c>
      <c r="F51" s="7">
        <f t="shared" si="4"/>
        <v>602.4375</v>
      </c>
      <c r="G51" s="7">
        <f t="shared" si="5"/>
        <v>4321.9575000000004</v>
      </c>
      <c r="H51" s="7">
        <f t="shared" si="6"/>
        <v>1071</v>
      </c>
      <c r="I51" s="7">
        <f t="shared" si="7"/>
        <v>6747.3</v>
      </c>
      <c r="J51" s="2">
        <f t="shared" si="8"/>
        <v>1</v>
      </c>
      <c r="K51" s="7">
        <f t="shared" si="9"/>
        <v>11472.627172764005</v>
      </c>
      <c r="L51" s="7">
        <f t="shared" si="0"/>
        <v>4725.327172764004</v>
      </c>
      <c r="M51" s="7">
        <f t="shared" si="10"/>
        <v>67064.666091721621</v>
      </c>
      <c r="N51" s="1">
        <f t="shared" si="11"/>
        <v>0.29778959506350688</v>
      </c>
      <c r="O51" s="7">
        <f>C51-G51-K51-$AF$8-$AF$9</f>
        <v>69164.666091721621</v>
      </c>
      <c r="P51" s="1">
        <f t="shared" si="11"/>
        <v>0.30150018697218889</v>
      </c>
      <c r="Q51" s="7">
        <f t="shared" si="12"/>
        <v>20853.159758523081</v>
      </c>
      <c r="R51" s="7">
        <f t="shared" si="13"/>
        <v>1876.7843782670773</v>
      </c>
      <c r="S51" s="7">
        <f t="shared" si="14"/>
        <v>67287.881713454539</v>
      </c>
      <c r="T51" s="1">
        <f t="shared" si="15"/>
        <v>0.29819500642177044</v>
      </c>
      <c r="U51" s="7">
        <f t="shared" si="16"/>
        <v>20064.910319650906</v>
      </c>
      <c r="V51" s="7">
        <f t="shared" si="17"/>
        <v>1103.5700675807998</v>
      </c>
      <c r="W51" s="7">
        <f t="shared" si="18"/>
        <v>4221.2290415822354</v>
      </c>
      <c r="X51" s="31">
        <f>IF(MOD(A51,$Y$12) &gt; 0, X50, X50*(1+$X$12))</f>
        <v>4725.327172764004</v>
      </c>
      <c r="Y51" s="21">
        <f>IF(MOD(A51,$Y$12) &gt; 0,Y50, Y50*(1+$X$12))</f>
        <v>2048.5849539408018</v>
      </c>
      <c r="Z51" s="21">
        <f t="shared" si="19"/>
        <v>2676.7422188232022</v>
      </c>
      <c r="AA51" s="21">
        <f t="shared" si="20"/>
        <v>1409.0689666273288</v>
      </c>
      <c r="AB51" s="21">
        <f>(AB50+Z51- Z51*$AA$11 - IF(MOD(A51,$Y$12) = 0, (Z51-Z50) * $AA$13, 0) ) * (1+$AB$12 - $AA$12)</f>
        <v>111459.936694565</v>
      </c>
      <c r="AC51" s="21"/>
      <c r="AD51" s="41"/>
      <c r="AE51" s="31">
        <f t="shared" si="28"/>
        <v>1262.5395116690411</v>
      </c>
      <c r="AF51" s="21">
        <f t="shared" si="29"/>
        <v>1262.5395116690411</v>
      </c>
      <c r="AG51" s="21"/>
      <c r="AH51" s="21">
        <f t="shared" si="23"/>
        <v>58724.149579252306</v>
      </c>
      <c r="AI51" s="26"/>
      <c r="AJ51" s="41"/>
      <c r="AK51" s="31">
        <f t="shared" si="34"/>
        <v>3420.7471298069531</v>
      </c>
      <c r="AL51" s="21">
        <f t="shared" si="32"/>
        <v>128459.83143881599</v>
      </c>
      <c r="AM51" s="26"/>
      <c r="AN51" s="41"/>
      <c r="AO51" s="31">
        <f t="shared" si="31"/>
        <v>2100</v>
      </c>
      <c r="AP51" s="21">
        <f t="shared" si="33"/>
        <v>140626.94725190822</v>
      </c>
      <c r="AQ51" s="26"/>
      <c r="AR51" s="21">
        <f t="shared" si="26"/>
        <v>728</v>
      </c>
      <c r="AS51" s="44">
        <f t="shared" si="27"/>
        <v>37964.907719390656</v>
      </c>
    </row>
    <row r="52" spans="1:61" s="3" customFormat="1">
      <c r="A52" s="3">
        <f t="shared" si="21"/>
        <v>2050</v>
      </c>
      <c r="B52" s="3">
        <f t="shared" si="1"/>
        <v>62</v>
      </c>
      <c r="C52" s="7">
        <f t="shared" si="22"/>
        <v>87715.155779775334</v>
      </c>
      <c r="D52" s="7">
        <f t="shared" si="2"/>
        <v>7309.5963149812778</v>
      </c>
      <c r="E52" s="7">
        <f t="shared" si="3"/>
        <v>3874.5</v>
      </c>
      <c r="F52" s="7">
        <f t="shared" si="4"/>
        <v>602.4375</v>
      </c>
      <c r="G52" s="7">
        <f t="shared" si="5"/>
        <v>4321.9575000000004</v>
      </c>
      <c r="H52" s="7">
        <f t="shared" si="6"/>
        <v>1071</v>
      </c>
      <c r="I52" s="7">
        <f t="shared" si="7"/>
        <v>6747.3</v>
      </c>
      <c r="J52" s="2">
        <f t="shared" si="8"/>
        <v>1</v>
      </c>
      <c r="K52" s="7">
        <f t="shared" si="9"/>
        <v>11472.627172764005</v>
      </c>
      <c r="L52" s="7">
        <f t="shared" si="0"/>
        <v>4725.327172764004</v>
      </c>
      <c r="M52" s="7">
        <f t="shared" si="10"/>
        <v>68784.571107011318</v>
      </c>
      <c r="N52" s="1">
        <f t="shared" si="11"/>
        <v>0.30084537174406295</v>
      </c>
      <c r="O52" s="7">
        <f>C52-G52-K52-$AF$8-$AF$9</f>
        <v>70884.571107011318</v>
      </c>
      <c r="P52" s="1">
        <f t="shared" si="11"/>
        <v>0.30437540254526108</v>
      </c>
      <c r="Q52" s="7">
        <f t="shared" si="12"/>
        <v>21575.519864944752</v>
      </c>
      <c r="R52" s="7">
        <f t="shared" si="13"/>
        <v>1941.7967878450277</v>
      </c>
      <c r="S52" s="7">
        <f t="shared" si="14"/>
        <v>68942.774319166288</v>
      </c>
      <c r="T52" s="1">
        <f t="shared" si="15"/>
        <v>0.30111879626344701</v>
      </c>
      <c r="U52" s="7">
        <f t="shared" si="16"/>
        <v>20759.96521404984</v>
      </c>
      <c r="V52" s="7">
        <f t="shared" si="17"/>
        <v>1141.7980867727413</v>
      </c>
      <c r="W52" s="7">
        <f t="shared" si="18"/>
        <v>4298.0298492589764</v>
      </c>
      <c r="X52" s="31">
        <f>IF(MOD(A52,$Y$12) &gt; 0, X51, X51*(1+$X$12))</f>
        <v>4725.327172764004</v>
      </c>
      <c r="Y52" s="21">
        <f>IF(MOD(A52,$Y$12) &gt; 0,Y51, Y51*(1+$X$12))</f>
        <v>2048.5849539408018</v>
      </c>
      <c r="Z52" s="21">
        <f t="shared" si="19"/>
        <v>2676.7422188232022</v>
      </c>
      <c r="AA52" s="21">
        <f t="shared" si="20"/>
        <v>1422.8848302136544</v>
      </c>
      <c r="AB52" s="21">
        <f>(AB51+Z52- Z52*$AA$11 - IF(MOD(A52,$Y$12) = 0, (Z52-Z51) * $AA$13, 0) ) * (1+$AB$12 - $AA$12)</f>
        <v>118323.20013911973</v>
      </c>
      <c r="AC52" s="21"/>
      <c r="AD52" s="41"/>
      <c r="AE52" s="31">
        <f t="shared" si="28"/>
        <v>1262.5395116690411</v>
      </c>
      <c r="AF52" s="21">
        <f t="shared" si="29"/>
        <v>1262.5395116690411</v>
      </c>
      <c r="AG52" s="21"/>
      <c r="AH52" s="21">
        <f t="shared" si="23"/>
        <v>62393.571198383215</v>
      </c>
      <c r="AI52" s="26"/>
      <c r="AJ52" s="41"/>
      <c r="AK52" s="31">
        <f t="shared" si="34"/>
        <v>3420.7471298069531</v>
      </c>
      <c r="AL52" s="21">
        <f t="shared" si="32"/>
        <v>136732.52648210098</v>
      </c>
      <c r="AM52" s="26"/>
      <c r="AN52" s="41"/>
      <c r="AO52" s="31">
        <f t="shared" si="31"/>
        <v>2100</v>
      </c>
      <c r="AP52" s="21">
        <f t="shared" si="33"/>
        <v>147556.26471984712</v>
      </c>
      <c r="AQ52" s="26"/>
      <c r="AR52" s="21">
        <f t="shared" si="26"/>
        <v>728</v>
      </c>
      <c r="AS52" s="44">
        <f t="shared" si="27"/>
        <v>39853.694950972378</v>
      </c>
    </row>
    <row r="53" spans="1:61" s="3" customFormat="1">
      <c r="A53" s="3">
        <f t="shared" si="21"/>
        <v>2051</v>
      </c>
      <c r="B53" s="3">
        <f t="shared" si="1"/>
        <v>63</v>
      </c>
      <c r="C53" s="7">
        <f t="shared" si="22"/>
        <v>89469.458895370844</v>
      </c>
      <c r="D53" s="7">
        <f t="shared" si="2"/>
        <v>7455.788241280904</v>
      </c>
      <c r="E53" s="7">
        <f t="shared" si="3"/>
        <v>3874.5</v>
      </c>
      <c r="F53" s="7">
        <f t="shared" si="4"/>
        <v>602.4375</v>
      </c>
      <c r="G53" s="7">
        <f t="shared" si="5"/>
        <v>4321.9575000000004</v>
      </c>
      <c r="H53" s="7">
        <f t="shared" si="6"/>
        <v>1071</v>
      </c>
      <c r="I53" s="7">
        <f t="shared" si="7"/>
        <v>6747.3</v>
      </c>
      <c r="J53" s="2">
        <f t="shared" si="8"/>
        <v>1</v>
      </c>
      <c r="K53" s="7">
        <f t="shared" si="9"/>
        <v>11472.627172764005</v>
      </c>
      <c r="L53" s="7">
        <f t="shared" si="0"/>
        <v>4725.327172764004</v>
      </c>
      <c r="M53" s="7">
        <f t="shared" si="10"/>
        <v>70538.874222606828</v>
      </c>
      <c r="N53" s="1">
        <f t="shared" si="11"/>
        <v>0.30380874956786186</v>
      </c>
      <c r="O53" s="7">
        <f>C53-G53-K53-$AF$8-$AF$9</f>
        <v>72638.874222606828</v>
      </c>
      <c r="P53" s="1">
        <f t="shared" si="11"/>
        <v>0.30716785484749121</v>
      </c>
      <c r="Q53" s="7">
        <f t="shared" si="12"/>
        <v>22312.327173494865</v>
      </c>
      <c r="R53" s="7">
        <f t="shared" si="13"/>
        <v>2008.1094456145377</v>
      </c>
      <c r="S53" s="7">
        <f t="shared" si="14"/>
        <v>70630.764776992291</v>
      </c>
      <c r="T53" s="1">
        <f t="shared" si="15"/>
        <v>0.30395991426855085</v>
      </c>
      <c r="U53" s="7">
        <f t="shared" si="16"/>
        <v>21468.921206336759</v>
      </c>
      <c r="V53" s="7">
        <f t="shared" si="17"/>
        <v>1180.7906663485219</v>
      </c>
      <c r="W53" s="7">
        <f t="shared" si="18"/>
        <v>4376.3666730892519</v>
      </c>
      <c r="X53" s="31">
        <f>IF(MOD(A53,$Y$12) &gt; 0, X52, X52*(1+$X$12))</f>
        <v>4725.327172764004</v>
      </c>
      <c r="Y53" s="21">
        <f>IF(MOD(A53,$Y$12) &gt; 0,Y52, Y52*(1+$X$12))</f>
        <v>2048.5849539408018</v>
      </c>
      <c r="Z53" s="21">
        <f t="shared" si="19"/>
        <v>2676.7422188232022</v>
      </c>
      <c r="AA53" s="21">
        <f t="shared" si="20"/>
        <v>1436.3100423242006</v>
      </c>
      <c r="AB53" s="21">
        <f>(AB52+Z53- Z53*$AA$11 - IF(MOD(A53,$Y$12) = 0, (Z53-Z52) * $AA$13, 0) ) * (1+$AB$12 - $AA$12)</f>
        <v>125460.71959091886</v>
      </c>
      <c r="AC53" s="21"/>
      <c r="AD53" s="41"/>
      <c r="AE53" s="31">
        <f t="shared" si="28"/>
        <v>1262.5395116690411</v>
      </c>
      <c r="AF53" s="21">
        <f t="shared" si="29"/>
        <v>1262.5395116690411</v>
      </c>
      <c r="AG53" s="21"/>
      <c r="AH53" s="21">
        <f t="shared" si="23"/>
        <v>66213.43910389849</v>
      </c>
      <c r="AI53" s="26"/>
      <c r="AJ53" s="41"/>
      <c r="AK53" s="31">
        <f t="shared" si="34"/>
        <v>3420.7471298069531</v>
      </c>
      <c r="AL53" s="21">
        <f t="shared" si="32"/>
        <v>145329.74665795013</v>
      </c>
      <c r="AM53" s="26"/>
      <c r="AN53" s="41"/>
      <c r="AO53" s="31">
        <f t="shared" si="31"/>
        <v>2100</v>
      </c>
      <c r="AP53" s="21">
        <f t="shared" si="33"/>
        <v>154717.71432296198</v>
      </c>
      <c r="AQ53" s="26"/>
      <c r="AR53" s="21">
        <f t="shared" si="26"/>
        <v>728</v>
      </c>
      <c r="AS53" s="44">
        <f t="shared" si="27"/>
        <v>41799.145799501552</v>
      </c>
    </row>
    <row r="54" spans="1:61" s="3" customFormat="1">
      <c r="A54" s="3">
        <f t="shared" si="21"/>
        <v>2052</v>
      </c>
      <c r="B54" s="3">
        <f t="shared" si="1"/>
        <v>64</v>
      </c>
      <c r="C54" s="7">
        <f t="shared" si="22"/>
        <v>91258.848073278263</v>
      </c>
      <c r="D54" s="7">
        <f t="shared" si="2"/>
        <v>7604.9040061065216</v>
      </c>
      <c r="E54" s="7">
        <f t="shared" si="3"/>
        <v>3874.5</v>
      </c>
      <c r="F54" s="7">
        <f t="shared" si="4"/>
        <v>602.4375</v>
      </c>
      <c r="G54" s="7">
        <f t="shared" si="5"/>
        <v>4321.9575000000004</v>
      </c>
      <c r="H54" s="7">
        <f t="shared" si="6"/>
        <v>1071</v>
      </c>
      <c r="I54" s="7">
        <f t="shared" si="7"/>
        <v>6747.3</v>
      </c>
      <c r="J54" s="2">
        <f t="shared" si="8"/>
        <v>1</v>
      </c>
      <c r="K54" s="7">
        <f t="shared" si="9"/>
        <v>11945.159890040406</v>
      </c>
      <c r="L54" s="7">
        <f t="shared" si="0"/>
        <v>5197.8598900404049</v>
      </c>
      <c r="M54" s="7">
        <f t="shared" si="10"/>
        <v>71855.730683237853</v>
      </c>
      <c r="N54" s="1">
        <f t="shared" si="11"/>
        <v>0.30593811624948203</v>
      </c>
      <c r="O54" s="7">
        <f>C54-G54-K54-$AF$8-$AF$9</f>
        <v>73955.730683237853</v>
      </c>
      <c r="P54" s="1">
        <f t="shared" si="11"/>
        <v>0.30917694512269034</v>
      </c>
      <c r="Q54" s="7">
        <f t="shared" si="12"/>
        <v>22865.406886959896</v>
      </c>
      <c r="R54" s="7">
        <f t="shared" si="13"/>
        <v>2057.8866198263904</v>
      </c>
      <c r="S54" s="7">
        <f t="shared" si="14"/>
        <v>71897.844063411467</v>
      </c>
      <c r="T54" s="1">
        <f t="shared" si="15"/>
        <v>0.30600492675731128</v>
      </c>
      <c r="U54" s="7">
        <f t="shared" si="16"/>
        <v>22001.094506632813</v>
      </c>
      <c r="V54" s="7">
        <f t="shared" si="17"/>
        <v>1210.0601978648046</v>
      </c>
      <c r="W54" s="7">
        <f t="shared" si="18"/>
        <v>4474.5474374128544</v>
      </c>
      <c r="X54" s="31">
        <f>IF(MOD(A54,$Y$12) &gt; 0, X53, X53*(1+$X$12))</f>
        <v>5197.8598900404049</v>
      </c>
      <c r="Y54" s="21">
        <f>IF(MOD(A54,$Y$12) &gt; 0,Y53, Y53*(1+$X$12))</f>
        <v>2253.4434493348822</v>
      </c>
      <c r="Z54" s="21">
        <f t="shared" si="19"/>
        <v>2944.4164407055227</v>
      </c>
      <c r="AA54" s="21">
        <f t="shared" si="20"/>
        <v>1590.5707349465804</v>
      </c>
      <c r="AB54" s="21">
        <f>(AB53+Z54- Z54*$AA$11 - IF(MOD(A54,$Y$12) = 0, (Z54-Z53) * $AA$13, 0) ) * (1+$AB$12 - $AA$12)</f>
        <v>133103.7873416355</v>
      </c>
      <c r="AC54" s="21"/>
      <c r="AD54" s="41"/>
      <c r="AE54" s="31">
        <f t="shared" si="28"/>
        <v>1388.7934628359453</v>
      </c>
      <c r="AF54" s="21">
        <f t="shared" si="29"/>
        <v>1388.7934628359453</v>
      </c>
      <c r="AG54" s="21"/>
      <c r="AH54" s="21">
        <f t="shared" si="23"/>
        <v>70304.752301836925</v>
      </c>
      <c r="AI54" s="26"/>
      <c r="AJ54" s="41"/>
      <c r="AK54" s="31">
        <f t="shared" si="34"/>
        <v>3591.7844862973011</v>
      </c>
      <c r="AL54" s="21">
        <f t="shared" si="32"/>
        <v>154493.03901322873</v>
      </c>
      <c r="AM54" s="26"/>
      <c r="AN54" s="41"/>
      <c r="AO54" s="31">
        <f t="shared" si="31"/>
        <v>2100</v>
      </c>
      <c r="AP54" s="21">
        <f t="shared" si="33"/>
        <v>162119.0724877812</v>
      </c>
      <c r="AQ54" s="26"/>
      <c r="AR54" s="21">
        <f t="shared" si="26"/>
        <v>728</v>
      </c>
      <c r="AS54" s="44">
        <f t="shared" si="27"/>
        <v>43802.960173486601</v>
      </c>
    </row>
    <row r="55" spans="1:61" s="3" customFormat="1">
      <c r="A55" s="3">
        <f t="shared" si="21"/>
        <v>2053</v>
      </c>
      <c r="B55" s="3">
        <f t="shared" si="1"/>
        <v>65</v>
      </c>
      <c r="C55" s="7">
        <f t="shared" si="22"/>
        <v>93084.025034743827</v>
      </c>
      <c r="D55" s="7">
        <f t="shared" si="2"/>
        <v>7757.0020862286519</v>
      </c>
      <c r="E55" s="7">
        <f t="shared" si="3"/>
        <v>3874.5</v>
      </c>
      <c r="F55" s="7">
        <f t="shared" si="4"/>
        <v>602.4375</v>
      </c>
      <c r="G55" s="7">
        <f t="shared" si="5"/>
        <v>4321.9575000000004</v>
      </c>
      <c r="H55" s="7">
        <f t="shared" si="6"/>
        <v>1071</v>
      </c>
      <c r="I55" s="7">
        <f t="shared" si="7"/>
        <v>6747.3</v>
      </c>
      <c r="J55" s="2">
        <f t="shared" si="8"/>
        <v>1</v>
      </c>
      <c r="K55" s="7">
        <f t="shared" si="9"/>
        <v>11945.159890040406</v>
      </c>
      <c r="L55" s="7">
        <f t="shared" si="0"/>
        <v>5197.8598900404049</v>
      </c>
      <c r="M55" s="7">
        <f t="shared" si="10"/>
        <v>73680.907644703417</v>
      </c>
      <c r="N55" s="1">
        <f t="shared" si="11"/>
        <v>0.3087635852760946</v>
      </c>
      <c r="O55" s="7">
        <f>C55-G55-K55-$AF$8-$AF$9</f>
        <v>75780.907644703417</v>
      </c>
      <c r="P55" s="1">
        <f t="shared" si="11"/>
        <v>0.31184610933367662</v>
      </c>
      <c r="Q55" s="7">
        <f t="shared" si="12"/>
        <v>23631.981210775433</v>
      </c>
      <c r="R55" s="7">
        <f t="shared" si="13"/>
        <v>2126.878308969789</v>
      </c>
      <c r="S55" s="7">
        <f t="shared" si="14"/>
        <v>73654.029335733634</v>
      </c>
      <c r="T55" s="1">
        <f t="shared" si="15"/>
        <v>0.30872299215782795</v>
      </c>
      <c r="U55" s="7">
        <f t="shared" si="16"/>
        <v>22738.692321008126</v>
      </c>
      <c r="V55" s="7">
        <f t="shared" si="17"/>
        <v>1250.628077655447</v>
      </c>
      <c r="W55" s="7">
        <f t="shared" si="18"/>
        <v>4556.0490689258722</v>
      </c>
      <c r="X55" s="31">
        <f>IF(MOD(A55,$Y$12) &gt; 0, X54, X54*(1+$X$12))</f>
        <v>5197.8598900404049</v>
      </c>
      <c r="Y55" s="21">
        <f>IF(MOD(A55,$Y$12) &gt; 0,Y54, Y54*(1+$X$12))</f>
        <v>2253.4434493348822</v>
      </c>
      <c r="Z55" s="21">
        <f t="shared" si="19"/>
        <v>2944.4164407055227</v>
      </c>
      <c r="AA55" s="21">
        <f t="shared" si="20"/>
        <v>1604.6988580704326</v>
      </c>
      <c r="AB55" s="21">
        <f>(AB54+Z55- Z55*$AA$11 - IF(MOD(A55,$Y$12) = 0, (Z55-Z54) * $AA$13, 0) ) * (1+$AB$12 - $AA$12)</f>
        <v>141072.87149547116</v>
      </c>
      <c r="AC55" s="21"/>
      <c r="AD55" s="41"/>
      <c r="AE55" s="31">
        <f t="shared" si="28"/>
        <v>1388.7934628359453</v>
      </c>
      <c r="AF55" s="21">
        <f t="shared" si="29"/>
        <v>1388.7934628359453</v>
      </c>
      <c r="AG55" s="21"/>
      <c r="AH55" s="21">
        <f t="shared" si="23"/>
        <v>74575.151781231965</v>
      </c>
      <c r="AI55" s="26"/>
      <c r="AJ55" s="41"/>
      <c r="AK55" s="31">
        <f t="shared" si="34"/>
        <v>3591.7844862973011</v>
      </c>
      <c r="AL55" s="21">
        <f t="shared" si="32"/>
        <v>164050.35293978429</v>
      </c>
      <c r="AM55" s="26"/>
      <c r="AN55" s="41"/>
      <c r="AO55" s="31">
        <f t="shared" si="31"/>
        <v>2100</v>
      </c>
      <c r="AP55" s="21">
        <f t="shared" si="33"/>
        <v>169768.37615112186</v>
      </c>
      <c r="AQ55" s="26"/>
      <c r="AR55" s="21">
        <f t="shared" si="26"/>
        <v>728</v>
      </c>
      <c r="AS55" s="44">
        <f t="shared" si="27"/>
        <v>45866.888978691197</v>
      </c>
    </row>
    <row r="56" spans="1:61" s="3" customFormat="1">
      <c r="A56" s="3">
        <f t="shared" si="21"/>
        <v>2054</v>
      </c>
      <c r="B56" s="3">
        <f t="shared" si="1"/>
        <v>66</v>
      </c>
      <c r="C56" s="7">
        <f t="shared" si="22"/>
        <v>94945.705535438712</v>
      </c>
      <c r="D56" s="7">
        <f t="shared" si="2"/>
        <v>7912.142127953226</v>
      </c>
      <c r="E56" s="7">
        <f t="shared" si="3"/>
        <v>3874.5</v>
      </c>
      <c r="F56" s="7">
        <f t="shared" si="4"/>
        <v>602.4375</v>
      </c>
      <c r="G56" s="7">
        <f t="shared" si="5"/>
        <v>4321.9575000000004</v>
      </c>
      <c r="H56" s="7">
        <f t="shared" si="6"/>
        <v>1071</v>
      </c>
      <c r="I56" s="7">
        <f t="shared" si="7"/>
        <v>6747.3</v>
      </c>
      <c r="J56" s="2">
        <f t="shared" si="8"/>
        <v>1</v>
      </c>
      <c r="K56" s="7">
        <f t="shared" si="9"/>
        <v>11945.159890040406</v>
      </c>
      <c r="L56" s="7">
        <f t="shared" si="0"/>
        <v>5197.8598900404049</v>
      </c>
      <c r="M56" s="7">
        <f t="shared" si="10"/>
        <v>75542.588145398302</v>
      </c>
      <c r="N56" s="1">
        <f t="shared" si="11"/>
        <v>0.31150490867184749</v>
      </c>
      <c r="O56" s="7">
        <f>C56-G56-K56-$AF$8-$AF$9</f>
        <v>77642.588145398302</v>
      </c>
      <c r="P56" s="1">
        <f t="shared" si="11"/>
        <v>0.31443937669038458</v>
      </c>
      <c r="Q56" s="7">
        <f t="shared" si="12"/>
        <v>24413.887021067283</v>
      </c>
      <c r="R56" s="7">
        <f t="shared" si="13"/>
        <v>2197.2498318960552</v>
      </c>
      <c r="S56" s="7">
        <f t="shared" si="14"/>
        <v>75445.338313502245</v>
      </c>
      <c r="T56" s="1">
        <f t="shared" si="15"/>
        <v>0.31136505736189157</v>
      </c>
      <c r="U56" s="7">
        <f t="shared" si="16"/>
        <v>23491.042091670941</v>
      </c>
      <c r="V56" s="7">
        <f t="shared" si="17"/>
        <v>1292.0073150419018</v>
      </c>
      <c r="W56" s="7">
        <f t="shared" si="18"/>
        <v>4639.1807330691508</v>
      </c>
      <c r="X56" s="31">
        <f>IF(MOD(A56,$Y$12) &gt; 0, X55, X55*(1+$X$12))</f>
        <v>5197.8598900404049</v>
      </c>
      <c r="Y56" s="21">
        <f>IF(MOD(A56,$Y$12) &gt; 0,Y55, Y55*(1+$X$12))</f>
        <v>2253.4434493348822</v>
      </c>
      <c r="Z56" s="21">
        <f t="shared" si="19"/>
        <v>2944.4164407055227</v>
      </c>
      <c r="AA56" s="21">
        <f t="shared" si="20"/>
        <v>1618.4319428215065</v>
      </c>
      <c r="AB56" s="21">
        <f>(AB55+Z56- Z56*$AA$11 - IF(MOD(A56,$Y$12) = 0, (Z56-Z55) * $AA$13, 0) ) * (1+$AB$12 - $AA$12)</f>
        <v>149360.40025209408</v>
      </c>
      <c r="AC56" s="21"/>
      <c r="AD56" s="41"/>
      <c r="AE56" s="31">
        <f t="shared" si="28"/>
        <v>1388.7934628359453</v>
      </c>
      <c r="AF56" s="21">
        <f t="shared" si="29"/>
        <v>1388.7934628359453</v>
      </c>
      <c r="AG56" s="21"/>
      <c r="AH56" s="21">
        <f t="shared" si="23"/>
        <v>79020.637639282199</v>
      </c>
      <c r="AI56" s="26"/>
      <c r="AJ56" s="41"/>
      <c r="AK56" s="31">
        <f t="shared" si="34"/>
        <v>3591.7844862973011</v>
      </c>
      <c r="AL56" s="21">
        <f t="shared" si="32"/>
        <v>173985.87057316978</v>
      </c>
      <c r="AM56" s="26"/>
      <c r="AN56" s="41"/>
      <c r="AO56" s="31">
        <f t="shared" si="31"/>
        <v>2100</v>
      </c>
      <c r="AP56" s="21">
        <f t="shared" si="33"/>
        <v>177673.93148718443</v>
      </c>
      <c r="AQ56" s="26"/>
      <c r="AR56" s="21">
        <f t="shared" si="26"/>
        <v>727.99999999999636</v>
      </c>
      <c r="AS56" s="44">
        <f t="shared" si="27"/>
        <v>47992.735648051923</v>
      </c>
      <c r="AT56" s="7">
        <f>SUM(AT58:AT92)</f>
        <v>18934.215792465613</v>
      </c>
      <c r="AU56" s="7"/>
      <c r="AV56" s="7"/>
      <c r="AW56" s="7">
        <f>SUM(AW58:AW92)</f>
        <v>2383.4889797215942</v>
      </c>
      <c r="AY56" s="7"/>
      <c r="AZ56" s="7">
        <f>SUM(AZ58:AZ92)</f>
        <v>4232.283453609336</v>
      </c>
      <c r="BC56" s="7">
        <f>SUM(BC58:BC92)</f>
        <v>26570.729071403341</v>
      </c>
    </row>
    <row r="57" spans="1:61" s="12" customFormat="1">
      <c r="A57" s="12">
        <f t="shared" si="21"/>
        <v>2055</v>
      </c>
      <c r="B57" s="12">
        <f t="shared" si="1"/>
        <v>67</v>
      </c>
      <c r="C57" s="13">
        <f t="shared" si="22"/>
        <v>96844.61964614749</v>
      </c>
      <c r="D57" s="13">
        <f t="shared" si="2"/>
        <v>8070.3849705122911</v>
      </c>
      <c r="E57" s="13">
        <f t="shared" si="3"/>
        <v>3874.5</v>
      </c>
      <c r="F57" s="13">
        <f t="shared" si="4"/>
        <v>602.4375</v>
      </c>
      <c r="G57" s="13">
        <f t="shared" si="5"/>
        <v>4321.9575000000004</v>
      </c>
      <c r="H57" s="13">
        <f t="shared" si="6"/>
        <v>1071</v>
      </c>
      <c r="I57" s="13">
        <f t="shared" si="7"/>
        <v>6747.3</v>
      </c>
      <c r="J57" s="14">
        <f t="shared" si="8"/>
        <v>1</v>
      </c>
      <c r="K57" s="13">
        <f t="shared" si="9"/>
        <v>11945.159890040406</v>
      </c>
      <c r="L57" s="13">
        <f t="shared" si="0"/>
        <v>5197.8598900404049</v>
      </c>
      <c r="M57" s="13">
        <f t="shared" si="10"/>
        <v>77441.50225610708</v>
      </c>
      <c r="N57" s="15">
        <f t="shared" si="11"/>
        <v>0.31416527622495005</v>
      </c>
      <c r="O57" s="13">
        <f>C57-G57-K57-$AF$8-$AF$9</f>
        <v>79541.50225610708</v>
      </c>
      <c r="P57" s="15">
        <f t="shared" si="11"/>
        <v>0.31695945176380264</v>
      </c>
      <c r="Q57" s="13">
        <f t="shared" si="12"/>
        <v>25211.430947564972</v>
      </c>
      <c r="R57" s="13">
        <f t="shared" si="13"/>
        <v>2269.0287852808474</v>
      </c>
      <c r="S57" s="13">
        <f t="shared" si="14"/>
        <v>77272.473470826226</v>
      </c>
      <c r="T57" s="15">
        <f t="shared" si="15"/>
        <v>0.31393376927303412</v>
      </c>
      <c r="U57" s="13">
        <f t="shared" si="16"/>
        <v>24258.438857747009</v>
      </c>
      <c r="V57" s="13">
        <f t="shared" si="17"/>
        <v>1334.2141371760856</v>
      </c>
      <c r="W57" s="13">
        <f t="shared" si="18"/>
        <v>4723.975030495295</v>
      </c>
      <c r="X57" s="32">
        <f>IF(MOD(A57,$Y$12) &gt; 0, X56, X56*(1+$X$12))</f>
        <v>5197.8598900404049</v>
      </c>
      <c r="Y57" s="13">
        <f>IF(MOD(A57,$Y$12) &gt; 0,Y56, Y56*(1+$X$12))</f>
        <v>2253.4434493348822</v>
      </c>
      <c r="Z57" s="13">
        <f t="shared" si="19"/>
        <v>2944.4164407055227</v>
      </c>
      <c r="AA57" s="13">
        <f t="shared" si="20"/>
        <v>1631.7837474335033</v>
      </c>
      <c r="AB57" s="13">
        <f>(AB56+Z57- Z57*$AA$11 - IF(MOD(A57,$Y$12) = 0, (Z57-Z56) * $AA$13, 0) ) * (1+$AB$12 - $AA$12)</f>
        <v>157979.09865783167</v>
      </c>
      <c r="AC57" s="13"/>
      <c r="AD57" s="43"/>
      <c r="AE57" s="32">
        <f t="shared" si="28"/>
        <v>1388.7934628359453</v>
      </c>
      <c r="AF57" s="13">
        <f t="shared" si="29"/>
        <v>1388.7934628359453</v>
      </c>
      <c r="AG57" s="13"/>
      <c r="AH57" s="13">
        <f t="shared" si="23"/>
        <v>83648.388417512499</v>
      </c>
      <c r="AJ57" s="43"/>
      <c r="AK57" s="32">
        <f t="shared" si="34"/>
        <v>3771.3737106121662</v>
      </c>
      <c r="AL57" s="13">
        <f t="shared" si="32"/>
        <v>176475.41942966403</v>
      </c>
      <c r="AN57" s="43"/>
      <c r="AO57" s="32">
        <f t="shared" si="31"/>
        <v>2100</v>
      </c>
      <c r="AP57" s="13">
        <f t="shared" si="33"/>
        <v>185844.32292700509</v>
      </c>
      <c r="AR57" s="13">
        <f t="shared" si="26"/>
        <v>727.99999999999636</v>
      </c>
      <c r="AS57" s="45">
        <f t="shared" si="27"/>
        <v>50182.357717493484</v>
      </c>
      <c r="AT57" s="20" t="s">
        <v>101</v>
      </c>
      <c r="AU57" s="20" t="s">
        <v>87</v>
      </c>
      <c r="AV57" s="20" t="s">
        <v>95</v>
      </c>
      <c r="AW57" s="20" t="s">
        <v>102</v>
      </c>
      <c r="AX57" s="20" t="s">
        <v>88</v>
      </c>
      <c r="AY57" s="20" t="s">
        <v>96</v>
      </c>
      <c r="AZ57" s="20" t="s">
        <v>103</v>
      </c>
      <c r="BA57" s="20" t="s">
        <v>89</v>
      </c>
      <c r="BB57" s="20" t="s">
        <v>97</v>
      </c>
      <c r="BC57" s="20" t="s">
        <v>104</v>
      </c>
      <c r="BD57" s="20" t="s">
        <v>90</v>
      </c>
      <c r="BE57" s="20" t="s">
        <v>98</v>
      </c>
      <c r="BF57" s="20"/>
      <c r="BG57" s="20"/>
      <c r="BH57" s="20"/>
      <c r="BI57" s="20"/>
    </row>
    <row r="58" spans="1:61" s="3" customFormat="1">
      <c r="A58" s="3">
        <f t="shared" si="21"/>
        <v>2056</v>
      </c>
      <c r="B58" s="3">
        <f t="shared" si="1"/>
        <v>68</v>
      </c>
      <c r="C58" s="16">
        <f>D58*12</f>
        <v>14988</v>
      </c>
      <c r="D58" s="3">
        <v>1249</v>
      </c>
      <c r="E58" s="21">
        <f t="shared" si="3"/>
        <v>1229.0160000000001</v>
      </c>
      <c r="F58" s="21">
        <f>IF(D58&gt;$AG$1, $AG$1*12*($B$2+$F$2), C58*($B$2+$F$2))</f>
        <v>344.72399999999999</v>
      </c>
      <c r="G58" s="21">
        <f t="shared" si="5"/>
        <v>1524.57936</v>
      </c>
      <c r="J58" s="2"/>
      <c r="K58" s="7"/>
      <c r="L58" s="7"/>
      <c r="M58" s="2"/>
      <c r="N58" s="1"/>
      <c r="O58" s="21">
        <f>C58-G58-$AG$8-$AG$9</f>
        <v>13325.42064</v>
      </c>
      <c r="P58" s="1">
        <f>IF(O58&lt;52882, IF( O58 &gt; 13469, ((228.74*((O58-13469)/10000)+2397)*((O58-13469)/10000)+1014)/O58, ((933.7 * ((O58-8130)/10000) + 1400) * ((O58-8130)/10000)) / O58  ), (0.42*O58-8196)/O58)</f>
        <v>7.3497633885198352E-2</v>
      </c>
      <c r="Q58" s="7">
        <f t="shared" si="12"/>
        <v>979.3868875649855</v>
      </c>
      <c r="R58" s="7">
        <f t="shared" si="13"/>
        <v>88.144819880848686</v>
      </c>
      <c r="S58" s="7">
        <f t="shared" si="14"/>
        <v>13237.275820119152</v>
      </c>
      <c r="T58" s="1">
        <f>IF(S58&lt;52882, IF( S58 &gt; 13469, ((228.74*((S58-13469)/10000)+2397)*((S58-13469)/10000)+1014)/S58, ((933.7 * ((S58-8130)/10000) + 1400) * ((S58-8130)/10000)) / S58  ), (0.42*S58-8196)/S58)</f>
        <v>7.2414250659396731E-2</v>
      </c>
      <c r="U58" s="7">
        <f t="shared" si="16"/>
        <v>958.56740928567967</v>
      </c>
      <c r="V58" s="7">
        <f t="shared" si="17"/>
        <v>52.721207510712382</v>
      </c>
      <c r="W58" s="7">
        <f>(C58-E58-F58-R58-V58-U58)/12</f>
        <v>1026.2355469435633</v>
      </c>
      <c r="X58" s="31"/>
      <c r="Y58" s="21"/>
      <c r="Z58" s="16">
        <f>SUM(Z16:Z57)</f>
        <v>81052.72339104292</v>
      </c>
      <c r="AA58" s="21">
        <f>SUM(AA16:AA57)</f>
        <v>37387.157927300439</v>
      </c>
      <c r="AB58" s="21">
        <f>(AB57-12*AC58)*(1+$AB$14-$AA$14)</f>
        <v>153309.28705481775</v>
      </c>
      <c r="AC58" s="21">
        <f>AB57/10000*(30.14+2.5)</f>
        <v>515.6437780191626</v>
      </c>
      <c r="AD58" s="44">
        <f>AC58*(1-$AC$9)^(A58-$B$9)</f>
        <v>240.4541454698427</v>
      </c>
      <c r="AE58" s="31"/>
      <c r="AF58" s="21">
        <f>SUM(AF16:AF57)</f>
        <v>38568.272364781551</v>
      </c>
      <c r="AG58" s="21"/>
      <c r="AH58" s="21">
        <f>(AH57-12*AI58)*(1+$AI$14)</f>
        <v>81475.549758050358</v>
      </c>
      <c r="AI58" s="21">
        <f>AH57/10000*36.39</f>
        <v>304.39648545132803</v>
      </c>
      <c r="AJ58" s="44">
        <f>AI58*(1-$AC$9)^($A58-$B$9)</f>
        <v>141.94566077068507</v>
      </c>
      <c r="AK58" s="31">
        <f>SUM(AK16:AK57)</f>
        <v>108451.31634734204</v>
      </c>
      <c r="AL58" s="21">
        <f>(AL57-12*AM58)*(1+$AN$14)</f>
        <v>172446.29854014021</v>
      </c>
      <c r="AM58" s="21">
        <f>AL57/10000*(30.82+10)</f>
        <v>720.37266211188853</v>
      </c>
      <c r="AN58" s="44">
        <f>AM58*(1-$AC$9)^($A58-$B$9)</f>
        <v>335.92297681426254</v>
      </c>
      <c r="AO58" s="31">
        <f>SUM(AO16:AO57)</f>
        <v>84850.190521940094</v>
      </c>
      <c r="AP58" s="21">
        <f>(AP57-12*(AQ58*(1+$AQ$14)))*(1+$AR$14)</f>
        <v>181434.24237093498</v>
      </c>
      <c r="AQ58" s="21">
        <f>(AP57/10000*(34.63+5))*(1-$AQ$14)</f>
        <v>723.61228335392616</v>
      </c>
      <c r="AR58" s="22">
        <f>SUM(AR16:AR57)</f>
        <v>26670.489333852362</v>
      </c>
      <c r="AS58" s="41"/>
      <c r="AT58" s="7">
        <f>$T58*(AC58*12)+($B$5+$B$6)*$T58*(AC58*12)</f>
        <v>513.05102006809761</v>
      </c>
      <c r="AU58" s="7">
        <f>((12*AC58)-AT58)/12</f>
        <v>472.88952634682113</v>
      </c>
      <c r="AV58" s="7">
        <f>AU58*(1-$AC$9)^($A58-$B$9)</f>
        <v>220.51705422718754</v>
      </c>
      <c r="AW58" s="7">
        <f>$T58*(12*AI58)*16%+($B$5+$B$6)*$T58*(12*AI58)*16%</f>
        <v>48.458547244650433</v>
      </c>
      <c r="AX58" s="7">
        <f>((12*AI58)-AW58)/12</f>
        <v>300.35827318094044</v>
      </c>
      <c r="AY58" s="7">
        <f>AX58*(1-$AC$9)^($A58-$B$9)</f>
        <v>140.06256836834487</v>
      </c>
      <c r="AZ58" s="7">
        <f>$T58*(12*AM58)*16%+($B$5+$B$6)*$T58*(12*AM58)*16%</f>
        <v>114.68007795472808</v>
      </c>
      <c r="BA58" s="7">
        <f>((12*AM58)-AZ58)/12</f>
        <v>710.81598894899446</v>
      </c>
      <c r="BB58" s="7">
        <f>BA58*(1-$AC$9)^($A58-$B$9)</f>
        <v>331.46652494404742</v>
      </c>
      <c r="BC58" s="7">
        <f>$T58*(12*AQ58)+($B$5+$B$6)*$T58*(AQ58*12)</f>
        <v>719.97381900871221</v>
      </c>
      <c r="BD58" s="7">
        <f>((12*AQ58)-BC58)/12</f>
        <v>663.61446510320013</v>
      </c>
      <c r="BE58" s="7">
        <f>BD58*(1-$AC$9)^($A58-$B$9)</f>
        <v>309.45558916816168</v>
      </c>
    </row>
    <row r="59" spans="1:61" s="3" customFormat="1">
      <c r="A59" s="3">
        <f t="shared" si="21"/>
        <v>2057</v>
      </c>
      <c r="B59" s="3">
        <f t="shared" si="1"/>
        <v>69</v>
      </c>
      <c r="C59" s="16">
        <f t="shared" ref="C59:C89" si="35">D59*12</f>
        <v>15122.891999999996</v>
      </c>
      <c r="D59" s="16">
        <f>D58*(1+$AC$8)</f>
        <v>1260.2409999999998</v>
      </c>
      <c r="E59" s="21">
        <f t="shared" si="3"/>
        <v>1240.0771439999996</v>
      </c>
      <c r="F59" s="21">
        <f t="shared" ref="F59:F89" si="36">IF(D59&gt;$AG$1, $AG$1*12*($B$2+$F$2), C59*($B$2+$F$2))</f>
        <v>347.82651599999991</v>
      </c>
      <c r="G59" s="21">
        <f t="shared" si="5"/>
        <v>1538.3005742399994</v>
      </c>
      <c r="J59" s="2"/>
      <c r="K59" s="7"/>
      <c r="L59" s="7"/>
      <c r="M59" s="2"/>
      <c r="N59" s="1"/>
      <c r="O59" s="21">
        <f t="shared" ref="O59:O89" si="37">C59-G59-$AG$8-$AG$9</f>
        <v>13446.591425759996</v>
      </c>
      <c r="P59" s="1">
        <f t="shared" ref="P59:P89" si="38">IF(O59&lt;52882, IF( O59 &gt; 13469, ((228.74*((O59-13469)/10000)+2397)*((O59-13469)/10000)+1014)/O59, ((933.7 * ((O59-8130)/10000) + 1400) * ((O59-8130)/10000)) / O59  ), (0.42*O59-8196)/O59)</f>
        <v>7.4981365748198081E-2</v>
      </c>
      <c r="Q59" s="7">
        <f t="shared" si="12"/>
        <v>1008.2437897614946</v>
      </c>
      <c r="R59" s="7">
        <f t="shared" si="13"/>
        <v>90.741941078534509</v>
      </c>
      <c r="S59" s="7">
        <f t="shared" si="14"/>
        <v>13355.849484681461</v>
      </c>
      <c r="T59" s="1">
        <f t="shared" ref="T59:T89" si="39">IF(S59&lt;52882, IF( S59 &gt; 13469, ((228.74*((S59-13469)/10000)+2397)*((S59-13469)/10000)+1014)/S59, ((933.7 * ((S59-8130)/10000) + 1400) * ((S59-8130)/10000)) / S59  ), (0.42*S59-8196)/S59)</f>
        <v>7.387083517014946E-2</v>
      </c>
      <c r="U59" s="7">
        <f t="shared" si="16"/>
        <v>986.60775584022986</v>
      </c>
      <c r="V59" s="7">
        <f t="shared" si="17"/>
        <v>54.263426571212641</v>
      </c>
      <c r="W59" s="7">
        <f t="shared" ref="W59:W89" si="40">(C59-E59-F59-R59-V59-U59)/12</f>
        <v>1033.614601375835</v>
      </c>
      <c r="X59" s="23"/>
      <c r="Y59" s="26"/>
      <c r="Z59" s="26"/>
      <c r="AA59" s="26"/>
      <c r="AB59" s="21">
        <f t="shared" ref="AB59:AB91" si="41">(AB58-12*AC59)*(1+$AB$14-$AA$14)</f>
        <v>148592.77733577366</v>
      </c>
      <c r="AC59" s="21">
        <f>AC58</f>
        <v>515.6437780191626</v>
      </c>
      <c r="AD59" s="44">
        <f>AC59*(1-$AC$9)^(A59-$B$9)</f>
        <v>236.12597085138552</v>
      </c>
      <c r="AE59" s="31"/>
      <c r="AF59" s="21"/>
      <c r="AG59" s="21"/>
      <c r="AH59" s="21">
        <f t="shared" ref="AH59:AH93" si="42">(AH58-12*AI59)*(1+$AI$14)</f>
        <v>79193.687407252204</v>
      </c>
      <c r="AI59" s="21">
        <f>AI58*(1+$AI$14)</f>
        <v>310.02782043217758</v>
      </c>
      <c r="AJ59" s="44">
        <f t="shared" ref="AJ59:AJ93" si="43">AI59*(1-$AC$9)^($A59-$B$9)</f>
        <v>141.96936569603375</v>
      </c>
      <c r="AK59" s="23"/>
      <c r="AL59" s="21">
        <f t="shared" ref="AL59:AL92" si="44">(AL58-12*AM59)*(1+$AN$14)</f>
        <v>168306.3768261545</v>
      </c>
      <c r="AM59" s="21">
        <f>AM58</f>
        <v>720.37266211188853</v>
      </c>
      <c r="AN59" s="44">
        <f t="shared" ref="AN59:AN91" si="45">AM59*(1-$AC$9)^($A59-$B$9)</f>
        <v>329.87636323160581</v>
      </c>
      <c r="AO59" s="31"/>
      <c r="AP59" s="21">
        <f t="shared" ref="AP59:AP91" si="46">(AP58-12*(AQ59*(1+$AQ$14)))*(1+$AR$14)</f>
        <v>176913.90980096313</v>
      </c>
      <c r="AQ59" s="21">
        <f>AQ58</f>
        <v>723.61228335392616</v>
      </c>
      <c r="AR59" s="21">
        <f t="shared" ref="AR59:AR91" si="47">AQ59*(1-$AC$9)^($A59-$B$9)</f>
        <v>331.359865493391</v>
      </c>
      <c r="AS59" s="41"/>
      <c r="AT59" s="7">
        <f t="shared" ref="AT59:AT89" si="48">$T59*(AC59*12)+($B$5+$B$6)*$T59*(AC59*12)</f>
        <v>523.37084195746638</v>
      </c>
      <c r="AU59" s="7">
        <f t="shared" ref="AU59:AU89" si="49">((12*AC59)-AT59)/12</f>
        <v>472.02954118937367</v>
      </c>
      <c r="AV59" s="7">
        <f t="shared" ref="AV59:AV89" si="50">AU59*(1-$AC$9)^($A59-$B$9)</f>
        <v>216.15393889176892</v>
      </c>
      <c r="AW59" s="7">
        <f t="shared" ref="AW59:AW89" si="51">$T59*(12*AI59)*16%+($B$5+$B$6)*$T59*(12*AI59)*16%</f>
        <v>50.347787624439299</v>
      </c>
      <c r="AX59" s="7">
        <f t="shared" ref="AX59:AX89" si="52">((12*AI59)-AW59)/12</f>
        <v>305.83217146347431</v>
      </c>
      <c r="AY59" s="7">
        <f t="shared" ref="AY59:AY89" si="53">AX59*(1-$AC$9)^($A59-$B$9)</f>
        <v>140.04807481981601</v>
      </c>
      <c r="AZ59" s="7">
        <f t="shared" ref="AZ59:AZ89" si="54">$T59*(12*AM59)*16%+($B$5+$B$6)*$T59*(12*AM59)*16%</f>
        <v>116.98682315639368</v>
      </c>
      <c r="BA59" s="7">
        <f>((12*AM59)-AZ59)/12</f>
        <v>710.62376018218902</v>
      </c>
      <c r="BB59" s="7">
        <f t="shared" ref="BB59:BB89" si="55">BA59*(1-$AC$9)^($A59-$B$9)</f>
        <v>325.41210121388451</v>
      </c>
      <c r="BC59" s="7">
        <f t="shared" ref="BC59:BC89" si="56">$T59*(12*AQ59)+($B$5+$B$6)*$T59*(AQ59*12)</f>
        <v>734.45581258547645</v>
      </c>
      <c r="BD59" s="7">
        <f>((12*AQ59)-BC59)/12</f>
        <v>662.40763230513642</v>
      </c>
      <c r="BE59" s="7">
        <f t="shared" ref="BE59:BE89" si="57">BD59*(1-$AC$9)^($A59-$B$9)</f>
        <v>303.33275013667537</v>
      </c>
    </row>
    <row r="60" spans="1:61" s="3" customFormat="1">
      <c r="A60" s="3">
        <f t="shared" si="21"/>
        <v>2058</v>
      </c>
      <c r="B60" s="3">
        <f t="shared" si="1"/>
        <v>70</v>
      </c>
      <c r="C60" s="16">
        <f t="shared" si="35"/>
        <v>15258.998027999995</v>
      </c>
      <c r="D60" s="16">
        <f t="shared" ref="D60:D89" si="58">D59*(1+$AC$8)</f>
        <v>1271.5831689999995</v>
      </c>
      <c r="E60" s="21">
        <f t="shared" si="3"/>
        <v>1251.2378382959996</v>
      </c>
      <c r="F60" s="21">
        <f t="shared" si="36"/>
        <v>350.95695464399989</v>
      </c>
      <c r="G60" s="21">
        <f t="shared" si="5"/>
        <v>1552.1452794081597</v>
      </c>
      <c r="J60" s="2"/>
      <c r="K60" s="7"/>
      <c r="L60" s="7"/>
      <c r="M60" s="2"/>
      <c r="N60" s="1"/>
      <c r="O60" s="21">
        <f t="shared" si="37"/>
        <v>13568.852748591835</v>
      </c>
      <c r="P60" s="1">
        <f t="shared" si="38"/>
        <v>7.6495598393917619E-2</v>
      </c>
      <c r="Q60" s="7">
        <f t="shared" si="12"/>
        <v>1037.9575105224862</v>
      </c>
      <c r="R60" s="7">
        <f t="shared" si="13"/>
        <v>93.41617594702376</v>
      </c>
      <c r="S60" s="7">
        <f t="shared" si="14"/>
        <v>13475.43657264481</v>
      </c>
      <c r="T60" s="1">
        <f t="shared" si="39"/>
        <v>7.5362526160397722E-2</v>
      </c>
      <c r="U60" s="7">
        <f t="shared" si="16"/>
        <v>1015.5429412287248</v>
      </c>
      <c r="V60" s="7">
        <f t="shared" si="17"/>
        <v>55.854861767579862</v>
      </c>
      <c r="W60" s="7">
        <f t="shared" si="40"/>
        <v>1040.9991046763887</v>
      </c>
      <c r="X60" s="23"/>
      <c r="Y60" s="33" t="s">
        <v>106</v>
      </c>
      <c r="Z60" s="34">
        <f>AB57/Z58</f>
        <v>1.9490905678227934</v>
      </c>
      <c r="AA60" s="26"/>
      <c r="AB60" s="21">
        <f t="shared" si="41"/>
        <v>143829.10251953916</v>
      </c>
      <c r="AC60" s="21">
        <f t="shared" ref="AC60:AC113" si="59">AC59</f>
        <v>515.6437780191626</v>
      </c>
      <c r="AD60" s="44">
        <f t="shared" ref="AD60:AD91" si="60">AC60*(1-$AC$9)^(A60-$B$9)</f>
        <v>231.87570337606056</v>
      </c>
      <c r="AE60" s="46" t="s">
        <v>106</v>
      </c>
      <c r="AF60" s="34">
        <f>AH57/AF58</f>
        <v>2.1688393928138625</v>
      </c>
      <c r="AG60" s="21"/>
      <c r="AH60" s="21">
        <f t="shared" si="42"/>
        <v>76799.511142569827</v>
      </c>
      <c r="AI60" s="21">
        <f t="shared" ref="AI60:AI93" si="61">AI59*(1+$AI$14)</f>
        <v>315.76333511017287</v>
      </c>
      <c r="AJ60" s="44">
        <f t="shared" si="43"/>
        <v>141.99307458010497</v>
      </c>
      <c r="AK60" s="47">
        <f>AL57/AK58</f>
        <v>1.6272316959663085</v>
      </c>
      <c r="AL60" s="21">
        <f t="shared" si="44"/>
        <v>164052.60726503417</v>
      </c>
      <c r="AM60" s="21">
        <f t="shared" ref="AM60:AM92" si="62">AM59</f>
        <v>720.37266211188853</v>
      </c>
      <c r="AN60" s="44">
        <f t="shared" si="45"/>
        <v>323.93858869343683</v>
      </c>
      <c r="AO60" s="47">
        <f>AP57/AO58</f>
        <v>2.1902640616811637</v>
      </c>
      <c r="AP60" s="21">
        <f t="shared" si="46"/>
        <v>172280.56891674196</v>
      </c>
      <c r="AQ60" s="21">
        <f t="shared" ref="AQ60:AQ91" si="63">AQ59</f>
        <v>723.61228335392616</v>
      </c>
      <c r="AR60" s="21">
        <f t="shared" si="47"/>
        <v>325.39538791450991</v>
      </c>
      <c r="AS60" s="41"/>
      <c r="AT60" s="7">
        <f t="shared" si="48"/>
        <v>533.93939134110838</v>
      </c>
      <c r="AU60" s="7">
        <f t="shared" si="49"/>
        <v>471.14882874073686</v>
      </c>
      <c r="AV60" s="7">
        <f t="shared" si="50"/>
        <v>211.8671274939839</v>
      </c>
      <c r="AW60" s="7">
        <f t="shared" si="51"/>
        <v>52.314714969852261</v>
      </c>
      <c r="AX60" s="7">
        <f t="shared" si="52"/>
        <v>311.40377552935189</v>
      </c>
      <c r="AY60" s="7">
        <f t="shared" si="53"/>
        <v>140.03265929477763</v>
      </c>
      <c r="AZ60" s="7">
        <f t="shared" si="54"/>
        <v>119.3491653402638</v>
      </c>
      <c r="BA60" s="7">
        <f>((12*AM60)-AZ60)/12</f>
        <v>710.42689833353325</v>
      </c>
      <c r="BB60" s="7">
        <f t="shared" si="55"/>
        <v>319.46615817061075</v>
      </c>
      <c r="BC60" s="7">
        <f t="shared" si="56"/>
        <v>749.28684997453161</v>
      </c>
      <c r="BD60" s="7">
        <f>((12*AQ60)-BC60)/12</f>
        <v>661.17171252271521</v>
      </c>
      <c r="BE60" s="7">
        <f t="shared" si="57"/>
        <v>297.31698980737383</v>
      </c>
    </row>
    <row r="61" spans="1:61" s="3" customFormat="1">
      <c r="A61" s="3">
        <f t="shared" si="21"/>
        <v>2059</v>
      </c>
      <c r="B61" s="3">
        <f t="shared" si="1"/>
        <v>71</v>
      </c>
      <c r="C61" s="16">
        <f t="shared" si="35"/>
        <v>15396.329010251993</v>
      </c>
      <c r="D61" s="16">
        <f t="shared" si="58"/>
        <v>1283.0274175209995</v>
      </c>
      <c r="E61" s="21">
        <f t="shared" si="3"/>
        <v>1262.4989788406635</v>
      </c>
      <c r="F61" s="21">
        <f t="shared" si="36"/>
        <v>354.11556723579582</v>
      </c>
      <c r="G61" s="21">
        <f t="shared" si="5"/>
        <v>1566.1145869228328</v>
      </c>
      <c r="J61" s="2"/>
      <c r="K61" s="7"/>
      <c r="L61" s="7"/>
      <c r="M61" s="2"/>
      <c r="N61" s="1"/>
      <c r="O61" s="21">
        <f t="shared" si="37"/>
        <v>13692.21442332916</v>
      </c>
      <c r="P61" s="1">
        <f t="shared" si="38"/>
        <v>7.7972666307592239E-2</v>
      </c>
      <c r="Q61" s="7">
        <f t="shared" si="12"/>
        <v>1067.6184662422461</v>
      </c>
      <c r="R61" s="7">
        <f t="shared" si="13"/>
        <v>96.085661961802145</v>
      </c>
      <c r="S61" s="7">
        <f t="shared" si="14"/>
        <v>13596.128761367358</v>
      </c>
      <c r="T61" s="1">
        <f t="shared" si="39"/>
        <v>7.6824054166837449E-2</v>
      </c>
      <c r="U61" s="7">
        <f t="shared" si="16"/>
        <v>1044.5097324225824</v>
      </c>
      <c r="V61" s="7">
        <f t="shared" si="17"/>
        <v>57.448035283242028</v>
      </c>
      <c r="W61" s="7">
        <f t="shared" si="40"/>
        <v>1048.4725862089922</v>
      </c>
      <c r="X61" s="23"/>
      <c r="Y61" s="26"/>
      <c r="Z61" s="26"/>
      <c r="AA61" s="26"/>
      <c r="AB61" s="21">
        <f t="shared" si="41"/>
        <v>139017.79095514229</v>
      </c>
      <c r="AC61" s="21">
        <f t="shared" si="59"/>
        <v>515.6437780191626</v>
      </c>
      <c r="AD61" s="44">
        <f t="shared" si="60"/>
        <v>227.70194071529147</v>
      </c>
      <c r="AE61" s="31"/>
      <c r="AF61" s="21"/>
      <c r="AG61" s="21"/>
      <c r="AH61" s="21">
        <f t="shared" si="42"/>
        <v>74289.646316579077</v>
      </c>
      <c r="AI61" s="21">
        <f t="shared" si="61"/>
        <v>321.60495680971104</v>
      </c>
      <c r="AJ61" s="44">
        <f t="shared" si="43"/>
        <v>142.01678742355986</v>
      </c>
      <c r="AK61" s="23"/>
      <c r="AL61" s="21">
        <f t="shared" si="44"/>
        <v>159681.85904098302</v>
      </c>
      <c r="AM61" s="21">
        <f t="shared" si="62"/>
        <v>720.37266211188853</v>
      </c>
      <c r="AN61" s="44">
        <f t="shared" si="45"/>
        <v>318.10769409695502</v>
      </c>
      <c r="AO61" s="31"/>
      <c r="AP61" s="21">
        <f t="shared" si="46"/>
        <v>167531.3945104153</v>
      </c>
      <c r="AQ61" s="21">
        <f t="shared" si="63"/>
        <v>723.61228335392616</v>
      </c>
      <c r="AR61" s="21">
        <f t="shared" si="47"/>
        <v>319.53827093204876</v>
      </c>
      <c r="AS61" s="41"/>
      <c r="AT61" s="7">
        <f t="shared" si="48"/>
        <v>544.29423762804834</v>
      </c>
      <c r="AU61" s="7">
        <f t="shared" si="49"/>
        <v>470.28592488349187</v>
      </c>
      <c r="AV61" s="7">
        <f t="shared" si="50"/>
        <v>207.67247148491211</v>
      </c>
      <c r="AW61" s="7">
        <f t="shared" si="51"/>
        <v>54.315861374404214</v>
      </c>
      <c r="AX61" s="7">
        <f t="shared" si="52"/>
        <v>317.07863502851075</v>
      </c>
      <c r="AY61" s="7">
        <f t="shared" si="53"/>
        <v>140.01801947984407</v>
      </c>
      <c r="AZ61" s="7">
        <f t="shared" si="54"/>
        <v>121.66373939420073</v>
      </c>
      <c r="BA61" s="7">
        <f>((12*AM61)-AZ61)/12</f>
        <v>710.23401716237186</v>
      </c>
      <c r="BB61" s="7">
        <f t="shared" si="55"/>
        <v>313.63059337424943</v>
      </c>
      <c r="BC61" s="7">
        <f t="shared" si="56"/>
        <v>763.81799392482878</v>
      </c>
      <c r="BD61" s="7">
        <f>((12*AQ61)-BC61)/12</f>
        <v>659.96078386019042</v>
      </c>
      <c r="BE61" s="7">
        <f t="shared" si="57"/>
        <v>291.43055280959061</v>
      </c>
    </row>
    <row r="62" spans="1:61" s="3" customFormat="1">
      <c r="A62" s="3">
        <f t="shared" si="21"/>
        <v>2060</v>
      </c>
      <c r="B62" s="3">
        <f t="shared" si="1"/>
        <v>72</v>
      </c>
      <c r="C62" s="16">
        <f t="shared" si="35"/>
        <v>15534.89597134426</v>
      </c>
      <c r="D62" s="16">
        <f t="shared" si="58"/>
        <v>1294.5746642786883</v>
      </c>
      <c r="E62" s="21">
        <f t="shared" si="3"/>
        <v>1273.8614696502293</v>
      </c>
      <c r="F62" s="21">
        <f t="shared" si="36"/>
        <v>357.30260734091797</v>
      </c>
      <c r="G62" s="21">
        <f t="shared" si="5"/>
        <v>1580.2096182051382</v>
      </c>
      <c r="J62" s="2"/>
      <c r="K62" s="7"/>
      <c r="L62" s="7"/>
      <c r="M62" s="2"/>
      <c r="N62" s="1"/>
      <c r="O62" s="21">
        <f t="shared" si="37"/>
        <v>13816.686353139121</v>
      </c>
      <c r="P62" s="1">
        <f t="shared" si="38"/>
        <v>7.9441401865314495E-2</v>
      </c>
      <c r="Q62" s="7">
        <f t="shared" si="12"/>
        <v>1097.6169330267314</v>
      </c>
      <c r="R62" s="7">
        <f t="shared" si="13"/>
        <v>98.785523972405826</v>
      </c>
      <c r="S62" s="7">
        <f t="shared" si="14"/>
        <v>13717.900829166716</v>
      </c>
      <c r="T62" s="1">
        <f t="shared" si="39"/>
        <v>7.8277518569755566E-2</v>
      </c>
      <c r="U62" s="7">
        <f t="shared" si="16"/>
        <v>1073.8032368931629</v>
      </c>
      <c r="V62" s="7">
        <f t="shared" si="17"/>
        <v>59.059178029123956</v>
      </c>
      <c r="W62" s="7">
        <f t="shared" si="40"/>
        <v>1056.0069962882014</v>
      </c>
      <c r="X62" s="23"/>
      <c r="Y62" s="26"/>
      <c r="Z62" s="26"/>
      <c r="AA62" s="26"/>
      <c r="AB62" s="21">
        <f t="shared" si="41"/>
        <v>134158.36627510146</v>
      </c>
      <c r="AC62" s="21">
        <f t="shared" si="59"/>
        <v>515.6437780191626</v>
      </c>
      <c r="AD62" s="44">
        <f t="shared" si="60"/>
        <v>223.60330578241621</v>
      </c>
      <c r="AE62" s="31"/>
      <c r="AF62" s="21"/>
      <c r="AG62" s="21"/>
      <c r="AH62" s="21">
        <f t="shared" si="42"/>
        <v>71660.631859338129</v>
      </c>
      <c r="AI62" s="21">
        <f t="shared" si="61"/>
        <v>327.5546485106907</v>
      </c>
      <c r="AJ62" s="44">
        <f t="shared" si="43"/>
        <v>142.04050422705959</v>
      </c>
      <c r="AK62" s="23"/>
      <c r="AL62" s="21">
        <f t="shared" si="44"/>
        <v>155190.91524077047</v>
      </c>
      <c r="AM62" s="21">
        <f t="shared" si="62"/>
        <v>720.37266211188853</v>
      </c>
      <c r="AN62" s="44">
        <f t="shared" si="45"/>
        <v>312.3817556032098</v>
      </c>
      <c r="AO62" s="31"/>
      <c r="AP62" s="21">
        <f t="shared" si="46"/>
        <v>162663.49074393045</v>
      </c>
      <c r="AQ62" s="21">
        <f t="shared" si="63"/>
        <v>723.61228335392616</v>
      </c>
      <c r="AR62" s="21">
        <f t="shared" si="47"/>
        <v>313.78658205527188</v>
      </c>
      <c r="AS62" s="41"/>
      <c r="AT62" s="7">
        <f t="shared" si="48"/>
        <v>554.59195372342356</v>
      </c>
      <c r="AU62" s="7">
        <f t="shared" si="49"/>
        <v>469.42778187554387</v>
      </c>
      <c r="AV62" s="7">
        <f t="shared" si="50"/>
        <v>203.5622426332813</v>
      </c>
      <c r="AW62" s="7">
        <f t="shared" si="51"/>
        <v>56.367338914961522</v>
      </c>
      <c r="AX62" s="7">
        <f t="shared" si="52"/>
        <v>322.85737026777724</v>
      </c>
      <c r="AY62" s="7">
        <f t="shared" si="53"/>
        <v>140.00358069948385</v>
      </c>
      <c r="AZ62" s="7">
        <f t="shared" si="54"/>
        <v>123.96554338323978</v>
      </c>
      <c r="BA62" s="7">
        <f>((12*AM62)-AZ62)/12</f>
        <v>710.0422001632852</v>
      </c>
      <c r="BB62" s="7">
        <f t="shared" si="55"/>
        <v>307.90206334193454</v>
      </c>
      <c r="BC62" s="7">
        <f t="shared" si="56"/>
        <v>778.26896603920204</v>
      </c>
      <c r="BD62" s="7">
        <f>((12*AQ62)-BC62)/12</f>
        <v>658.75653618399258</v>
      </c>
      <c r="BE62" s="7">
        <f t="shared" si="57"/>
        <v>285.66259397595326</v>
      </c>
    </row>
    <row r="63" spans="1:61" s="3" customFormat="1">
      <c r="A63" s="3">
        <f t="shared" si="21"/>
        <v>2061</v>
      </c>
      <c r="B63" s="3">
        <f t="shared" si="1"/>
        <v>73</v>
      </c>
      <c r="C63" s="16">
        <f t="shared" si="35"/>
        <v>15674.710035086355</v>
      </c>
      <c r="D63" s="16">
        <f t="shared" si="58"/>
        <v>1306.2258362571963</v>
      </c>
      <c r="E63" s="21">
        <f t="shared" si="3"/>
        <v>1285.3262228770811</v>
      </c>
      <c r="F63" s="21">
        <f t="shared" si="36"/>
        <v>360.51833080698617</v>
      </c>
      <c r="G63" s="21">
        <f t="shared" si="5"/>
        <v>1594.431504768984</v>
      </c>
      <c r="J63" s="2"/>
      <c r="K63" s="7"/>
      <c r="L63" s="7"/>
      <c r="M63" s="2"/>
      <c r="N63" s="1"/>
      <c r="O63" s="21">
        <f t="shared" si="37"/>
        <v>13942.278530317371</v>
      </c>
      <c r="P63" s="1">
        <f t="shared" si="38"/>
        <v>8.0901928753086466E-2</v>
      </c>
      <c r="Q63" s="7">
        <f t="shared" si="12"/>
        <v>1127.957224315423</v>
      </c>
      <c r="R63" s="7">
        <f t="shared" si="13"/>
        <v>101.51615018838807</v>
      </c>
      <c r="S63" s="7">
        <f t="shared" si="14"/>
        <v>13840.762380128983</v>
      </c>
      <c r="T63" s="1">
        <f t="shared" si="39"/>
        <v>7.9723034578230267E-2</v>
      </c>
      <c r="U63" s="7">
        <f t="shared" si="16"/>
        <v>1103.4275778200915</v>
      </c>
      <c r="V63" s="7">
        <f t="shared" si="17"/>
        <v>60.688516780105033</v>
      </c>
      <c r="W63" s="7">
        <f t="shared" si="40"/>
        <v>1063.6027697178085</v>
      </c>
      <c r="X63" s="23"/>
      <c r="Y63" s="26"/>
      <c r="Z63" s="26"/>
      <c r="AA63" s="26"/>
      <c r="AB63" s="21">
        <f t="shared" si="41"/>
        <v>129250.34734826023</v>
      </c>
      <c r="AC63" s="21">
        <f t="shared" si="59"/>
        <v>515.6437780191626</v>
      </c>
      <c r="AD63" s="44">
        <f t="shared" si="60"/>
        <v>219.57844627833273</v>
      </c>
      <c r="AE63" s="31"/>
      <c r="AF63" s="21"/>
      <c r="AG63" s="21"/>
      <c r="AH63" s="21">
        <f t="shared" si="42"/>
        <v>68908.918235727411</v>
      </c>
      <c r="AI63" s="21">
        <f t="shared" si="61"/>
        <v>333.61440950813846</v>
      </c>
      <c r="AJ63" s="44">
        <f t="shared" si="43"/>
        <v>142.06422499126552</v>
      </c>
      <c r="AK63" s="23"/>
      <c r="AL63" s="21">
        <f t="shared" si="44"/>
        <v>150576.47048605207</v>
      </c>
      <c r="AM63" s="21">
        <f t="shared" si="62"/>
        <v>720.37266211188853</v>
      </c>
      <c r="AN63" s="44">
        <f t="shared" si="45"/>
        <v>306.75888400235203</v>
      </c>
      <c r="AO63" s="31"/>
      <c r="AP63" s="21">
        <f t="shared" si="46"/>
        <v>157673.88938328347</v>
      </c>
      <c r="AQ63" s="21">
        <f t="shared" si="63"/>
        <v>723.61228335392616</v>
      </c>
      <c r="AR63" s="21">
        <f t="shared" si="47"/>
        <v>308.13842357827701</v>
      </c>
      <c r="AS63" s="41"/>
      <c r="AT63" s="7">
        <f t="shared" si="48"/>
        <v>564.83335587727538</v>
      </c>
      <c r="AU63" s="7">
        <f t="shared" si="49"/>
        <v>468.57433169605628</v>
      </c>
      <c r="AV63" s="7">
        <f t="shared" si="50"/>
        <v>199.53469450358529</v>
      </c>
      <c r="AW63" s="7">
        <f t="shared" si="51"/>
        <v>58.470302026061013</v>
      </c>
      <c r="AX63" s="7">
        <f t="shared" si="52"/>
        <v>328.74188433930004</v>
      </c>
      <c r="AY63" s="7">
        <f t="shared" si="53"/>
        <v>139.98934005784184</v>
      </c>
      <c r="AZ63" s="7">
        <f t="shared" si="54"/>
        <v>126.25475976022614</v>
      </c>
      <c r="BA63" s="7">
        <f>((12*AM63)-AZ63)/12</f>
        <v>709.85143213186973</v>
      </c>
      <c r="BB63" s="7">
        <f t="shared" si="55"/>
        <v>302.27859076420947</v>
      </c>
      <c r="BC63" s="7">
        <f t="shared" si="56"/>
        <v>792.64091177616615</v>
      </c>
      <c r="BD63" s="7">
        <f>((12*AQ63)-BC63)/12</f>
        <v>657.55887403924567</v>
      </c>
      <c r="BE63" s="7">
        <f t="shared" si="57"/>
        <v>280.01066250178189</v>
      </c>
    </row>
    <row r="64" spans="1:61" s="3" customFormat="1">
      <c r="A64" s="3">
        <f t="shared" si="21"/>
        <v>2062</v>
      </c>
      <c r="B64" s="3">
        <f t="shared" si="1"/>
        <v>74</v>
      </c>
      <c r="C64" s="16">
        <f t="shared" si="35"/>
        <v>15815.782425402131</v>
      </c>
      <c r="D64" s="16">
        <f t="shared" si="58"/>
        <v>1317.9818687835109</v>
      </c>
      <c r="E64" s="21">
        <f t="shared" si="3"/>
        <v>1296.8941588829748</v>
      </c>
      <c r="F64" s="21">
        <f t="shared" si="36"/>
        <v>363.76299578424897</v>
      </c>
      <c r="G64" s="21">
        <f t="shared" si="5"/>
        <v>1608.7813883119047</v>
      </c>
      <c r="J64" s="2"/>
      <c r="K64" s="7"/>
      <c r="L64" s="7"/>
      <c r="M64" s="2"/>
      <c r="N64" s="1"/>
      <c r="O64" s="21">
        <f t="shared" si="37"/>
        <v>14069.001037090226</v>
      </c>
      <c r="P64" s="1">
        <f t="shared" si="38"/>
        <v>8.2354369893262183E-2</v>
      </c>
      <c r="Q64" s="7">
        <f t="shared" si="12"/>
        <v>1158.6437154372177</v>
      </c>
      <c r="R64" s="7">
        <f t="shared" si="13"/>
        <v>104.27793438934958</v>
      </c>
      <c r="S64" s="7">
        <f t="shared" si="14"/>
        <v>13964.723102700877</v>
      </c>
      <c r="T64" s="1">
        <f t="shared" si="39"/>
        <v>8.1160716775264374E-2</v>
      </c>
      <c r="U64" s="7">
        <f t="shared" si="16"/>
        <v>1133.386936583297</v>
      </c>
      <c r="V64" s="7">
        <f t="shared" si="17"/>
        <v>62.336281512081335</v>
      </c>
      <c r="W64" s="7">
        <f t="shared" si="40"/>
        <v>1071.260343187515</v>
      </c>
      <c r="X64" s="23"/>
      <c r="Y64" s="26"/>
      <c r="Z64" s="26"/>
      <c r="AA64" s="26"/>
      <c r="AB64" s="21">
        <f t="shared" si="41"/>
        <v>124293.24823215058</v>
      </c>
      <c r="AC64" s="21">
        <f t="shared" si="59"/>
        <v>515.6437780191626</v>
      </c>
      <c r="AD64" s="44">
        <f t="shared" si="60"/>
        <v>215.62603424532276</v>
      </c>
      <c r="AE64" s="31"/>
      <c r="AF64" s="21"/>
      <c r="AG64" s="21"/>
      <c r="AH64" s="21">
        <f t="shared" si="42"/>
        <v>66030.865356789232</v>
      </c>
      <c r="AI64" s="21">
        <f t="shared" si="61"/>
        <v>339.786276084039</v>
      </c>
      <c r="AJ64" s="44">
        <f t="shared" si="43"/>
        <v>142.08794971683903</v>
      </c>
      <c r="AK64" s="23"/>
      <c r="AL64" s="21">
        <f t="shared" si="44"/>
        <v>145835.12850057893</v>
      </c>
      <c r="AM64" s="21">
        <f t="shared" si="62"/>
        <v>720.37266211188853</v>
      </c>
      <c r="AN64" s="44">
        <f t="shared" si="45"/>
        <v>301.23722409030967</v>
      </c>
      <c r="AO64" s="31"/>
      <c r="AP64" s="21">
        <f t="shared" si="46"/>
        <v>152559.54798862032</v>
      </c>
      <c r="AQ64" s="21">
        <f t="shared" si="63"/>
        <v>723.61228335392616</v>
      </c>
      <c r="AR64" s="21">
        <f t="shared" si="47"/>
        <v>302.59193195386803</v>
      </c>
      <c r="AS64" s="41"/>
      <c r="AT64" s="7">
        <f t="shared" si="48"/>
        <v>575.01925590393512</v>
      </c>
      <c r="AU64" s="7">
        <f t="shared" si="49"/>
        <v>467.72550669383463</v>
      </c>
      <c r="AV64" s="7">
        <f t="shared" si="50"/>
        <v>195.58811804382472</v>
      </c>
      <c r="AW64" s="7">
        <f t="shared" si="51"/>
        <v>60.62593130188484</v>
      </c>
      <c r="AX64" s="7">
        <f t="shared" si="52"/>
        <v>334.73411514221527</v>
      </c>
      <c r="AY64" s="7">
        <f t="shared" si="53"/>
        <v>139.97529467339143</v>
      </c>
      <c r="AZ64" s="7">
        <f t="shared" si="54"/>
        <v>128.53156998650996</v>
      </c>
      <c r="BA64" s="7">
        <f>((12*AM64)-AZ64)/12</f>
        <v>709.66169794634607</v>
      </c>
      <c r="BB64" s="7">
        <f t="shared" si="55"/>
        <v>296.75823525264383</v>
      </c>
      <c r="BC64" s="7">
        <f t="shared" si="56"/>
        <v>806.9349703695234</v>
      </c>
      <c r="BD64" s="7">
        <f>((12*AQ64)-BC64)/12</f>
        <v>656.36770248979917</v>
      </c>
      <c r="BE64" s="7">
        <f t="shared" si="57"/>
        <v>274.47236004335076</v>
      </c>
    </row>
    <row r="65" spans="1:57" s="3" customFormat="1">
      <c r="A65" s="3">
        <f t="shared" si="21"/>
        <v>2063</v>
      </c>
      <c r="B65" s="3">
        <f t="shared" si="1"/>
        <v>75</v>
      </c>
      <c r="C65" s="16">
        <f t="shared" si="35"/>
        <v>15958.124467230748</v>
      </c>
      <c r="D65" s="16">
        <f t="shared" si="58"/>
        <v>1329.8437056025623</v>
      </c>
      <c r="E65" s="21">
        <f t="shared" si="3"/>
        <v>1308.5662063129214</v>
      </c>
      <c r="F65" s="21">
        <f t="shared" si="36"/>
        <v>367.03686274630718</v>
      </c>
      <c r="G65" s="21">
        <f t="shared" si="5"/>
        <v>1623.2604208067116</v>
      </c>
      <c r="J65" s="2"/>
      <c r="K65" s="7"/>
      <c r="L65" s="7"/>
      <c r="M65" s="2"/>
      <c r="N65" s="1"/>
      <c r="O65" s="21">
        <f t="shared" si="37"/>
        <v>14196.864046424036</v>
      </c>
      <c r="P65" s="1">
        <f t="shared" si="38"/>
        <v>8.3798847456329387E-2</v>
      </c>
      <c r="Q65" s="7">
        <f t="shared" si="12"/>
        <v>1189.680844584535</v>
      </c>
      <c r="R65" s="7">
        <f t="shared" si="13"/>
        <v>107.07127601260814</v>
      </c>
      <c r="S65" s="7">
        <f t="shared" si="14"/>
        <v>14089.792770411428</v>
      </c>
      <c r="T65" s="1">
        <f t="shared" si="39"/>
        <v>8.259067912651806E-2</v>
      </c>
      <c r="U65" s="7">
        <f t="shared" si="16"/>
        <v>1163.6855536601843</v>
      </c>
      <c r="V65" s="7">
        <f t="shared" si="17"/>
        <v>64.002705451310135</v>
      </c>
      <c r="W65" s="7">
        <f t="shared" si="40"/>
        <v>1078.9801552539514</v>
      </c>
      <c r="X65" s="23"/>
      <c r="Y65" s="26"/>
      <c r="Z65" s="26"/>
      <c r="AA65" s="26"/>
      <c r="AB65" s="21">
        <f t="shared" si="41"/>
        <v>119286.57812487983</v>
      </c>
      <c r="AC65" s="21">
        <f t="shared" si="59"/>
        <v>515.6437780191626</v>
      </c>
      <c r="AD65" s="44">
        <f t="shared" si="60"/>
        <v>211.74476562890692</v>
      </c>
      <c r="AE65" s="31"/>
      <c r="AF65" s="21"/>
      <c r="AG65" s="21"/>
      <c r="AH65" s="21">
        <f t="shared" si="42"/>
        <v>63022.740444064177</v>
      </c>
      <c r="AI65" s="21">
        <f t="shared" si="61"/>
        <v>346.07232219159368</v>
      </c>
      <c r="AJ65" s="44">
        <f t="shared" si="43"/>
        <v>142.11167840444173</v>
      </c>
      <c r="AK65" s="23"/>
      <c r="AL65" s="21">
        <f t="shared" si="44"/>
        <v>140963.39961050526</v>
      </c>
      <c r="AM65" s="21">
        <f t="shared" si="62"/>
        <v>720.37266211188853</v>
      </c>
      <c r="AN65" s="44">
        <f t="shared" si="45"/>
        <v>295.81495405668409</v>
      </c>
      <c r="AO65" s="31"/>
      <c r="AP65" s="21">
        <f t="shared" si="46"/>
        <v>147317.34805909061</v>
      </c>
      <c r="AQ65" s="21">
        <f t="shared" si="63"/>
        <v>723.61228335392616</v>
      </c>
      <c r="AR65" s="21">
        <f t="shared" si="47"/>
        <v>297.14527717869839</v>
      </c>
      <c r="AS65" s="41"/>
      <c r="AT65" s="7">
        <f t="shared" si="48"/>
        <v>585.15046124389505</v>
      </c>
      <c r="AU65" s="7">
        <f t="shared" si="49"/>
        <v>466.8812395821713</v>
      </c>
      <c r="AV65" s="7">
        <f t="shared" si="50"/>
        <v>191.72084075488746</v>
      </c>
      <c r="AW65" s="7">
        <f t="shared" si="51"/>
        <v>62.835434099742045</v>
      </c>
      <c r="AX65" s="7">
        <f t="shared" si="52"/>
        <v>340.8360360166152</v>
      </c>
      <c r="AY65" s="7">
        <f t="shared" si="53"/>
        <v>139.96144167872001</v>
      </c>
      <c r="AZ65" s="7">
        <f t="shared" si="54"/>
        <v>130.79615454577612</v>
      </c>
      <c r="BA65" s="7">
        <f>((12*AM65)-AZ65)/12</f>
        <v>709.47298256640715</v>
      </c>
      <c r="BB65" s="7">
        <f t="shared" si="55"/>
        <v>291.33909264000204</v>
      </c>
      <c r="BC65" s="7">
        <f t="shared" si="56"/>
        <v>821.15227491518885</v>
      </c>
      <c r="BD65" s="7">
        <f>((12*AQ65)-BC65)/12</f>
        <v>655.18292711099377</v>
      </c>
      <c r="BE65" s="7">
        <f t="shared" si="57"/>
        <v>269.04533955226543</v>
      </c>
    </row>
    <row r="66" spans="1:57" s="3" customFormat="1">
      <c r="A66" s="3">
        <f t="shared" si="21"/>
        <v>2064</v>
      </c>
      <c r="B66" s="3">
        <f t="shared" si="1"/>
        <v>76</v>
      </c>
      <c r="C66" s="16">
        <f t="shared" si="35"/>
        <v>16101.747587435822</v>
      </c>
      <c r="D66" s="16">
        <f t="shared" si="58"/>
        <v>1341.8122989529852</v>
      </c>
      <c r="E66" s="21">
        <f t="shared" si="3"/>
        <v>1320.3433021697374</v>
      </c>
      <c r="F66" s="21">
        <f t="shared" si="36"/>
        <v>370.34019451102392</v>
      </c>
      <c r="G66" s="21">
        <f t="shared" si="5"/>
        <v>1637.8697645939719</v>
      </c>
      <c r="J66" s="2"/>
      <c r="K66" s="7"/>
      <c r="L66" s="7"/>
      <c r="M66" s="2"/>
      <c r="N66" s="1"/>
      <c r="O66" s="21">
        <f t="shared" si="37"/>
        <v>14325.877822841851</v>
      </c>
      <c r="P66" s="1">
        <f t="shared" si="38"/>
        <v>8.5235482872595358E-2</v>
      </c>
      <c r="Q66" s="7">
        <f t="shared" si="12"/>
        <v>1221.0731138037302</v>
      </c>
      <c r="R66" s="7">
        <f t="shared" si="13"/>
        <v>109.89658024233572</v>
      </c>
      <c r="S66" s="7">
        <f t="shared" si="14"/>
        <v>14215.981242599515</v>
      </c>
      <c r="T66" s="1">
        <f t="shared" si="39"/>
        <v>8.4013034988996149E-2</v>
      </c>
      <c r="U66" s="7">
        <f t="shared" si="16"/>
        <v>1194.327729537426</v>
      </c>
      <c r="V66" s="7">
        <f t="shared" si="17"/>
        <v>65.688025124558422</v>
      </c>
      <c r="W66" s="7">
        <f t="shared" si="40"/>
        <v>1086.7626463208951</v>
      </c>
      <c r="X66" s="23"/>
      <c r="Y66" s="26"/>
      <c r="Z66" s="26"/>
      <c r="AA66" s="26"/>
      <c r="AB66" s="21">
        <f t="shared" si="41"/>
        <v>114229.84131653637</v>
      </c>
      <c r="AC66" s="21">
        <f t="shared" si="59"/>
        <v>515.6437780191626</v>
      </c>
      <c r="AD66" s="44">
        <f t="shared" si="60"/>
        <v>207.93335984758659</v>
      </c>
      <c r="AE66" s="31"/>
      <c r="AF66" s="21"/>
      <c r="AG66" s="21"/>
      <c r="AH66" s="21">
        <f t="shared" si="42"/>
        <v>59880.715845899926</v>
      </c>
      <c r="AI66" s="21">
        <f t="shared" si="61"/>
        <v>352.47466015213814</v>
      </c>
      <c r="AJ66" s="44">
        <f t="shared" si="43"/>
        <v>142.13541105473524</v>
      </c>
      <c r="AK66" s="23"/>
      <c r="AL66" s="21">
        <f t="shared" si="44"/>
        <v>135957.69817595457</v>
      </c>
      <c r="AM66" s="21">
        <f t="shared" si="62"/>
        <v>720.37266211188853</v>
      </c>
      <c r="AN66" s="44">
        <f t="shared" si="45"/>
        <v>290.49028488366378</v>
      </c>
      <c r="AO66" s="31"/>
      <c r="AP66" s="21">
        <f t="shared" si="46"/>
        <v>141944.09313132265</v>
      </c>
      <c r="AQ66" s="21">
        <f t="shared" si="63"/>
        <v>723.61228335392616</v>
      </c>
      <c r="AR66" s="21">
        <f t="shared" si="47"/>
        <v>291.79666218948176</v>
      </c>
      <c r="AS66" s="41"/>
      <c r="AT66" s="7">
        <f t="shared" si="48"/>
        <v>595.22777502535757</v>
      </c>
      <c r="AU66" s="7">
        <f t="shared" si="49"/>
        <v>466.04146343371605</v>
      </c>
      <c r="AV66" s="7">
        <f t="shared" si="50"/>
        <v>187.93122587907479</v>
      </c>
      <c r="AW66" s="7">
        <f t="shared" si="51"/>
        <v>65.100045157881695</v>
      </c>
      <c r="AX66" s="7">
        <f t="shared" si="52"/>
        <v>347.0496563889813</v>
      </c>
      <c r="AY66" s="7">
        <f t="shared" si="53"/>
        <v>139.94777822031543</v>
      </c>
      <c r="AZ66" s="7">
        <f t="shared" si="54"/>
        <v>133.04869295780185</v>
      </c>
      <c r="BA66" s="7">
        <f>((12*AM66)-AZ66)/12</f>
        <v>709.28527103207171</v>
      </c>
      <c r="BB66" s="7">
        <f t="shared" si="55"/>
        <v>286.01929429394545</v>
      </c>
      <c r="BC66" s="7">
        <f t="shared" si="56"/>
        <v>835.29395245756211</v>
      </c>
      <c r="BD66" s="7">
        <f>((12*AQ66)-BC66)/12</f>
        <v>654.00445398246268</v>
      </c>
      <c r="BE66" s="7">
        <f t="shared" si="57"/>
        <v>263.72730413670598</v>
      </c>
    </row>
    <row r="67" spans="1:57" s="3" customFormat="1">
      <c r="A67" s="3">
        <f t="shared" si="21"/>
        <v>2065</v>
      </c>
      <c r="B67" s="3">
        <f t="shared" si="1"/>
        <v>77</v>
      </c>
      <c r="C67" s="16">
        <f t="shared" si="35"/>
        <v>16246.663315722744</v>
      </c>
      <c r="D67" s="16">
        <f t="shared" si="58"/>
        <v>1353.8886096435619</v>
      </c>
      <c r="E67" s="21">
        <f t="shared" si="3"/>
        <v>1332.2263918892652</v>
      </c>
      <c r="F67" s="21">
        <f t="shared" si="36"/>
        <v>373.67325626162312</v>
      </c>
      <c r="G67" s="21">
        <f t="shared" si="5"/>
        <v>1652.6105924753178</v>
      </c>
      <c r="J67" s="2"/>
      <c r="K67" s="7"/>
      <c r="L67" s="7"/>
      <c r="M67" s="2"/>
      <c r="N67" s="1"/>
      <c r="O67" s="21">
        <f t="shared" si="37"/>
        <v>14456.052723247427</v>
      </c>
      <c r="P67" s="1">
        <f t="shared" si="38"/>
        <v>8.6664396843778566E-2</v>
      </c>
      <c r="Q67" s="7">
        <f t="shared" si="12"/>
        <v>1252.8250900021008</v>
      </c>
      <c r="R67" s="7">
        <f t="shared" si="13"/>
        <v>112.75425810018906</v>
      </c>
      <c r="S67" s="7">
        <f t="shared" si="14"/>
        <v>14343.298465147238</v>
      </c>
      <c r="T67" s="1">
        <f t="shared" si="39"/>
        <v>8.542789711968965E-2</v>
      </c>
      <c r="U67" s="7">
        <f t="shared" si="16"/>
        <v>1225.3178256376007</v>
      </c>
      <c r="V67" s="7">
        <f t="shared" si="17"/>
        <v>67.392480410068032</v>
      </c>
      <c r="W67" s="7">
        <f t="shared" si="40"/>
        <v>1094.6082586186665</v>
      </c>
      <c r="X67" s="23"/>
      <c r="Y67" s="26"/>
      <c r="Z67" s="26"/>
      <c r="AA67" s="26"/>
      <c r="AB67" s="21">
        <f t="shared" si="41"/>
        <v>109122.53714010949</v>
      </c>
      <c r="AC67" s="21">
        <f t="shared" si="59"/>
        <v>515.6437780191626</v>
      </c>
      <c r="AD67" s="44">
        <f t="shared" si="60"/>
        <v>204.19055937033008</v>
      </c>
      <c r="AE67" s="31"/>
      <c r="AF67" s="21"/>
      <c r="AG67" s="21"/>
      <c r="AH67" s="21">
        <f t="shared" si="42"/>
        <v>56600.866804686622</v>
      </c>
      <c r="AI67" s="21">
        <f t="shared" si="61"/>
        <v>358.99544136495268</v>
      </c>
      <c r="AJ67" s="44">
        <f t="shared" si="43"/>
        <v>142.15914766838142</v>
      </c>
      <c r="AK67" s="23"/>
      <c r="AL67" s="21">
        <f t="shared" si="44"/>
        <v>130814.33995195375</v>
      </c>
      <c r="AM67" s="21">
        <f t="shared" si="62"/>
        <v>720.37266211188853</v>
      </c>
      <c r="AN67" s="44">
        <f t="shared" si="45"/>
        <v>285.26145975575787</v>
      </c>
      <c r="AO67" s="31"/>
      <c r="AP67" s="21">
        <f t="shared" si="46"/>
        <v>136436.50683036048</v>
      </c>
      <c r="AQ67" s="21">
        <f t="shared" si="63"/>
        <v>723.61228335392616</v>
      </c>
      <c r="AR67" s="21">
        <f t="shared" si="47"/>
        <v>286.54432227007118</v>
      </c>
      <c r="AS67" s="41"/>
      <c r="AT67" s="7">
        <f t="shared" si="48"/>
        <v>605.25199612545998</v>
      </c>
      <c r="AU67" s="7">
        <f t="shared" si="49"/>
        <v>465.20611167537419</v>
      </c>
      <c r="AV67" s="7">
        <f t="shared" si="50"/>
        <v>184.21767160731804</v>
      </c>
      <c r="AW67" s="7">
        <f t="shared" si="51"/>
        <v>67.421027227987878</v>
      </c>
      <c r="AX67" s="7">
        <f t="shared" si="52"/>
        <v>353.37702242928702</v>
      </c>
      <c r="AY67" s="7">
        <f t="shared" si="53"/>
        <v>139.93430145835347</v>
      </c>
      <c r="AZ67" s="7">
        <f t="shared" si="54"/>
        <v>135.28936379214224</v>
      </c>
      <c r="BA67" s="7">
        <f>((12*AM67)-AZ67)/12</f>
        <v>709.09854846254336</v>
      </c>
      <c r="BB67" s="7">
        <f t="shared" si="55"/>
        <v>280.79700644400106</v>
      </c>
      <c r="BC67" s="7">
        <f t="shared" si="56"/>
        <v>849.36112407544601</v>
      </c>
      <c r="BD67" s="7">
        <f>((12*AQ67)-BC67)/12</f>
        <v>652.83218968097231</v>
      </c>
      <c r="BE67" s="7">
        <f t="shared" si="57"/>
        <v>258.5160059489001</v>
      </c>
    </row>
    <row r="68" spans="1:57" s="3" customFormat="1">
      <c r="A68" s="3">
        <f t="shared" si="21"/>
        <v>2066</v>
      </c>
      <c r="B68" s="3">
        <f t="shared" si="1"/>
        <v>78</v>
      </c>
      <c r="C68" s="16">
        <f t="shared" si="35"/>
        <v>16392.883285564247</v>
      </c>
      <c r="D68" s="16">
        <f t="shared" si="58"/>
        <v>1366.0736071303538</v>
      </c>
      <c r="E68" s="21">
        <f t="shared" si="3"/>
        <v>1344.2164294162683</v>
      </c>
      <c r="F68" s="21">
        <f t="shared" si="36"/>
        <v>377.03631556797768</v>
      </c>
      <c r="G68" s="21">
        <f t="shared" si="5"/>
        <v>1667.4840878075952</v>
      </c>
      <c r="J68" s="2"/>
      <c r="K68" s="7"/>
      <c r="L68" s="7"/>
      <c r="M68" s="2"/>
      <c r="N68" s="1"/>
      <c r="O68" s="21">
        <f t="shared" si="37"/>
        <v>14587.399197756651</v>
      </c>
      <c r="P68" s="1">
        <f t="shared" si="38"/>
        <v>8.8085709354507741E-2</v>
      </c>
      <c r="Q68" s="7">
        <f t="shared" si="12"/>
        <v>1284.9414059717717</v>
      </c>
      <c r="R68" s="7">
        <f t="shared" si="13"/>
        <v>115.64472653745945</v>
      </c>
      <c r="S68" s="7">
        <f t="shared" si="14"/>
        <v>14471.754471219192</v>
      </c>
      <c r="T68" s="1">
        <f t="shared" si="39"/>
        <v>8.6835377684172668E-2</v>
      </c>
      <c r="U68" s="7">
        <f t="shared" si="16"/>
        <v>1256.6602652609331</v>
      </c>
      <c r="V68" s="7">
        <f t="shared" si="17"/>
        <v>69.116314589351319</v>
      </c>
      <c r="W68" s="7">
        <f t="shared" si="40"/>
        <v>1102.5174361826882</v>
      </c>
      <c r="X68" s="23"/>
      <c r="Y68" s="26"/>
      <c r="Z68" s="26"/>
      <c r="AA68" s="26"/>
      <c r="AB68" s="21">
        <f t="shared" si="41"/>
        <v>103964.15992191833</v>
      </c>
      <c r="AC68" s="21">
        <f t="shared" si="59"/>
        <v>515.6437780191626</v>
      </c>
      <c r="AD68" s="44">
        <f t="shared" si="60"/>
        <v>200.5151293016641</v>
      </c>
      <c r="AE68" s="31"/>
      <c r="AF68" s="21"/>
      <c r="AG68" s="21"/>
      <c r="AH68" s="21">
        <f t="shared" si="42"/>
        <v>53179.169173950162</v>
      </c>
      <c r="AI68" s="21">
        <f t="shared" si="61"/>
        <v>365.63685703020428</v>
      </c>
      <c r="AJ68" s="44">
        <f t="shared" si="43"/>
        <v>142.18288824604201</v>
      </c>
      <c r="AK68" s="23"/>
      <c r="AL68" s="21">
        <f t="shared" si="44"/>
        <v>125529.53937679289</v>
      </c>
      <c r="AM68" s="21">
        <f t="shared" si="62"/>
        <v>720.37266211188853</v>
      </c>
      <c r="AN68" s="44">
        <f t="shared" si="45"/>
        <v>280.12675348015421</v>
      </c>
      <c r="AO68" s="31"/>
      <c r="AP68" s="21">
        <f t="shared" si="46"/>
        <v>130791.23087187424</v>
      </c>
      <c r="AQ68" s="21">
        <f t="shared" si="63"/>
        <v>723.61228335392616</v>
      </c>
      <c r="AR68" s="21">
        <f t="shared" si="47"/>
        <v>281.38652446920986</v>
      </c>
      <c r="AS68" s="41"/>
      <c r="AT68" s="7">
        <f t="shared" si="48"/>
        <v>615.22391923118266</v>
      </c>
      <c r="AU68" s="7">
        <f t="shared" si="49"/>
        <v>464.37511808323069</v>
      </c>
      <c r="AV68" s="7">
        <f t="shared" si="50"/>
        <v>180.57861030463977</v>
      </c>
      <c r="AW68" s="7">
        <f t="shared" si="51"/>
        <v>69.799671722716838</v>
      </c>
      <c r="AX68" s="7">
        <f t="shared" si="52"/>
        <v>359.82021771997785</v>
      </c>
      <c r="AY68" s="7">
        <f t="shared" si="53"/>
        <v>139.92100856648568</v>
      </c>
      <c r="AZ68" s="7">
        <f t="shared" si="54"/>
        <v>137.51834468174471</v>
      </c>
      <c r="BA68" s="7">
        <f>((12*AM68)-AZ68)/12</f>
        <v>708.91280005507645</v>
      </c>
      <c r="BB68" s="7">
        <f t="shared" si="55"/>
        <v>275.6704295215327</v>
      </c>
      <c r="BC68" s="7">
        <f t="shared" si="56"/>
        <v>863.35490496752084</v>
      </c>
      <c r="BD68" s="7">
        <f>((12*AQ68)-BC68)/12</f>
        <v>651.66604127329936</v>
      </c>
      <c r="BE68" s="7">
        <f t="shared" si="57"/>
        <v>253.40924509819882</v>
      </c>
    </row>
    <row r="69" spans="1:57" s="3" customFormat="1">
      <c r="A69" s="3">
        <f t="shared" si="21"/>
        <v>2067</v>
      </c>
      <c r="B69" s="3">
        <f t="shared" si="1"/>
        <v>79</v>
      </c>
      <c r="C69" s="16">
        <f t="shared" si="35"/>
        <v>16540.419235134323</v>
      </c>
      <c r="D69" s="16">
        <f t="shared" si="58"/>
        <v>1378.368269594527</v>
      </c>
      <c r="E69" s="21">
        <f t="shared" si="3"/>
        <v>1356.3143772810145</v>
      </c>
      <c r="F69" s="21">
        <f t="shared" si="36"/>
        <v>380.42964240808942</v>
      </c>
      <c r="G69" s="21">
        <f t="shared" si="5"/>
        <v>1682.4914445978632</v>
      </c>
      <c r="J69" s="2"/>
      <c r="K69" s="7"/>
      <c r="L69" s="7"/>
      <c r="M69" s="2"/>
      <c r="N69" s="1"/>
      <c r="O69" s="21">
        <f t="shared" si="37"/>
        <v>14719.92779053646</v>
      </c>
      <c r="P69" s="1">
        <f t="shared" si="38"/>
        <v>8.9499539683729826E-2</v>
      </c>
      <c r="Q69" s="7">
        <f t="shared" si="12"/>
        <v>1317.4267614307553</v>
      </c>
      <c r="R69" s="7">
        <f t="shared" si="13"/>
        <v>118.56840852876797</v>
      </c>
      <c r="S69" s="7">
        <f t="shared" si="14"/>
        <v>14601.359382007691</v>
      </c>
      <c r="T69" s="1">
        <f t="shared" si="39"/>
        <v>8.8235588265155027E-2</v>
      </c>
      <c r="U69" s="7">
        <f t="shared" si="16"/>
        <v>1288.3595345423892</v>
      </c>
      <c r="V69" s="7">
        <f t="shared" si="17"/>
        <v>70.859774399831409</v>
      </c>
      <c r="W69" s="7">
        <f t="shared" si="40"/>
        <v>1110.4906248311859</v>
      </c>
      <c r="X69" s="23"/>
      <c r="Y69" s="26"/>
      <c r="Z69" s="26"/>
      <c r="AA69" s="26"/>
      <c r="AB69" s="21">
        <f t="shared" si="41"/>
        <v>98754.198931545252</v>
      </c>
      <c r="AC69" s="21">
        <f t="shared" si="59"/>
        <v>515.6437780191626</v>
      </c>
      <c r="AD69" s="44">
        <f t="shared" si="60"/>
        <v>196.90585697423418</v>
      </c>
      <c r="AE69" s="31"/>
      <c r="AF69" s="21"/>
      <c r="AG69" s="21"/>
      <c r="AH69" s="21">
        <f t="shared" si="42"/>
        <v>49611.497084212548</v>
      </c>
      <c r="AI69" s="21">
        <f t="shared" si="61"/>
        <v>372.40113888526304</v>
      </c>
      <c r="AJ69" s="44">
        <f t="shared" si="43"/>
        <v>142.2066327883791</v>
      </c>
      <c r="AK69" s="23"/>
      <c r="AL69" s="21">
        <f t="shared" si="44"/>
        <v>120099.40678581511</v>
      </c>
      <c r="AM69" s="21">
        <f t="shared" si="62"/>
        <v>720.37266211188853</v>
      </c>
      <c r="AN69" s="44">
        <f t="shared" si="45"/>
        <v>275.08447191751145</v>
      </c>
      <c r="AO69" s="31"/>
      <c r="AP69" s="21">
        <f t="shared" si="46"/>
        <v>125004.82301442586</v>
      </c>
      <c r="AQ69" s="21">
        <f t="shared" si="63"/>
        <v>723.61228335392616</v>
      </c>
      <c r="AR69" s="21">
        <f t="shared" si="47"/>
        <v>276.32156702876409</v>
      </c>
      <c r="AS69" s="41"/>
      <c r="AT69" s="7">
        <f t="shared" si="48"/>
        <v>625.14433489994474</v>
      </c>
      <c r="AU69" s="7">
        <f t="shared" si="49"/>
        <v>463.54841677750051</v>
      </c>
      <c r="AV69" s="7">
        <f t="shared" si="50"/>
        <v>177.0125077534266</v>
      </c>
      <c r="AW69" s="7">
        <f t="shared" si="51"/>
        <v>72.237299378644494</v>
      </c>
      <c r="AX69" s="7">
        <f t="shared" si="52"/>
        <v>366.38136393704264</v>
      </c>
      <c r="AY69" s="7">
        <f t="shared" si="53"/>
        <v>139.90789673162925</v>
      </c>
      <c r="AZ69" s="7">
        <f t="shared" si="54"/>
        <v>139.73581233649358</v>
      </c>
      <c r="BA69" s="7">
        <f>((12*AM69)-AZ69)/12</f>
        <v>708.72801108384738</v>
      </c>
      <c r="BB69" s="7">
        <f t="shared" si="55"/>
        <v>270.63779751245903</v>
      </c>
      <c r="BC69" s="7">
        <f t="shared" si="56"/>
        <v>877.2764045373774</v>
      </c>
      <c r="BD69" s="7">
        <f>((12*AQ69)-BC69)/12</f>
        <v>650.50591630914471</v>
      </c>
      <c r="BE69" s="7">
        <f t="shared" si="57"/>
        <v>248.40486858914744</v>
      </c>
    </row>
    <row r="70" spans="1:57" s="3" customFormat="1">
      <c r="A70" s="3">
        <f t="shared" si="21"/>
        <v>2068</v>
      </c>
      <c r="B70" s="3">
        <f t="shared" si="1"/>
        <v>80</v>
      </c>
      <c r="C70" s="16">
        <f t="shared" si="35"/>
        <v>16689.283008250532</v>
      </c>
      <c r="D70" s="16">
        <f t="shared" si="58"/>
        <v>1390.7735840208775</v>
      </c>
      <c r="E70" s="21">
        <f t="shared" si="3"/>
        <v>1368.5212066765437</v>
      </c>
      <c r="F70" s="21">
        <f t="shared" si="36"/>
        <v>383.85350918976224</v>
      </c>
      <c r="G70" s="21">
        <f t="shared" si="5"/>
        <v>1697.633867599244</v>
      </c>
      <c r="J70" s="2"/>
      <c r="K70" s="7"/>
      <c r="L70" s="7"/>
      <c r="M70" s="2"/>
      <c r="N70" s="1"/>
      <c r="O70" s="21">
        <f t="shared" si="37"/>
        <v>14853.649140651287</v>
      </c>
      <c r="P70" s="1">
        <f t="shared" si="38"/>
        <v>9.0906006416028362E-2</v>
      </c>
      <c r="Q70" s="7">
        <f t="shared" si="12"/>
        <v>1350.2859240814801</v>
      </c>
      <c r="R70" s="7">
        <f t="shared" si="13"/>
        <v>121.5257331673332</v>
      </c>
      <c r="S70" s="7">
        <f t="shared" si="14"/>
        <v>14732.123407483954</v>
      </c>
      <c r="T70" s="1">
        <f t="shared" si="39"/>
        <v>8.9628639870990984E-2</v>
      </c>
      <c r="U70" s="7">
        <f t="shared" si="16"/>
        <v>1320.4201834243759</v>
      </c>
      <c r="V70" s="7">
        <f t="shared" si="17"/>
        <v>72.623110088340667</v>
      </c>
      <c r="W70" s="7">
        <f t="shared" si="40"/>
        <v>1118.5282721420147</v>
      </c>
      <c r="X70" s="23"/>
      <c r="Y70" s="26"/>
      <c r="Z70" s="26"/>
      <c r="AA70" s="26"/>
      <c r="AB70" s="21">
        <f t="shared" si="41"/>
        <v>93492.138331268448</v>
      </c>
      <c r="AC70" s="21">
        <f t="shared" si="59"/>
        <v>515.6437780191626</v>
      </c>
      <c r="AD70" s="44">
        <f t="shared" si="60"/>
        <v>193.36155154869795</v>
      </c>
      <c r="AE70" s="31"/>
      <c r="AF70" s="21"/>
      <c r="AG70" s="21"/>
      <c r="AH70" s="21">
        <f t="shared" si="42"/>
        <v>45893.620556504859</v>
      </c>
      <c r="AI70" s="21">
        <f t="shared" si="61"/>
        <v>379.2905599546404</v>
      </c>
      <c r="AJ70" s="44">
        <f t="shared" si="43"/>
        <v>142.23038129605476</v>
      </c>
      <c r="AK70" s="23"/>
      <c r="AL70" s="21">
        <f t="shared" si="44"/>
        <v>114519.94554858544</v>
      </c>
      <c r="AM70" s="21">
        <f t="shared" si="62"/>
        <v>720.37266211188853</v>
      </c>
      <c r="AN70" s="44">
        <f t="shared" si="45"/>
        <v>270.13295142299626</v>
      </c>
      <c r="AO70" s="31"/>
      <c r="AP70" s="21">
        <f t="shared" si="46"/>
        <v>119073.75496054126</v>
      </c>
      <c r="AQ70" s="21">
        <f t="shared" si="63"/>
        <v>723.61228335392616</v>
      </c>
      <c r="AR70" s="21">
        <f t="shared" si="47"/>
        <v>271.34777882224631</v>
      </c>
      <c r="AS70" s="41"/>
      <c r="AT70" s="7">
        <f t="shared" si="48"/>
        <v>635.0140296198872</v>
      </c>
      <c r="AU70" s="7">
        <f t="shared" si="49"/>
        <v>462.72594221750529</v>
      </c>
      <c r="AV70" s="7">
        <f t="shared" si="50"/>
        <v>173.51786241408877</v>
      </c>
      <c r="AW70" s="7">
        <f t="shared" si="51"/>
        <v>74.735260935002728</v>
      </c>
      <c r="AX70" s="7">
        <f t="shared" si="52"/>
        <v>373.06262154339015</v>
      </c>
      <c r="AY70" s="7">
        <f t="shared" si="53"/>
        <v>139.89496315375666</v>
      </c>
      <c r="AZ70" s="7">
        <f t="shared" si="54"/>
        <v>141.94194255668523</v>
      </c>
      <c r="BA70" s="7">
        <f>((12*AM70)-AZ70)/12</f>
        <v>708.54416689883146</v>
      </c>
      <c r="BB70" s="7">
        <f t="shared" si="55"/>
        <v>265.69737732246273</v>
      </c>
      <c r="BC70" s="7">
        <f t="shared" si="56"/>
        <v>891.1267264781153</v>
      </c>
      <c r="BD70" s="7">
        <f>((12*AQ70)-BC70)/12</f>
        <v>649.35172281408325</v>
      </c>
      <c r="BE70" s="7">
        <f t="shared" si="57"/>
        <v>243.50076928395532</v>
      </c>
    </row>
    <row r="71" spans="1:57" s="3" customFormat="1">
      <c r="A71" s="3">
        <f t="shared" si="21"/>
        <v>2069</v>
      </c>
      <c r="B71" s="3">
        <f t="shared" si="1"/>
        <v>81</v>
      </c>
      <c r="C71" s="16">
        <f t="shared" si="35"/>
        <v>16839.486555324784</v>
      </c>
      <c r="D71" s="16">
        <f t="shared" si="58"/>
        <v>1403.2905462770652</v>
      </c>
      <c r="E71" s="21">
        <f t="shared" si="3"/>
        <v>1380.8378975366322</v>
      </c>
      <c r="F71" s="21">
        <f t="shared" si="36"/>
        <v>387.30819077247003</v>
      </c>
      <c r="G71" s="21">
        <f t="shared" si="5"/>
        <v>1712.9125724076368</v>
      </c>
      <c r="J71" s="2"/>
      <c r="K71" s="7"/>
      <c r="L71" s="7"/>
      <c r="M71" s="2"/>
      <c r="N71" s="1"/>
      <c r="O71" s="21">
        <f t="shared" si="37"/>
        <v>14988.573982917147</v>
      </c>
      <c r="P71" s="1">
        <f t="shared" si="38"/>
        <v>9.230522745285398E-2</v>
      </c>
      <c r="Q71" s="7">
        <f t="shared" si="12"/>
        <v>1383.5237306870968</v>
      </c>
      <c r="R71" s="7">
        <f t="shared" si="13"/>
        <v>124.5171357618387</v>
      </c>
      <c r="S71" s="7">
        <f t="shared" si="14"/>
        <v>14864.056847155309</v>
      </c>
      <c r="T71" s="1">
        <f t="shared" si="39"/>
        <v>9.1014642944144727E-2</v>
      </c>
      <c r="U71" s="7">
        <f t="shared" si="16"/>
        <v>1352.8468266453101</v>
      </c>
      <c r="V71" s="7">
        <f t="shared" si="17"/>
        <v>74.406575465492054</v>
      </c>
      <c r="W71" s="7">
        <f t="shared" si="40"/>
        <v>1126.6308274285868</v>
      </c>
      <c r="X71" s="23"/>
      <c r="Y71" s="26"/>
      <c r="Z71" s="26"/>
      <c r="AA71" s="26"/>
      <c r="AB71" s="21">
        <f t="shared" si="41"/>
        <v>88177.457124988883</v>
      </c>
      <c r="AC71" s="21">
        <f t="shared" si="59"/>
        <v>515.6437780191626</v>
      </c>
      <c r="AD71" s="44">
        <f t="shared" si="60"/>
        <v>189.8810436208214</v>
      </c>
      <c r="AE71" s="31"/>
      <c r="AF71" s="21"/>
      <c r="AG71" s="21"/>
      <c r="AH71" s="21">
        <f t="shared" si="42"/>
        <v>42021.203062394918</v>
      </c>
      <c r="AI71" s="21">
        <f t="shared" si="61"/>
        <v>386.30743531380125</v>
      </c>
      <c r="AJ71" s="44">
        <f t="shared" si="43"/>
        <v>142.2541337697312</v>
      </c>
      <c r="AK71" s="23"/>
      <c r="AL71" s="21">
        <f t="shared" si="44"/>
        <v>108787.04912733196</v>
      </c>
      <c r="AM71" s="21">
        <f t="shared" si="62"/>
        <v>720.37266211188853</v>
      </c>
      <c r="AN71" s="44">
        <f t="shared" si="45"/>
        <v>265.27055829738231</v>
      </c>
      <c r="AO71" s="31"/>
      <c r="AP71" s="21">
        <f t="shared" si="46"/>
        <v>112994.41020530956</v>
      </c>
      <c r="AQ71" s="21">
        <f t="shared" si="63"/>
        <v>723.61228335392616</v>
      </c>
      <c r="AR71" s="21">
        <f t="shared" si="47"/>
        <v>266.46351880344594</v>
      </c>
      <c r="AS71" s="41"/>
      <c r="AT71" s="7">
        <f t="shared" si="48"/>
        <v>644.83378586985089</v>
      </c>
      <c r="AU71" s="7">
        <f t="shared" si="49"/>
        <v>461.90762919667503</v>
      </c>
      <c r="AV71" s="7">
        <f t="shared" si="50"/>
        <v>170.09320470269424</v>
      </c>
      <c r="AW71" s="7">
        <f t="shared" si="51"/>
        <v>77.294937828591785</v>
      </c>
      <c r="AX71" s="7">
        <f t="shared" si="52"/>
        <v>379.86619049475189</v>
      </c>
      <c r="AY71" s="7">
        <f t="shared" si="53"/>
        <v>139.88220504568704</v>
      </c>
      <c r="AZ71" s="7">
        <f t="shared" si="54"/>
        <v>144.13691024643427</v>
      </c>
      <c r="BA71" s="7">
        <f>((12*AM71)-AZ71)/12</f>
        <v>708.36125292468569</v>
      </c>
      <c r="BB71" s="7">
        <f t="shared" si="55"/>
        <v>260.8474681544464</v>
      </c>
      <c r="BC71" s="7">
        <f t="shared" si="56"/>
        <v>904.90696885650993</v>
      </c>
      <c r="BD71" s="7">
        <f>((12*AQ71)-BC71)/12</f>
        <v>648.2033692825504</v>
      </c>
      <c r="BE71" s="7">
        <f t="shared" si="57"/>
        <v>238.69488488878719</v>
      </c>
    </row>
    <row r="72" spans="1:57" s="3" customFormat="1">
      <c r="A72" s="3">
        <f t="shared" si="21"/>
        <v>2070</v>
      </c>
      <c r="B72" s="3">
        <f t="shared" si="1"/>
        <v>82</v>
      </c>
      <c r="C72" s="16">
        <f t="shared" si="35"/>
        <v>16991.041934322704</v>
      </c>
      <c r="D72" s="16">
        <f t="shared" si="58"/>
        <v>1415.9201611935587</v>
      </c>
      <c r="E72" s="21">
        <f t="shared" si="3"/>
        <v>1393.2654386144618</v>
      </c>
      <c r="F72" s="21">
        <f t="shared" si="36"/>
        <v>390.79396448942219</v>
      </c>
      <c r="G72" s="21">
        <f t="shared" si="5"/>
        <v>1728.3287855593055</v>
      </c>
      <c r="J72" s="2"/>
      <c r="K72" s="7"/>
      <c r="L72" s="7"/>
      <c r="M72" s="2"/>
      <c r="N72" s="1"/>
      <c r="O72" s="21">
        <f t="shared" si="37"/>
        <v>15124.713148763398</v>
      </c>
      <c r="P72" s="1">
        <f t="shared" si="38"/>
        <v>9.3697320023668332E-2</v>
      </c>
      <c r="Q72" s="7">
        <f t="shared" si="12"/>
        <v>1417.1450881658684</v>
      </c>
      <c r="R72" s="7">
        <f t="shared" si="13"/>
        <v>127.54305793492816</v>
      </c>
      <c r="S72" s="7">
        <f t="shared" si="14"/>
        <v>14997.170090828469</v>
      </c>
      <c r="T72" s="1">
        <f t="shared" si="39"/>
        <v>9.2393707369613554E-2</v>
      </c>
      <c r="U72" s="7">
        <f t="shared" si="16"/>
        <v>1385.6441447443262</v>
      </c>
      <c r="V72" s="7">
        <f t="shared" si="17"/>
        <v>76.210427960937949</v>
      </c>
      <c r="W72" s="7">
        <f t="shared" si="40"/>
        <v>1134.7987417148856</v>
      </c>
      <c r="X72" s="23"/>
      <c r="Y72" s="26"/>
      <c r="Z72" s="26"/>
      <c r="AA72" s="26"/>
      <c r="AB72" s="21">
        <f t="shared" si="41"/>
        <v>82809.62910664652</v>
      </c>
      <c r="AC72" s="21">
        <f t="shared" si="59"/>
        <v>515.6437780191626</v>
      </c>
      <c r="AD72" s="44">
        <f t="shared" si="60"/>
        <v>186.46318483564656</v>
      </c>
      <c r="AE72" s="31"/>
      <c r="AF72" s="21"/>
      <c r="AG72" s="21"/>
      <c r="AH72" s="21">
        <f t="shared" si="42"/>
        <v>37989.799029367445</v>
      </c>
      <c r="AI72" s="21">
        <f t="shared" si="61"/>
        <v>393.45412286710655</v>
      </c>
      <c r="AJ72" s="44">
        <f t="shared" si="43"/>
        <v>142.27789021007069</v>
      </c>
      <c r="AK72" s="23"/>
      <c r="AL72" s="21">
        <f t="shared" si="44"/>
        <v>102896.498054494</v>
      </c>
      <c r="AM72" s="21">
        <f t="shared" si="62"/>
        <v>720.37266211188853</v>
      </c>
      <c r="AN72" s="44">
        <f t="shared" si="45"/>
        <v>260.49568824802935</v>
      </c>
      <c r="AO72" s="31"/>
      <c r="AP72" s="21">
        <f t="shared" si="46"/>
        <v>106763.08183119705</v>
      </c>
      <c r="AQ72" s="21">
        <f t="shared" si="63"/>
        <v>723.61228335392616</v>
      </c>
      <c r="AR72" s="21">
        <f t="shared" si="47"/>
        <v>261.66717546498381</v>
      </c>
      <c r="AS72" s="41"/>
      <c r="AT72" s="7">
        <f t="shared" si="48"/>
        <v>654.6043821790538</v>
      </c>
      <c r="AU72" s="7">
        <f t="shared" si="49"/>
        <v>461.09341283757476</v>
      </c>
      <c r="AV72" s="7">
        <f t="shared" si="50"/>
        <v>166.73709628517361</v>
      </c>
      <c r="AW72" s="7">
        <f t="shared" si="51"/>
        <v>79.91774290526665</v>
      </c>
      <c r="AX72" s="7">
        <f t="shared" si="52"/>
        <v>386.79431095833434</v>
      </c>
      <c r="AY72" s="7">
        <f t="shared" si="53"/>
        <v>139.869619632878</v>
      </c>
      <c r="AZ72" s="7">
        <f t="shared" si="54"/>
        <v>146.32088942701336</v>
      </c>
      <c r="BA72" s="7">
        <f>((12*AM72)-AZ72)/12</f>
        <v>708.17925465963742</v>
      </c>
      <c r="BB72" s="7">
        <f t="shared" si="55"/>
        <v>256.08640089799184</v>
      </c>
      <c r="BC72" s="7">
        <f t="shared" si="56"/>
        <v>918.61822419675968</v>
      </c>
      <c r="BD72" s="7">
        <f>((12*AQ72)-BC72)/12</f>
        <v>647.0607646708628</v>
      </c>
      <c r="BE72" s="7">
        <f t="shared" si="57"/>
        <v>233.98519696330774</v>
      </c>
    </row>
    <row r="73" spans="1:57" s="3" customFormat="1">
      <c r="A73" s="3">
        <f t="shared" si="21"/>
        <v>2071</v>
      </c>
      <c r="B73" s="3">
        <f t="shared" si="1"/>
        <v>83</v>
      </c>
      <c r="C73" s="16">
        <f t="shared" si="35"/>
        <v>17143.961311731608</v>
      </c>
      <c r="D73" s="16">
        <f t="shared" si="58"/>
        <v>1428.6634426443006</v>
      </c>
      <c r="E73" s="21">
        <f t="shared" si="3"/>
        <v>1405.8048275619919</v>
      </c>
      <c r="F73" s="21">
        <f t="shared" si="36"/>
        <v>394.31111016982697</v>
      </c>
      <c r="G73" s="21">
        <f t="shared" si="5"/>
        <v>1743.8837446293392</v>
      </c>
      <c r="J73" s="2"/>
      <c r="K73" s="7"/>
      <c r="L73" s="7"/>
      <c r="M73" s="2"/>
      <c r="N73" s="1"/>
      <c r="O73" s="21">
        <f t="shared" si="37"/>
        <v>15262.077567102267</v>
      </c>
      <c r="P73" s="1">
        <f t="shared" si="38"/>
        <v>9.5082400697003175E-2</v>
      </c>
      <c r="Q73" s="7">
        <f t="shared" si="12"/>
        <v>1451.1549747039612</v>
      </c>
      <c r="R73" s="7">
        <f t="shared" si="13"/>
        <v>130.6039477233565</v>
      </c>
      <c r="S73" s="7">
        <f t="shared" si="14"/>
        <v>15131.47361937891</v>
      </c>
      <c r="T73" s="1">
        <f t="shared" si="39"/>
        <v>9.3765942483308523E-2</v>
      </c>
      <c r="U73" s="7">
        <f t="shared" si="16"/>
        <v>1418.8168850823831</v>
      </c>
      <c r="V73" s="7">
        <f t="shared" si="17"/>
        <v>78.034928679531077</v>
      </c>
      <c r="W73" s="7">
        <f t="shared" si="40"/>
        <v>1143.0324677095432</v>
      </c>
      <c r="X73" s="23"/>
      <c r="Y73" s="26"/>
      <c r="Z73" s="26"/>
      <c r="AA73" s="26"/>
      <c r="AB73" s="21">
        <f t="shared" si="41"/>
        <v>77388.122808120737</v>
      </c>
      <c r="AC73" s="21">
        <f t="shared" si="59"/>
        <v>515.6437780191626</v>
      </c>
      <c r="AD73" s="44">
        <f t="shared" si="60"/>
        <v>183.10684750860494</v>
      </c>
      <c r="AE73" s="31"/>
      <c r="AF73" s="21"/>
      <c r="AG73" s="21"/>
      <c r="AH73" s="21">
        <f t="shared" si="42"/>
        <v>33794.85129036985</v>
      </c>
      <c r="AI73" s="21">
        <f t="shared" si="61"/>
        <v>400.73302414014802</v>
      </c>
      <c r="AJ73" s="44">
        <f t="shared" si="43"/>
        <v>142.30165061773579</v>
      </c>
      <c r="AK73" s="23"/>
      <c r="AL73" s="21">
        <f t="shared" si="44"/>
        <v>96843.956827153001</v>
      </c>
      <c r="AM73" s="21">
        <f t="shared" si="62"/>
        <v>720.37266211188853</v>
      </c>
      <c r="AN73" s="44">
        <f t="shared" si="45"/>
        <v>255.80676585956488</v>
      </c>
      <c r="AO73" s="31"/>
      <c r="AP73" s="21">
        <f t="shared" si="46"/>
        <v>100375.97024773173</v>
      </c>
      <c r="AQ73" s="21">
        <f t="shared" si="63"/>
        <v>723.61228335392616</v>
      </c>
      <c r="AR73" s="21">
        <f t="shared" si="47"/>
        <v>256.95716630661417</v>
      </c>
      <c r="AS73" s="41"/>
      <c r="AT73" s="7">
        <f t="shared" si="48"/>
        <v>664.32659318646847</v>
      </c>
      <c r="AU73" s="7">
        <f t="shared" si="49"/>
        <v>460.28322858695691</v>
      </c>
      <c r="AV73" s="7">
        <f t="shared" si="50"/>
        <v>163.44812938770335</v>
      </c>
      <c r="AW73" s="7">
        <f t="shared" si="51"/>
        <v>82.605121148403981</v>
      </c>
      <c r="AX73" s="7">
        <f t="shared" si="52"/>
        <v>393.84926404444769</v>
      </c>
      <c r="AY73" s="7">
        <f t="shared" si="53"/>
        <v>139.85720415321862</v>
      </c>
      <c r="AZ73" s="7">
        <f t="shared" si="54"/>
        <v>148.49405325012518</v>
      </c>
      <c r="BA73" s="7">
        <f>((12*AM73)-AZ73)/12</f>
        <v>707.99815767437804</v>
      </c>
      <c r="BB73" s="7">
        <f t="shared" si="55"/>
        <v>251.41253753058544</v>
      </c>
      <c r="BC73" s="7">
        <f t="shared" si="56"/>
        <v>932.2615795638103</v>
      </c>
      <c r="BD73" s="7">
        <f>((12*AQ73)-BC73)/12</f>
        <v>645.9238183902753</v>
      </c>
      <c r="BE73" s="7">
        <f t="shared" si="57"/>
        <v>229.36972995293013</v>
      </c>
    </row>
    <row r="74" spans="1:57" s="3" customFormat="1">
      <c r="A74" s="3">
        <f t="shared" si="21"/>
        <v>2072</v>
      </c>
      <c r="B74" s="3">
        <f t="shared" si="1"/>
        <v>84</v>
      </c>
      <c r="C74" s="16">
        <f t="shared" si="35"/>
        <v>17298.256963537191</v>
      </c>
      <c r="D74" s="16">
        <f t="shared" si="58"/>
        <v>1441.5214136280993</v>
      </c>
      <c r="E74" s="21">
        <f t="shared" si="3"/>
        <v>1418.4570710100497</v>
      </c>
      <c r="F74" s="21">
        <f t="shared" si="36"/>
        <v>397.8599101613554</v>
      </c>
      <c r="G74" s="21">
        <f t="shared" si="5"/>
        <v>1759.5786983310031</v>
      </c>
      <c r="J74" s="2"/>
      <c r="K74" s="7"/>
      <c r="L74" s="7"/>
      <c r="M74" s="2"/>
      <c r="N74" s="1"/>
      <c r="O74" s="21">
        <f t="shared" si="37"/>
        <v>15400.678265206188</v>
      </c>
      <c r="P74" s="1">
        <f t="shared" si="38"/>
        <v>9.6460585391435677E-2</v>
      </c>
      <c r="Q74" s="7">
        <f t="shared" si="12"/>
        <v>1485.558440886949</v>
      </c>
      <c r="R74" s="7">
        <f t="shared" si="13"/>
        <v>133.70025967982542</v>
      </c>
      <c r="S74" s="7">
        <f t="shared" si="14"/>
        <v>15266.978005526364</v>
      </c>
      <c r="T74" s="1">
        <f t="shared" si="39"/>
        <v>9.5131457080393583E-2</v>
      </c>
      <c r="U74" s="7">
        <f t="shared" si="16"/>
        <v>1452.3698628800441</v>
      </c>
      <c r="V74" s="7">
        <f t="shared" si="17"/>
        <v>79.880342458402424</v>
      </c>
      <c r="W74" s="7">
        <f t="shared" si="40"/>
        <v>1151.3324597789597</v>
      </c>
      <c r="X74" s="23"/>
      <c r="Y74" s="26"/>
      <c r="Z74" s="26"/>
      <c r="AA74" s="26"/>
      <c r="AB74" s="21">
        <f t="shared" si="41"/>
        <v>71912.4014466097</v>
      </c>
      <c r="AC74" s="21">
        <f t="shared" si="59"/>
        <v>515.6437780191626</v>
      </c>
      <c r="AD74" s="44">
        <f t="shared" si="60"/>
        <v>179.81092425345008</v>
      </c>
      <c r="AE74" s="31"/>
      <c r="AF74" s="21"/>
      <c r="AG74" s="21"/>
      <c r="AH74" s="21">
        <f t="shared" si="42"/>
        <v>29431.688476311545</v>
      </c>
      <c r="AI74" s="21">
        <f t="shared" si="61"/>
        <v>408.14658508674074</v>
      </c>
      <c r="AJ74" s="44">
        <f t="shared" si="43"/>
        <v>142.32541499338899</v>
      </c>
      <c r="AK74" s="23"/>
      <c r="AL74" s="21">
        <f t="shared" si="44"/>
        <v>90624.970716060125</v>
      </c>
      <c r="AM74" s="21">
        <f t="shared" si="62"/>
        <v>720.37266211188853</v>
      </c>
      <c r="AN74" s="44">
        <f t="shared" si="45"/>
        <v>251.20224407409276</v>
      </c>
      <c r="AO74" s="31"/>
      <c r="AP74" s="21">
        <f t="shared" si="46"/>
        <v>93829.180874679791</v>
      </c>
      <c r="AQ74" s="21">
        <f t="shared" si="63"/>
        <v>723.61228335392616</v>
      </c>
      <c r="AR74" s="21">
        <f t="shared" si="47"/>
        <v>252.33193731309515</v>
      </c>
      <c r="AS74" s="41"/>
      <c r="AT74" s="7">
        <f t="shared" si="48"/>
        <v>674.00118969990297</v>
      </c>
      <c r="AU74" s="7">
        <f t="shared" si="49"/>
        <v>459.4770122108373</v>
      </c>
      <c r="AV74" s="7">
        <f t="shared" si="50"/>
        <v>160.22492612288266</v>
      </c>
      <c r="AW74" s="7">
        <f t="shared" si="51"/>
        <v>85.358550424767969</v>
      </c>
      <c r="AX74" s="7">
        <f t="shared" si="52"/>
        <v>401.03337255134346</v>
      </c>
      <c r="AY74" s="7">
        <f t="shared" si="53"/>
        <v>139.84495585682305</v>
      </c>
      <c r="AZ74" s="7">
        <f t="shared" si="54"/>
        <v>150.65657401110906</v>
      </c>
      <c r="BA74" s="7">
        <f>((12*AM74)-AZ74)/12</f>
        <v>707.81794761096273</v>
      </c>
      <c r="BB74" s="7">
        <f t="shared" si="55"/>
        <v>246.82427053037677</v>
      </c>
      <c r="BC74" s="7">
        <f t="shared" si="56"/>
        <v>945.83811664626501</v>
      </c>
      <c r="BD74" s="7">
        <f>((12*AQ74)-BC74)/12</f>
        <v>644.79244030007078</v>
      </c>
      <c r="BE74" s="7">
        <f t="shared" si="57"/>
        <v>224.84655024322745</v>
      </c>
    </row>
    <row r="75" spans="1:57" s="3" customFormat="1">
      <c r="A75" s="3">
        <f t="shared" si="21"/>
        <v>2073</v>
      </c>
      <c r="B75" s="3">
        <f t="shared" si="1"/>
        <v>85</v>
      </c>
      <c r="C75" s="16">
        <f t="shared" si="35"/>
        <v>17453.941276209021</v>
      </c>
      <c r="D75" s="16">
        <f t="shared" si="58"/>
        <v>1454.4951063507519</v>
      </c>
      <c r="E75" s="21">
        <f t="shared" si="3"/>
        <v>1431.2231846491397</v>
      </c>
      <c r="F75" s="21">
        <f t="shared" si="36"/>
        <v>401.4406493528075</v>
      </c>
      <c r="G75" s="21">
        <f t="shared" si="5"/>
        <v>1775.4149066159816</v>
      </c>
      <c r="J75" s="2"/>
      <c r="K75" s="7"/>
      <c r="L75" s="7"/>
      <c r="M75" s="2"/>
      <c r="N75" s="1"/>
      <c r="O75" s="21">
        <f t="shared" si="37"/>
        <v>15540.526369593041</v>
      </c>
      <c r="P75" s="1">
        <f t="shared" si="38"/>
        <v>9.7831989386481827E-2</v>
      </c>
      <c r="Q75" s="7">
        <f t="shared" si="12"/>
        <v>1520.3606108503673</v>
      </c>
      <c r="R75" s="7">
        <f t="shared" si="13"/>
        <v>136.83245497653306</v>
      </c>
      <c r="S75" s="7">
        <f t="shared" si="14"/>
        <v>15403.693914616508</v>
      </c>
      <c r="T75" s="1">
        <f t="shared" si="39"/>
        <v>9.6490359423583735E-2</v>
      </c>
      <c r="U75" s="7">
        <f t="shared" si="16"/>
        <v>1486.3079622722164</v>
      </c>
      <c r="V75" s="7">
        <f t="shared" si="17"/>
        <v>81.746937924971903</v>
      </c>
      <c r="W75" s="7">
        <f t="shared" si="40"/>
        <v>1159.6991739194461</v>
      </c>
      <c r="X75" s="23"/>
      <c r="Y75" s="26"/>
      <c r="Z75" s="26"/>
      <c r="AA75" s="26"/>
      <c r="AB75" s="21">
        <f t="shared" si="41"/>
        <v>66381.922871483548</v>
      </c>
      <c r="AC75" s="21">
        <f t="shared" si="59"/>
        <v>515.6437780191626</v>
      </c>
      <c r="AD75" s="44">
        <f t="shared" si="60"/>
        <v>176.57432761688798</v>
      </c>
      <c r="AE75" s="31"/>
      <c r="AF75" s="21"/>
      <c r="AG75" s="21"/>
      <c r="AH75" s="21">
        <f t="shared" si="42"/>
        <v>24895.522350278956</v>
      </c>
      <c r="AI75" s="21">
        <f t="shared" si="61"/>
        <v>415.69729691084541</v>
      </c>
      <c r="AJ75" s="44">
        <f t="shared" si="43"/>
        <v>142.34918333769286</v>
      </c>
      <c r="AK75" s="23"/>
      <c r="AL75" s="21">
        <f t="shared" si="44"/>
        <v>84234.962486912191</v>
      </c>
      <c r="AM75" s="21">
        <f t="shared" si="62"/>
        <v>720.37266211188853</v>
      </c>
      <c r="AN75" s="44">
        <f t="shared" si="45"/>
        <v>246.68060368075908</v>
      </c>
      <c r="AO75" s="31"/>
      <c r="AP75" s="21">
        <f t="shared" si="46"/>
        <v>87118.721767301555</v>
      </c>
      <c r="AQ75" s="21">
        <f t="shared" si="63"/>
        <v>723.61228335392616</v>
      </c>
      <c r="AR75" s="21">
        <f t="shared" si="47"/>
        <v>247.78996244145944</v>
      </c>
      <c r="AS75" s="41"/>
      <c r="AT75" s="7">
        <f t="shared" si="48"/>
        <v>683.62893875479369</v>
      </c>
      <c r="AU75" s="7">
        <f t="shared" si="49"/>
        <v>458.67469978959639</v>
      </c>
      <c r="AV75" s="7">
        <f t="shared" si="50"/>
        <v>157.06613783133079</v>
      </c>
      <c r="AW75" s="7">
        <f t="shared" si="51"/>
        <v>88.17954224820275</v>
      </c>
      <c r="AX75" s="7">
        <f t="shared" si="52"/>
        <v>408.34900172349518</v>
      </c>
      <c r="AY75" s="7">
        <f t="shared" si="53"/>
        <v>139.83287200582498</v>
      </c>
      <c r="AZ75" s="7">
        <f t="shared" si="54"/>
        <v>152.80862316208217</v>
      </c>
      <c r="BA75" s="7">
        <f>((12*AM75)-AZ75)/12</f>
        <v>707.63861018171508</v>
      </c>
      <c r="BB75" s="7">
        <f t="shared" si="55"/>
        <v>242.32002230024381</v>
      </c>
      <c r="BC75" s="7">
        <f t="shared" si="56"/>
        <v>959.34891183888976</v>
      </c>
      <c r="BD75" s="7">
        <f>((12*AQ75)-BC75)/12</f>
        <v>643.66654070068535</v>
      </c>
      <c r="BE75" s="7">
        <f t="shared" si="57"/>
        <v>220.41376523598444</v>
      </c>
    </row>
    <row r="76" spans="1:57" s="3" customFormat="1">
      <c r="A76" s="3">
        <f t="shared" si="21"/>
        <v>2074</v>
      </c>
      <c r="B76" s="3">
        <f t="shared" si="1"/>
        <v>86</v>
      </c>
      <c r="C76" s="16">
        <f t="shared" si="35"/>
        <v>17611.026747694901</v>
      </c>
      <c r="D76" s="16">
        <f t="shared" si="58"/>
        <v>1467.5855623079085</v>
      </c>
      <c r="E76" s="21">
        <f t="shared" si="3"/>
        <v>1444.1041933109821</v>
      </c>
      <c r="F76" s="21">
        <f t="shared" si="36"/>
        <v>405.05361519698272</v>
      </c>
      <c r="G76" s="21">
        <f t="shared" si="5"/>
        <v>1791.3936407755255</v>
      </c>
      <c r="J76" s="2"/>
      <c r="K76" s="7"/>
      <c r="L76" s="7"/>
      <c r="M76" s="2"/>
      <c r="N76" s="1"/>
      <c r="O76" s="21">
        <f t="shared" si="37"/>
        <v>15681.633106919377</v>
      </c>
      <c r="P76" s="1">
        <f t="shared" si="38"/>
        <v>9.919672733340941E-2</v>
      </c>
      <c r="Q76" s="7">
        <f t="shared" si="12"/>
        <v>1555.5666834496471</v>
      </c>
      <c r="R76" s="7">
        <f t="shared" si="13"/>
        <v>140.00100151046823</v>
      </c>
      <c r="S76" s="7">
        <f t="shared" si="14"/>
        <v>15541.632105408908</v>
      </c>
      <c r="T76" s="1">
        <f t="shared" si="39"/>
        <v>9.7842757251402734E-2</v>
      </c>
      <c r="U76" s="7">
        <f t="shared" si="16"/>
        <v>1520.636137380131</v>
      </c>
      <c r="V76" s="7">
        <f t="shared" si="17"/>
        <v>83.634987555907202</v>
      </c>
      <c r="W76" s="7">
        <f t="shared" si="40"/>
        <v>1168.1330677283688</v>
      </c>
      <c r="X76" s="23"/>
      <c r="Y76" s="26"/>
      <c r="Z76" s="26"/>
      <c r="AA76" s="26"/>
      <c r="AB76" s="21">
        <f t="shared" si="41"/>
        <v>60796.139510606132</v>
      </c>
      <c r="AC76" s="21">
        <f t="shared" si="59"/>
        <v>515.6437780191626</v>
      </c>
      <c r="AD76" s="44">
        <f t="shared" si="60"/>
        <v>173.39598971978398</v>
      </c>
      <c r="AE76" s="31"/>
      <c r="AF76" s="21"/>
      <c r="AG76" s="21"/>
      <c r="AH76" s="21">
        <f t="shared" si="42"/>
        <v>20181.445082202143</v>
      </c>
      <c r="AI76" s="21">
        <f t="shared" si="61"/>
        <v>423.38769690369605</v>
      </c>
      <c r="AJ76" s="44">
        <f t="shared" si="43"/>
        <v>142.37295565131024</v>
      </c>
      <c r="AK76" s="23"/>
      <c r="AL76" s="21">
        <f t="shared" si="44"/>
        <v>77669.229031462688</v>
      </c>
      <c r="AM76" s="21">
        <f t="shared" si="62"/>
        <v>720.37266211188853</v>
      </c>
      <c r="AN76" s="44">
        <f t="shared" si="45"/>
        <v>242.24035281450537</v>
      </c>
      <c r="AO76" s="31"/>
      <c r="AP76" s="21">
        <f t="shared" si="46"/>
        <v>80240.501182238862</v>
      </c>
      <c r="AQ76" s="21">
        <f t="shared" si="63"/>
        <v>723.61228335392616</v>
      </c>
      <c r="AR76" s="21">
        <f t="shared" si="47"/>
        <v>243.32974311751312</v>
      </c>
      <c r="AS76" s="41"/>
      <c r="AT76" s="7">
        <f t="shared" si="48"/>
        <v>693.21060367271116</v>
      </c>
      <c r="AU76" s="7">
        <f t="shared" si="49"/>
        <v>457.87622771310333</v>
      </c>
      <c r="AV76" s="7">
        <f t="shared" si="50"/>
        <v>153.97044443833909</v>
      </c>
      <c r="AW76" s="7">
        <f t="shared" si="51"/>
        <v>91.069642561591181</v>
      </c>
      <c r="AX76" s="7">
        <f t="shared" si="52"/>
        <v>415.79856002356343</v>
      </c>
      <c r="AY76" s="7">
        <f t="shared" si="53"/>
        <v>139.82094987417349</v>
      </c>
      <c r="AZ76" s="7">
        <f t="shared" si="54"/>
        <v>154.9503713250173</v>
      </c>
      <c r="BA76" s="7">
        <f>((12*AM76)-AZ76)/12</f>
        <v>707.46013116813708</v>
      </c>
      <c r="BB76" s="7">
        <f t="shared" si="55"/>
        <v>237.89824460294093</v>
      </c>
      <c r="BC76" s="7">
        <f t="shared" si="56"/>
        <v>972.79503632471403</v>
      </c>
      <c r="BD76" s="7">
        <f>((12*AQ76)-BC76)/12</f>
        <v>642.54603032686668</v>
      </c>
      <c r="BE76" s="7">
        <f t="shared" si="57"/>
        <v>216.06952244637563</v>
      </c>
    </row>
    <row r="77" spans="1:57" s="3" customFormat="1">
      <c r="A77" s="3">
        <f t="shared" si="21"/>
        <v>2075</v>
      </c>
      <c r="B77" s="3">
        <f t="shared" si="1"/>
        <v>87</v>
      </c>
      <c r="C77" s="16">
        <f t="shared" si="35"/>
        <v>17769.525988424153</v>
      </c>
      <c r="D77" s="16">
        <f t="shared" si="58"/>
        <v>1480.7938323686794</v>
      </c>
      <c r="E77" s="21">
        <f t="shared" si="3"/>
        <v>1457.1011310507806</v>
      </c>
      <c r="F77" s="21">
        <f t="shared" si="36"/>
        <v>408.69909773375554</v>
      </c>
      <c r="G77" s="21">
        <f t="shared" si="5"/>
        <v>1807.5161835425049</v>
      </c>
      <c r="J77" s="2"/>
      <c r="K77" s="7"/>
      <c r="L77" s="7"/>
      <c r="M77" s="2"/>
      <c r="N77" s="1"/>
      <c r="O77" s="21">
        <f t="shared" si="37"/>
        <v>15824.009804881649</v>
      </c>
      <c r="P77" s="1">
        <f t="shared" si="38"/>
        <v>0.1005549132659713</v>
      </c>
      <c r="Q77" s="7">
        <f t="shared" si="12"/>
        <v>1591.1819334497536</v>
      </c>
      <c r="R77" s="7">
        <f t="shared" si="13"/>
        <v>143.20637401047782</v>
      </c>
      <c r="S77" s="7">
        <f t="shared" si="14"/>
        <v>15680.80343087117</v>
      </c>
      <c r="T77" s="1">
        <f t="shared" si="39"/>
        <v>9.9188757786400517E-2</v>
      </c>
      <c r="U77" s="7">
        <f t="shared" si="16"/>
        <v>1555.3594134008388</v>
      </c>
      <c r="V77" s="7">
        <f t="shared" si="17"/>
        <v>85.544767737046129</v>
      </c>
      <c r="W77" s="7">
        <f t="shared" si="40"/>
        <v>1176.6346003742713</v>
      </c>
      <c r="X77" s="23"/>
      <c r="Y77" s="26"/>
      <c r="Z77" s="26"/>
      <c r="AA77" s="26"/>
      <c r="AB77" s="21">
        <f t="shared" si="41"/>
        <v>55154.498316119942</v>
      </c>
      <c r="AC77" s="21">
        <f t="shared" si="59"/>
        <v>515.6437780191626</v>
      </c>
      <c r="AD77" s="44">
        <f t="shared" si="60"/>
        <v>170.27486190482787</v>
      </c>
      <c r="AE77" s="31"/>
      <c r="AF77" s="21"/>
      <c r="AG77" s="21"/>
      <c r="AH77" s="21">
        <f t="shared" si="42"/>
        <v>15284.426462682106</v>
      </c>
      <c r="AI77" s="21">
        <f t="shared" si="61"/>
        <v>431.22036929641439</v>
      </c>
      <c r="AJ77" s="44">
        <f t="shared" si="43"/>
        <v>142.39673193490398</v>
      </c>
      <c r="AK77" s="23"/>
      <c r="AL77" s="21">
        <f t="shared" si="44"/>
        <v>70922.937905988321</v>
      </c>
      <c r="AM77" s="21">
        <f t="shared" si="62"/>
        <v>720.37266211188853</v>
      </c>
      <c r="AN77" s="44">
        <f t="shared" si="45"/>
        <v>237.88002646384427</v>
      </c>
      <c r="AO77" s="31"/>
      <c r="AP77" s="21">
        <f t="shared" si="46"/>
        <v>73190.325082549592</v>
      </c>
      <c r="AQ77" s="21">
        <f t="shared" si="63"/>
        <v>723.61228335392616</v>
      </c>
      <c r="AR77" s="21">
        <f t="shared" si="47"/>
        <v>238.94980774139788</v>
      </c>
      <c r="AS77" s="41"/>
      <c r="AT77" s="7">
        <f t="shared" si="48"/>
        <v>702.74694411957876</v>
      </c>
      <c r="AU77" s="7">
        <f t="shared" si="49"/>
        <v>457.08153267586431</v>
      </c>
      <c r="AV77" s="7">
        <f t="shared" si="50"/>
        <v>150.93655382522141</v>
      </c>
      <c r="AW77" s="7">
        <f t="shared" si="51"/>
        <v>94.030432537528981</v>
      </c>
      <c r="AX77" s="7">
        <f t="shared" si="52"/>
        <v>423.38449991828696</v>
      </c>
      <c r="AY77" s="7">
        <f t="shared" si="53"/>
        <v>139.80918674742898</v>
      </c>
      <c r="AZ77" s="7">
        <f t="shared" si="54"/>
        <v>157.08198830475638</v>
      </c>
      <c r="BA77" s="7">
        <f>((12*AM77)-AZ77)/12</f>
        <v>707.28249641982541</v>
      </c>
      <c r="BB77" s="7">
        <f t="shared" si="55"/>
        <v>233.55741800711132</v>
      </c>
      <c r="BC77" s="7">
        <f t="shared" si="56"/>
        <v>986.17755615673252</v>
      </c>
      <c r="BD77" s="7">
        <f>((12*AQ77)-BC77)/12</f>
        <v>641.43082034086513</v>
      </c>
      <c r="BE77" s="7">
        <f t="shared" si="57"/>
        <v>211.81200862076997</v>
      </c>
    </row>
    <row r="78" spans="1:57" s="3" customFormat="1">
      <c r="A78" s="3">
        <f t="shared" si="21"/>
        <v>2076</v>
      </c>
      <c r="B78" s="3">
        <f t="shared" si="1"/>
        <v>88</v>
      </c>
      <c r="C78" s="16">
        <f t="shared" si="35"/>
        <v>17929.451722319969</v>
      </c>
      <c r="D78" s="16">
        <f t="shared" si="58"/>
        <v>1494.1209768599974</v>
      </c>
      <c r="E78" s="21">
        <f t="shared" si="3"/>
        <v>1470.2150412302376</v>
      </c>
      <c r="F78" s="21">
        <f t="shared" si="36"/>
        <v>412.3773896133593</v>
      </c>
      <c r="G78" s="21">
        <f t="shared" si="5"/>
        <v>1823.7838291943874</v>
      </c>
      <c r="J78" s="2"/>
      <c r="K78" s="7"/>
      <c r="L78" s="7"/>
      <c r="M78" s="2"/>
      <c r="N78" s="1"/>
      <c r="O78" s="21">
        <f t="shared" si="37"/>
        <v>15967.667893125581</v>
      </c>
      <c r="P78" s="1">
        <f t="shared" si="38"/>
        <v>0.10190666061106138</v>
      </c>
      <c r="Q78" s="7">
        <f t="shared" si="12"/>
        <v>1627.2117127348902</v>
      </c>
      <c r="R78" s="7">
        <f t="shared" si="13"/>
        <v>146.4490541461401</v>
      </c>
      <c r="S78" s="7">
        <f t="shared" si="14"/>
        <v>15821.218838979441</v>
      </c>
      <c r="T78" s="1">
        <f t="shared" si="39"/>
        <v>0.10052846774333124</v>
      </c>
      <c r="U78" s="7">
        <f t="shared" si="16"/>
        <v>1590.4828877145292</v>
      </c>
      <c r="V78" s="7">
        <f t="shared" si="17"/>
        <v>87.476558824299104</v>
      </c>
      <c r="W78" s="7">
        <f t="shared" si="40"/>
        <v>1185.2042325659504</v>
      </c>
      <c r="X78" s="23"/>
      <c r="Y78" s="26"/>
      <c r="Z78" s="26"/>
      <c r="AA78" s="26"/>
      <c r="AB78" s="21">
        <f t="shared" si="41"/>
        <v>49456.44070968889</v>
      </c>
      <c r="AC78" s="21">
        <f t="shared" si="59"/>
        <v>515.6437780191626</v>
      </c>
      <c r="AD78" s="44">
        <f t="shared" si="60"/>
        <v>167.20991439054094</v>
      </c>
      <c r="AE78" s="31"/>
      <c r="AF78" s="21"/>
      <c r="AG78" s="21"/>
      <c r="AH78" s="21">
        <f t="shared" si="42"/>
        <v>10199.311054660444</v>
      </c>
      <c r="AI78" s="21">
        <f t="shared" si="61"/>
        <v>439.19794612839803</v>
      </c>
      <c r="AJ78" s="44">
        <f t="shared" si="43"/>
        <v>142.4205121891371</v>
      </c>
      <c r="AK78" s="23"/>
      <c r="AL78" s="21">
        <f t="shared" si="44"/>
        <v>63991.123774563413</v>
      </c>
      <c r="AM78" s="21">
        <f t="shared" si="62"/>
        <v>720.37266211188853</v>
      </c>
      <c r="AN78" s="44">
        <f t="shared" si="45"/>
        <v>233.59818598749507</v>
      </c>
      <c r="AO78" s="31"/>
      <c r="AP78" s="21">
        <f t="shared" si="46"/>
        <v>65963.894580368098</v>
      </c>
      <c r="AQ78" s="21">
        <f t="shared" si="63"/>
        <v>723.61228335392616</v>
      </c>
      <c r="AR78" s="21">
        <f t="shared" si="47"/>
        <v>234.64871120205271</v>
      </c>
      <c r="AS78" s="41"/>
      <c r="AT78" s="7">
        <f t="shared" si="48"/>
        <v>712.23871616361509</v>
      </c>
      <c r="AU78" s="7">
        <f t="shared" si="49"/>
        <v>456.29055167219462</v>
      </c>
      <c r="AV78" s="7">
        <f t="shared" si="50"/>
        <v>147.96320121501594</v>
      </c>
      <c r="AW78" s="7">
        <f t="shared" si="51"/>
        <v>97.063529398176684</v>
      </c>
      <c r="AX78" s="7">
        <f t="shared" si="52"/>
        <v>431.10931867854993</v>
      </c>
      <c r="AY78" s="7">
        <f t="shared" si="53"/>
        <v>139.7975799225602</v>
      </c>
      <c r="AZ78" s="7">
        <f t="shared" si="54"/>
        <v>159.20364310196175</v>
      </c>
      <c r="BA78" s="7">
        <f>((12*AM78)-AZ78)/12</f>
        <v>707.1056918533917</v>
      </c>
      <c r="BB78" s="7">
        <f t="shared" si="55"/>
        <v>229.29605134394922</v>
      </c>
      <c r="BC78" s="7">
        <f t="shared" si="56"/>
        <v>999.49753233921388</v>
      </c>
      <c r="BD78" s="7">
        <f>((12*AQ78)-BC78)/12</f>
        <v>640.32082232565836</v>
      </c>
      <c r="BE78" s="7">
        <f t="shared" si="57"/>
        <v>207.63944887467488</v>
      </c>
    </row>
    <row r="79" spans="1:57" s="3" customFormat="1">
      <c r="A79" s="3">
        <f t="shared" si="21"/>
        <v>2077</v>
      </c>
      <c r="B79" s="3">
        <f t="shared" si="1"/>
        <v>89</v>
      </c>
      <c r="C79" s="16">
        <f t="shared" si="35"/>
        <v>18090.816787820848</v>
      </c>
      <c r="D79" s="16">
        <f t="shared" si="58"/>
        <v>1507.5680656517372</v>
      </c>
      <c r="E79" s="21">
        <f t="shared" si="3"/>
        <v>1483.4469766013096</v>
      </c>
      <c r="F79" s="21">
        <f t="shared" si="36"/>
        <v>416.0887861198795</v>
      </c>
      <c r="G79" s="21">
        <f t="shared" si="5"/>
        <v>1840.1978836571366</v>
      </c>
      <c r="J79" s="2"/>
      <c r="K79" s="7"/>
      <c r="L79" s="7"/>
      <c r="M79" s="2"/>
      <c r="N79" s="1"/>
      <c r="O79" s="21">
        <f t="shared" si="37"/>
        <v>16112.618904163712</v>
      </c>
      <c r="P79" s="1">
        <f t="shared" si="38"/>
        <v>0.10325208219929394</v>
      </c>
      <c r="Q79" s="7">
        <f t="shared" si="12"/>
        <v>1663.6614515386091</v>
      </c>
      <c r="R79" s="7">
        <f t="shared" si="13"/>
        <v>149.72953063847481</v>
      </c>
      <c r="S79" s="7">
        <f t="shared" si="14"/>
        <v>15962.889373525237</v>
      </c>
      <c r="T79" s="1">
        <f t="shared" si="39"/>
        <v>0.1018619933372925</v>
      </c>
      <c r="U79" s="7">
        <f t="shared" si="16"/>
        <v>1626.0117310099649</v>
      </c>
      <c r="V79" s="7">
        <f t="shared" si="17"/>
        <v>89.430645205548075</v>
      </c>
      <c r="W79" s="7">
        <f t="shared" si="40"/>
        <v>1193.8424265204726</v>
      </c>
      <c r="X79" s="23"/>
      <c r="Y79" s="26"/>
      <c r="Z79" s="26"/>
      <c r="AA79" s="26"/>
      <c r="AB79" s="21">
        <f t="shared" si="41"/>
        <v>43701.402527193524</v>
      </c>
      <c r="AC79" s="21">
        <f t="shared" si="59"/>
        <v>515.6437780191626</v>
      </c>
      <c r="AD79" s="44">
        <f t="shared" si="60"/>
        <v>164.20013593151123</v>
      </c>
      <c r="AE79" s="31"/>
      <c r="AF79" s="21"/>
      <c r="AG79" s="21"/>
      <c r="AH79" s="21">
        <f t="shared" si="42"/>
        <v>4920.8152815851272</v>
      </c>
      <c r="AI79" s="21">
        <f t="shared" si="61"/>
        <v>447.32310813177338</v>
      </c>
      <c r="AJ79" s="44">
        <f t="shared" si="43"/>
        <v>142.44429641467269</v>
      </c>
      <c r="AK79" s="23"/>
      <c r="AL79" s="21">
        <f t="shared" si="44"/>
        <v>56868.684754524322</v>
      </c>
      <c r="AM79" s="21">
        <f t="shared" si="62"/>
        <v>720.37266211188853</v>
      </c>
      <c r="AN79" s="44">
        <f t="shared" si="45"/>
        <v>229.39341863972018</v>
      </c>
      <c r="AO79" s="31"/>
      <c r="AP79" s="21">
        <f t="shared" si="46"/>
        <v>58556.803315632067</v>
      </c>
      <c r="AQ79" s="21">
        <f t="shared" si="63"/>
        <v>723.61228335392616</v>
      </c>
      <c r="AR79" s="21">
        <f t="shared" si="47"/>
        <v>230.42503440041577</v>
      </c>
      <c r="AS79" s="41"/>
      <c r="AT79" s="7">
        <f t="shared" si="48"/>
        <v>721.68667233299868</v>
      </c>
      <c r="AU79" s="7">
        <f t="shared" si="49"/>
        <v>455.50322199141266</v>
      </c>
      <c r="AV79" s="7">
        <f t="shared" si="50"/>
        <v>145.04914857219856</v>
      </c>
      <c r="AW79" s="7">
        <f t="shared" si="51"/>
        <v>100.17058725476227</v>
      </c>
      <c r="AX79" s="7">
        <f t="shared" si="52"/>
        <v>438.97555919387651</v>
      </c>
      <c r="AY79" s="7">
        <f t="shared" si="53"/>
        <v>139.78612670774243</v>
      </c>
      <c r="AZ79" s="7">
        <f t="shared" si="54"/>
        <v>161.31550392600602</v>
      </c>
      <c r="BA79" s="7">
        <f>((12*AM79)-AZ79)/12</f>
        <v>706.92970345138804</v>
      </c>
      <c r="BB79" s="7">
        <f t="shared" si="55"/>
        <v>225.11268117430305</v>
      </c>
      <c r="BC79" s="7">
        <f t="shared" si="56"/>
        <v>1012.7560209086259</v>
      </c>
      <c r="BD79" s="7">
        <f>((12*AQ79)-BC79)/12</f>
        <v>639.21594827820729</v>
      </c>
      <c r="BE79" s="7">
        <f t="shared" si="57"/>
        <v>203.55010585034333</v>
      </c>
    </row>
    <row r="80" spans="1:57" s="12" customFormat="1">
      <c r="A80" s="12">
        <f t="shared" si="21"/>
        <v>2078</v>
      </c>
      <c r="B80" s="12">
        <f t="shared" si="1"/>
        <v>90</v>
      </c>
      <c r="C80" s="19">
        <f t="shared" si="35"/>
        <v>18253.634138911231</v>
      </c>
      <c r="D80" s="19">
        <f t="shared" si="58"/>
        <v>1521.1361782426027</v>
      </c>
      <c r="E80" s="13">
        <f t="shared" si="3"/>
        <v>1496.7979993907211</v>
      </c>
      <c r="F80" s="13">
        <f t="shared" si="36"/>
        <v>419.83358519495829</v>
      </c>
      <c r="G80" s="13">
        <f t="shared" si="5"/>
        <v>1856.7596646100503</v>
      </c>
      <c r="J80" s="14"/>
      <c r="K80" s="13"/>
      <c r="L80" s="13"/>
      <c r="M80" s="14"/>
      <c r="N80" s="15"/>
      <c r="O80" s="13">
        <f t="shared" si="37"/>
        <v>16258.874474301181</v>
      </c>
      <c r="P80" s="15">
        <f t="shared" si="38"/>
        <v>0.10459129027550768</v>
      </c>
      <c r="Q80" s="13">
        <f t="shared" si="12"/>
        <v>1700.5366596946772</v>
      </c>
      <c r="R80" s="13">
        <f t="shared" si="13"/>
        <v>153.04829937252094</v>
      </c>
      <c r="S80" s="13">
        <f t="shared" si="14"/>
        <v>16105.826174928659</v>
      </c>
      <c r="T80" s="15">
        <f t="shared" si="39"/>
        <v>0.10318944029182583</v>
      </c>
      <c r="U80" s="13">
        <f t="shared" si="16"/>
        <v>1661.9511884283265</v>
      </c>
      <c r="V80" s="13">
        <f t="shared" si="17"/>
        <v>91.407315363557956</v>
      </c>
      <c r="W80" s="13">
        <f t="shared" si="40"/>
        <v>1202.5496459300955</v>
      </c>
      <c r="X80" s="35"/>
      <c r="AB80" s="13">
        <f t="shared" si="41"/>
        <v>37888.81396287321</v>
      </c>
      <c r="AC80" s="13">
        <f t="shared" si="59"/>
        <v>515.6437780191626</v>
      </c>
      <c r="AD80" s="45">
        <f t="shared" si="60"/>
        <v>161.24453348474404</v>
      </c>
      <c r="AE80" s="32"/>
      <c r="AF80" s="13"/>
      <c r="AG80" s="13"/>
      <c r="AH80" s="13">
        <f t="shared" si="42"/>
        <v>-556.47554930243291</v>
      </c>
      <c r="AI80" s="13">
        <f t="shared" si="61"/>
        <v>455.59858563221115</v>
      </c>
      <c r="AJ80" s="45">
        <f t="shared" si="43"/>
        <v>142.46808461217393</v>
      </c>
      <c r="AK80" s="35"/>
      <c r="AL80" s="13">
        <f t="shared" si="44"/>
        <v>49550.378661434152</v>
      </c>
      <c r="AM80" s="13">
        <f t="shared" si="62"/>
        <v>720.37266211188853</v>
      </c>
      <c r="AN80" s="45">
        <f t="shared" si="45"/>
        <v>225.26433710420523</v>
      </c>
      <c r="AO80" s="32"/>
      <c r="AP80" s="13">
        <f t="shared" si="46"/>
        <v>50964.534769277641</v>
      </c>
      <c r="AQ80" s="13">
        <f t="shared" si="63"/>
        <v>723.61228335392616</v>
      </c>
      <c r="AR80" s="13">
        <f t="shared" si="47"/>
        <v>226.2773837812083</v>
      </c>
      <c r="AS80" s="43"/>
      <c r="AT80" s="13">
        <f t="shared" si="48"/>
        <v>731.09156167326057</v>
      </c>
      <c r="AU80" s="13">
        <f t="shared" si="49"/>
        <v>454.71948121305746</v>
      </c>
      <c r="AV80" s="13">
        <f t="shared" si="50"/>
        <v>142.19318401607765</v>
      </c>
      <c r="AW80" s="13">
        <f t="shared" si="51"/>
        <v>103.35329796721916</v>
      </c>
      <c r="AX80" s="13">
        <f t="shared" si="52"/>
        <v>446.9858108016096</v>
      </c>
      <c r="AY80" s="13">
        <f t="shared" si="53"/>
        <v>139.77482442215592</v>
      </c>
      <c r="AZ80" s="13">
        <f t="shared" si="54"/>
        <v>163.41773820780057</v>
      </c>
      <c r="BA80" s="13">
        <f>((12*AM80)-AZ80)/12</f>
        <v>706.75451726123845</v>
      </c>
      <c r="BB80" s="13">
        <f t="shared" si="55"/>
        <v>221.00587126601346</v>
      </c>
      <c r="BC80" s="13">
        <f t="shared" si="56"/>
        <v>1025.9540730141728</v>
      </c>
      <c r="BD80" s="13">
        <f>((12*AQ80)-BC80)/12</f>
        <v>638.11611060274515</v>
      </c>
      <c r="BE80" s="13">
        <f t="shared" si="57"/>
        <v>199.54227889357995</v>
      </c>
    </row>
    <row r="81" spans="1:57" s="3" customFormat="1">
      <c r="A81" s="3">
        <f t="shared" si="21"/>
        <v>2079</v>
      </c>
      <c r="B81" s="3">
        <f t="shared" ref="B81:B93" si="64">A81-$B$8</f>
        <v>91</v>
      </c>
      <c r="C81" s="16">
        <f t="shared" si="35"/>
        <v>18417.916846161432</v>
      </c>
      <c r="D81" s="16">
        <f t="shared" si="58"/>
        <v>1534.826403846786</v>
      </c>
      <c r="E81" s="21">
        <f t="shared" ref="E81:E89" si="65">IF(D81&gt;$AG$1, $AG$1*12*$C$1, C81*$C$1)</f>
        <v>1510.2691813852375</v>
      </c>
      <c r="F81" s="21">
        <f t="shared" si="36"/>
        <v>423.61208746171292</v>
      </c>
      <c r="G81" s="21">
        <f t="shared" ref="G81:G89" si="66">E81*$AA$1+F81*$AA$2</f>
        <v>1873.4705015915408</v>
      </c>
      <c r="J81" s="2"/>
      <c r="K81" s="7"/>
      <c r="L81" s="7"/>
      <c r="M81" s="2"/>
      <c r="N81" s="1"/>
      <c r="O81" s="21">
        <f t="shared" si="37"/>
        <v>16406.446344569889</v>
      </c>
      <c r="P81" s="1">
        <f t="shared" si="38"/>
        <v>0.10592439650919669</v>
      </c>
      <c r="Q81" s="7">
        <f t="shared" ref="Q81:Q89" si="67">O81*P81</f>
        <v>1737.8429279090815</v>
      </c>
      <c r="R81" s="7">
        <f t="shared" ref="R81:R89" si="68">Q81*$B$5</f>
        <v>156.40586351181733</v>
      </c>
      <c r="S81" s="7">
        <f t="shared" ref="S81:S89" si="69">O81-R81</f>
        <v>16250.040481058071</v>
      </c>
      <c r="T81" s="1">
        <f t="shared" si="39"/>
        <v>0.10451091384697955</v>
      </c>
      <c r="U81" s="7">
        <f t="shared" ref="U81:U89" si="70">S81*T81</f>
        <v>1698.3065807257904</v>
      </c>
      <c r="V81" s="7">
        <f t="shared" ref="V81:V89" si="71">U81*$B$6</f>
        <v>93.406861939918471</v>
      </c>
      <c r="W81" s="7">
        <f t="shared" si="40"/>
        <v>1211.3263559280797</v>
      </c>
      <c r="X81" s="23"/>
      <c r="Y81" s="26"/>
      <c r="Z81" s="26"/>
      <c r="AA81" s="26"/>
      <c r="AB81" s="21">
        <f t="shared" si="41"/>
        <v>32018.099512909688</v>
      </c>
      <c r="AC81" s="21">
        <f t="shared" si="59"/>
        <v>515.6437780191626</v>
      </c>
      <c r="AD81" s="44">
        <f t="shared" si="60"/>
        <v>158.34213188201863</v>
      </c>
      <c r="AE81" s="31"/>
      <c r="AF81" s="21"/>
      <c r="AG81" s="21"/>
      <c r="AH81" s="21">
        <f t="shared" si="42"/>
        <v>-6238.110289962955</v>
      </c>
      <c r="AI81" s="21">
        <f t="shared" si="61"/>
        <v>464.02715946640706</v>
      </c>
      <c r="AJ81" s="44">
        <f t="shared" si="43"/>
        <v>142.49187678230419</v>
      </c>
      <c r="AK81" s="23"/>
      <c r="AL81" s="21">
        <f t="shared" si="44"/>
        <v>42030.819150784002</v>
      </c>
      <c r="AM81" s="21">
        <f t="shared" si="62"/>
        <v>720.37266211188853</v>
      </c>
      <c r="AN81" s="44">
        <f t="shared" si="45"/>
        <v>221.20957903632953</v>
      </c>
      <c r="AO81" s="31"/>
      <c r="AP81" s="21">
        <f t="shared" si="46"/>
        <v>43182.45950926435</v>
      </c>
      <c r="AQ81" s="21">
        <f t="shared" si="63"/>
        <v>723.61228335392616</v>
      </c>
      <c r="AR81" s="21">
        <f t="shared" si="47"/>
        <v>222.20439087314656</v>
      </c>
      <c r="AS81" s="41"/>
      <c r="AT81" s="7">
        <f t="shared" si="48"/>
        <v>740.45412980440858</v>
      </c>
      <c r="AU81" s="7">
        <f t="shared" si="49"/>
        <v>453.93926720212852</v>
      </c>
      <c r="AV81" s="7">
        <f t="shared" si="50"/>
        <v>139.39412124754696</v>
      </c>
      <c r="AW81" s="7">
        <f t="shared" si="51"/>
        <v>106.61339202445805</v>
      </c>
      <c r="AX81" s="7">
        <f t="shared" si="52"/>
        <v>455.14271013103553</v>
      </c>
      <c r="AY81" s="7">
        <f t="shared" si="53"/>
        <v>139.76367039578548</v>
      </c>
      <c r="AZ81" s="7">
        <f t="shared" si="54"/>
        <v>165.51051261256447</v>
      </c>
      <c r="BA81" s="7">
        <f>((12*AM81)-AZ81)/12</f>
        <v>706.58011939417486</v>
      </c>
      <c r="BB81" s="7">
        <f t="shared" si="55"/>
        <v>216.97421208128517</v>
      </c>
      <c r="BC81" s="7">
        <f t="shared" si="56"/>
        <v>1039.09273499796</v>
      </c>
      <c r="BD81" s="7">
        <f>((12*AQ81)-BC81)/12</f>
        <v>637.02122210409618</v>
      </c>
      <c r="BE81" s="7">
        <f t="shared" si="57"/>
        <v>195.61430324929279</v>
      </c>
    </row>
    <row r="82" spans="1:57" s="3" customFormat="1">
      <c r="A82" s="3">
        <f t="shared" ref="A82:A93" si="72">A81+1</f>
        <v>2080</v>
      </c>
      <c r="B82" s="3">
        <f t="shared" si="64"/>
        <v>92</v>
      </c>
      <c r="C82" s="16">
        <f t="shared" si="35"/>
        <v>18583.678097776883</v>
      </c>
      <c r="D82" s="16">
        <f t="shared" si="58"/>
        <v>1548.6398414814068</v>
      </c>
      <c r="E82" s="21">
        <f t="shared" si="65"/>
        <v>1523.8616040177044</v>
      </c>
      <c r="F82" s="21">
        <f t="shared" si="36"/>
        <v>427.42459624886828</v>
      </c>
      <c r="G82" s="21">
        <f t="shared" si="66"/>
        <v>1890.3317361058644</v>
      </c>
      <c r="J82" s="2"/>
      <c r="K82" s="7"/>
      <c r="L82" s="7"/>
      <c r="M82" s="2"/>
      <c r="N82" s="1"/>
      <c r="O82" s="21">
        <f t="shared" si="37"/>
        <v>16555.346361671018</v>
      </c>
      <c r="P82" s="1">
        <f t="shared" si="38"/>
        <v>0.10725151200486843</v>
      </c>
      <c r="Q82" s="7">
        <f t="shared" si="67"/>
        <v>1775.5859290535141</v>
      </c>
      <c r="R82" s="7">
        <f t="shared" si="68"/>
        <v>159.80273361481625</v>
      </c>
      <c r="S82" s="7">
        <f t="shared" si="69"/>
        <v>16395.543628056203</v>
      </c>
      <c r="T82" s="1">
        <f t="shared" si="39"/>
        <v>0.10582651876733394</v>
      </c>
      <c r="U82" s="7">
        <f t="shared" si="70"/>
        <v>1735.0833054551322</v>
      </c>
      <c r="V82" s="7">
        <f t="shared" si="71"/>
        <v>95.429581800032267</v>
      </c>
      <c r="W82" s="7">
        <f t="shared" si="40"/>
        <v>1220.173023053361</v>
      </c>
      <c r="X82" s="23"/>
      <c r="Y82" s="26"/>
      <c r="Z82" s="26"/>
      <c r="AA82" s="26"/>
      <c r="AB82" s="21">
        <f>(AB81-12*AC82)*(1+$AB$14-$AA$14)</f>
        <v>26088.677918446538</v>
      </c>
      <c r="AC82" s="21">
        <f t="shared" si="59"/>
        <v>515.6437780191626</v>
      </c>
      <c r="AD82" s="44">
        <f t="shared" si="60"/>
        <v>155.49197350814231</v>
      </c>
      <c r="AE82" s="31"/>
      <c r="AF82" s="21"/>
      <c r="AG82" s="21"/>
      <c r="AH82" s="21">
        <f t="shared" si="42"/>
        <v>-12129.775062271168</v>
      </c>
      <c r="AI82" s="21">
        <f t="shared" si="61"/>
        <v>472.61166191653558</v>
      </c>
      <c r="AJ82" s="44">
        <f t="shared" si="43"/>
        <v>142.51567292572682</v>
      </c>
      <c r="AK82" s="23"/>
      <c r="AL82" s="21">
        <f t="shared" si="44"/>
        <v>34304.47175359098</v>
      </c>
      <c r="AM82" s="21">
        <f t="shared" si="62"/>
        <v>720.37266211188853</v>
      </c>
      <c r="AN82" s="44">
        <f t="shared" si="45"/>
        <v>217.2278066136756</v>
      </c>
      <c r="AO82" s="21"/>
      <c r="AP82" s="21">
        <f>(AP81-12*(AQ82*(1+$AQ$14)))*(1+$AR$14)</f>
        <v>35205.832367750736</v>
      </c>
      <c r="AQ82" s="21">
        <f t="shared" si="63"/>
        <v>723.61228335392616</v>
      </c>
      <c r="AR82" s="21">
        <f t="shared" si="47"/>
        <v>218.2047118374299</v>
      </c>
      <c r="AS82" s="41"/>
      <c r="AT82" s="7">
        <f t="shared" si="48"/>
        <v>749.77511897778538</v>
      </c>
      <c r="AU82" s="7">
        <f t="shared" si="49"/>
        <v>453.1625181043471</v>
      </c>
      <c r="AV82" s="7">
        <f t="shared" si="50"/>
        <v>136.65079898888183</v>
      </c>
      <c r="AW82" s="7">
        <f t="shared" si="51"/>
        <v>109.95263944578136</v>
      </c>
      <c r="AX82" s="7">
        <f t="shared" si="52"/>
        <v>463.44894196272048</v>
      </c>
      <c r="AY82" s="7">
        <f t="shared" si="53"/>
        <v>139.7526619692207</v>
      </c>
      <c r="AZ82" s="7">
        <f t="shared" si="54"/>
        <v>167.59399305253345</v>
      </c>
      <c r="BA82" s="7">
        <f>((12*AM82)-AZ82)/12</f>
        <v>706.4064960241775</v>
      </c>
      <c r="BB82" s="7">
        <f t="shared" si="55"/>
        <v>213.01632027389476</v>
      </c>
      <c r="BC82" s="7">
        <f t="shared" si="56"/>
        <v>1052.1730484747836</v>
      </c>
      <c r="BD82" s="7">
        <f>((12*AQ82)-BC82)/12</f>
        <v>635.93119598102749</v>
      </c>
      <c r="BE82" s="7">
        <f t="shared" si="57"/>
        <v>191.76454927534968</v>
      </c>
    </row>
    <row r="83" spans="1:57" s="3" customFormat="1">
      <c r="A83" s="3">
        <f t="shared" si="72"/>
        <v>2081</v>
      </c>
      <c r="B83" s="3">
        <f t="shared" si="64"/>
        <v>93</v>
      </c>
      <c r="C83" s="16">
        <f t="shared" si="35"/>
        <v>18750.931200656873</v>
      </c>
      <c r="D83" s="16">
        <f t="shared" si="58"/>
        <v>1562.5776000547394</v>
      </c>
      <c r="E83" s="21">
        <f t="shared" si="65"/>
        <v>1537.5763584538636</v>
      </c>
      <c r="F83" s="21">
        <f t="shared" si="36"/>
        <v>431.27141761510808</v>
      </c>
      <c r="G83" s="21">
        <f t="shared" si="66"/>
        <v>1907.3447217308169</v>
      </c>
      <c r="J83" s="2"/>
      <c r="K83" s="7"/>
      <c r="L83" s="7"/>
      <c r="M83" s="2"/>
      <c r="N83" s="1"/>
      <c r="O83" s="21">
        <f t="shared" si="37"/>
        <v>16705.586478926056</v>
      </c>
      <c r="P83" s="1">
        <f t="shared" si="38"/>
        <v>0.10857274731233096</v>
      </c>
      <c r="Q83" s="7">
        <f t="shared" si="67"/>
        <v>1813.7714194807313</v>
      </c>
      <c r="R83" s="7">
        <f t="shared" si="68"/>
        <v>163.2394277532658</v>
      </c>
      <c r="S83" s="7">
        <f t="shared" si="69"/>
        <v>16542.34705117279</v>
      </c>
      <c r="T83" s="1">
        <f t="shared" si="39"/>
        <v>0.10713635934998947</v>
      </c>
      <c r="U83" s="7">
        <f t="shared" si="70"/>
        <v>1772.2868381666867</v>
      </c>
      <c r="V83" s="7">
        <f t="shared" si="71"/>
        <v>97.475776099167774</v>
      </c>
      <c r="W83" s="7">
        <f t="shared" si="40"/>
        <v>1229.0901152140648</v>
      </c>
      <c r="X83" s="23"/>
      <c r="Y83" s="26"/>
      <c r="Z83" s="26"/>
      <c r="AA83" s="26"/>
      <c r="AB83" s="21">
        <f t="shared" si="41"/>
        <v>20099.962108038755</v>
      </c>
      <c r="AC83" s="21">
        <f t="shared" si="59"/>
        <v>515.6437780191626</v>
      </c>
      <c r="AD83" s="44">
        <f t="shared" si="60"/>
        <v>152.69311798499572</v>
      </c>
      <c r="AE83" s="31"/>
      <c r="AF83" s="21"/>
      <c r="AG83" s="21"/>
      <c r="AH83" s="21">
        <f t="shared" si="42"/>
        <v>-18237.296437908044</v>
      </c>
      <c r="AI83" s="21">
        <f t="shared" si="61"/>
        <v>481.35497766199148</v>
      </c>
      <c r="AJ83" s="44">
        <f t="shared" si="43"/>
        <v>142.5394730431054</v>
      </c>
      <c r="AK83" s="23"/>
      <c r="AL83" s="21">
        <f t="shared" si="44"/>
        <v>26365.649802975149</v>
      </c>
      <c r="AM83" s="21">
        <f t="shared" si="62"/>
        <v>720.37266211188853</v>
      </c>
      <c r="AN83" s="44">
        <f t="shared" si="45"/>
        <v>213.31770609462941</v>
      </c>
      <c r="AO83" s="21"/>
      <c r="AP83" s="21">
        <f t="shared" si="46"/>
        <v>27029.789547699278</v>
      </c>
      <c r="AQ83" s="21">
        <f t="shared" si="63"/>
        <v>723.61228335392616</v>
      </c>
      <c r="AR83" s="21">
        <f t="shared" si="47"/>
        <v>214.27702702435616</v>
      </c>
      <c r="AS83" s="41"/>
      <c r="AT83" s="7">
        <f t="shared" si="48"/>
        <v>759.05526813266454</v>
      </c>
      <c r="AU83" s="7">
        <f t="shared" si="49"/>
        <v>452.38917234144054</v>
      </c>
      <c r="AV83" s="7">
        <f t="shared" si="50"/>
        <v>133.9620804362718</v>
      </c>
      <c r="AW83" s="7">
        <f t="shared" si="51"/>
        <v>113.37285070396408</v>
      </c>
      <c r="AX83" s="7">
        <f t="shared" si="52"/>
        <v>471.90724010332775</v>
      </c>
      <c r="AY83" s="7">
        <f t="shared" si="53"/>
        <v>139.741796493457</v>
      </c>
      <c r="AZ83" s="7">
        <f t="shared" si="54"/>
        <v>169.66834469961094</v>
      </c>
      <c r="BA83" s="7">
        <f>((12*AM83)-AZ83)/12</f>
        <v>706.23363338692104</v>
      </c>
      <c r="BB83" s="7">
        <f t="shared" si="55"/>
        <v>209.13083819604213</v>
      </c>
      <c r="BC83" s="7">
        <f t="shared" si="56"/>
        <v>1065.1960504115541</v>
      </c>
      <c r="BD83" s="7">
        <f>((12*AQ83)-BC83)/12</f>
        <v>634.84594581962995</v>
      </c>
      <c r="BE83" s="7">
        <f t="shared" si="57"/>
        <v>187.99142167430662</v>
      </c>
    </row>
    <row r="84" spans="1:57" s="3" customFormat="1">
      <c r="A84" s="3">
        <f t="shared" si="72"/>
        <v>2082</v>
      </c>
      <c r="B84" s="3">
        <f t="shared" si="64"/>
        <v>94</v>
      </c>
      <c r="C84" s="16">
        <f t="shared" si="35"/>
        <v>18919.689581462782</v>
      </c>
      <c r="D84" s="16">
        <f t="shared" si="58"/>
        <v>1576.6407984552318</v>
      </c>
      <c r="E84" s="21">
        <f t="shared" si="65"/>
        <v>1551.4145456799483</v>
      </c>
      <c r="F84" s="21">
        <f t="shared" si="36"/>
        <v>435.15286037364399</v>
      </c>
      <c r="G84" s="21">
        <f t="shared" si="66"/>
        <v>1924.5108242263943</v>
      </c>
      <c r="J84" s="2"/>
      <c r="K84" s="7"/>
      <c r="L84" s="7"/>
      <c r="M84" s="2"/>
      <c r="N84" s="1"/>
      <c r="O84" s="21">
        <f t="shared" si="37"/>
        <v>16857.178757236386</v>
      </c>
      <c r="P84" s="1">
        <f t="shared" si="38"/>
        <v>0.10988821243691053</v>
      </c>
      <c r="Q84" s="7">
        <f t="shared" si="67"/>
        <v>1852.4052403621677</v>
      </c>
      <c r="R84" s="7">
        <f t="shared" si="68"/>
        <v>166.71647163259507</v>
      </c>
      <c r="S84" s="7">
        <f t="shared" si="69"/>
        <v>16690.462285603793</v>
      </c>
      <c r="T84" s="1">
        <f t="shared" si="39"/>
        <v>0.10844053943251901</v>
      </c>
      <c r="U84" s="7">
        <f t="shared" si="70"/>
        <v>1809.9227336289896</v>
      </c>
      <c r="V84" s="7">
        <f t="shared" si="71"/>
        <v>99.545750349594428</v>
      </c>
      <c r="W84" s="7">
        <f t="shared" si="40"/>
        <v>1238.0781016498345</v>
      </c>
      <c r="X84" s="23"/>
      <c r="Y84" s="26"/>
      <c r="Z84" s="26"/>
      <c r="AA84" s="26"/>
      <c r="AB84" s="21">
        <f t="shared" si="41"/>
        <v>14051.359139526892</v>
      </c>
      <c r="AC84" s="21">
        <f t="shared" si="59"/>
        <v>515.6437780191626</v>
      </c>
      <c r="AD84" s="44">
        <f t="shared" si="60"/>
        <v>149.94464186126581</v>
      </c>
      <c r="AE84" s="31"/>
      <c r="AF84" s="21"/>
      <c r="AG84" s="21"/>
      <c r="AH84" s="21">
        <f t="shared" si="42"/>
        <v>-24566.644688928423</v>
      </c>
      <c r="AI84" s="21">
        <f t="shared" si="61"/>
        <v>490.26004474873832</v>
      </c>
      <c r="AJ84" s="44">
        <f t="shared" si="43"/>
        <v>142.56327713510359</v>
      </c>
      <c r="AK84" s="23"/>
      <c r="AL84" s="21">
        <f t="shared" si="44"/>
        <v>18208.510248717383</v>
      </c>
      <c r="AM84" s="21">
        <f t="shared" si="62"/>
        <v>720.37266211188853</v>
      </c>
      <c r="AN84" s="44">
        <f t="shared" si="45"/>
        <v>209.47798738492608</v>
      </c>
      <c r="AO84" s="21"/>
      <c r="AP84" s="21">
        <f t="shared" si="46"/>
        <v>18649.345657146532</v>
      </c>
      <c r="AQ84" s="21">
        <f t="shared" si="63"/>
        <v>723.61228335392616</v>
      </c>
      <c r="AR84" s="21">
        <f t="shared" si="47"/>
        <v>210.42004053791771</v>
      </c>
      <c r="AS84" s="41"/>
      <c r="AT84" s="7">
        <f t="shared" si="48"/>
        <v>768.29531295259187</v>
      </c>
      <c r="AU84" s="7">
        <f t="shared" si="49"/>
        <v>451.61916860644652</v>
      </c>
      <c r="AV84" s="7">
        <f t="shared" si="50"/>
        <v>131.32685272478878</v>
      </c>
      <c r="AW84" s="7">
        <f t="shared" si="51"/>
        <v>116.87587767053738</v>
      </c>
      <c r="AX84" s="7">
        <f t="shared" si="52"/>
        <v>480.5203882761935</v>
      </c>
      <c r="AY84" s="7">
        <f t="shared" si="53"/>
        <v>139.73107132969733</v>
      </c>
      <c r="AZ84" s="7">
        <f t="shared" si="54"/>
        <v>171.73373199796151</v>
      </c>
      <c r="BA84" s="7">
        <f>((12*AM84)-AZ84)/12</f>
        <v>706.06151777872503</v>
      </c>
      <c r="BB84" s="7">
        <f t="shared" si="55"/>
        <v>205.31643341465528</v>
      </c>
      <c r="BC84" s="7">
        <f t="shared" si="56"/>
        <v>1078.1627732063585</v>
      </c>
      <c r="BD84" s="7">
        <f>((12*AQ84)-BC84)/12</f>
        <v>633.76538558672962</v>
      </c>
      <c r="BE84" s="7">
        <f t="shared" si="57"/>
        <v>184.29335874258848</v>
      </c>
    </row>
    <row r="85" spans="1:57" s="3" customFormat="1">
      <c r="A85" s="3">
        <f t="shared" si="72"/>
        <v>2083</v>
      </c>
      <c r="B85" s="3">
        <f t="shared" si="64"/>
        <v>95</v>
      </c>
      <c r="C85" s="16">
        <f t="shared" si="35"/>
        <v>19089.966787695947</v>
      </c>
      <c r="D85" s="16">
        <f t="shared" si="58"/>
        <v>1590.8305656413288</v>
      </c>
      <c r="E85" s="21">
        <f t="shared" si="65"/>
        <v>1565.3772765910676</v>
      </c>
      <c r="F85" s="21">
        <f t="shared" si="36"/>
        <v>439.06923611700677</v>
      </c>
      <c r="G85" s="21">
        <f t="shared" si="66"/>
        <v>1941.8314216444317</v>
      </c>
      <c r="J85" s="2"/>
      <c r="K85" s="7"/>
      <c r="L85" s="7"/>
      <c r="M85" s="2"/>
      <c r="N85" s="1"/>
      <c r="O85" s="21">
        <f t="shared" si="37"/>
        <v>17010.135366051516</v>
      </c>
      <c r="P85" s="1">
        <f t="shared" si="38"/>
        <v>0.11119801684960059</v>
      </c>
      <c r="Q85" s="7">
        <f t="shared" si="67"/>
        <v>1891.4933190481834</v>
      </c>
      <c r="R85" s="7">
        <f t="shared" si="68"/>
        <v>170.23439871433649</v>
      </c>
      <c r="S85" s="7">
        <f t="shared" si="69"/>
        <v>16839.90096733718</v>
      </c>
      <c r="T85" s="1">
        <f t="shared" si="39"/>
        <v>0.10973916240088362</v>
      </c>
      <c r="U85" s="7">
        <f t="shared" si="70"/>
        <v>1847.9966270694119</v>
      </c>
      <c r="V85" s="7">
        <f t="shared" si="71"/>
        <v>101.63981448881766</v>
      </c>
      <c r="W85" s="7">
        <f t="shared" si="40"/>
        <v>1247.1374528929421</v>
      </c>
      <c r="X85" s="23"/>
      <c r="Y85" s="26"/>
      <c r="Z85" s="26"/>
      <c r="AA85" s="26"/>
      <c r="AB85" s="21">
        <f t="shared" si="41"/>
        <v>7942.270141329911</v>
      </c>
      <c r="AC85" s="21">
        <f t="shared" si="59"/>
        <v>515.6437780191626</v>
      </c>
      <c r="AD85" s="44">
        <f t="shared" si="60"/>
        <v>147.24563830776302</v>
      </c>
      <c r="AE85" s="31"/>
      <c r="AF85" s="21"/>
      <c r="AG85" s="21"/>
      <c r="AH85" s="21">
        <f t="shared" si="42"/>
        <v>-31123.937110530678</v>
      </c>
      <c r="AI85" s="21">
        <f t="shared" si="61"/>
        <v>499.32985557658998</v>
      </c>
      <c r="AJ85" s="44">
        <f t="shared" si="43"/>
        <v>142.58708520238517</v>
      </c>
      <c r="AK85" s="23"/>
      <c r="AL85" s="21">
        <f t="shared" si="44"/>
        <v>9827.0493567175254</v>
      </c>
      <c r="AM85" s="21">
        <f t="shared" si="62"/>
        <v>720.37266211188853</v>
      </c>
      <c r="AN85" s="44">
        <f t="shared" si="45"/>
        <v>205.70738361199741</v>
      </c>
      <c r="AO85" s="21"/>
      <c r="AP85" s="21">
        <f t="shared" si="46"/>
        <v>10059.390669329969</v>
      </c>
      <c r="AQ85" s="21">
        <f t="shared" si="63"/>
        <v>723.61228335392616</v>
      </c>
      <c r="AR85" s="21">
        <f t="shared" si="47"/>
        <v>206.63247980823525</v>
      </c>
      <c r="AS85" s="41"/>
      <c r="AT85" s="7">
        <f t="shared" si="48"/>
        <v>777.49598592146788</v>
      </c>
      <c r="AU85" s="7">
        <f t="shared" si="49"/>
        <v>450.85244585904024</v>
      </c>
      <c r="AV85" s="7">
        <f t="shared" si="50"/>
        <v>128.74402640549943</v>
      </c>
      <c r="AW85" s="7">
        <f t="shared" si="51"/>
        <v>120.46361458382381</v>
      </c>
      <c r="AX85" s="7">
        <f t="shared" si="52"/>
        <v>489.29122102793798</v>
      </c>
      <c r="AY85" s="7">
        <f t="shared" si="53"/>
        <v>139.72048384915465</v>
      </c>
      <c r="AZ85" s="7">
        <f t="shared" si="54"/>
        <v>173.79031867654683</v>
      </c>
      <c r="BA85" s="7">
        <f>((12*AM85)-AZ85)/12</f>
        <v>705.89013555550957</v>
      </c>
      <c r="BB85" s="7">
        <f t="shared" si="55"/>
        <v>201.57179823696379</v>
      </c>
      <c r="BC85" s="7">
        <f t="shared" si="56"/>
        <v>1091.0742447671648</v>
      </c>
      <c r="BD85" s="7">
        <f>((12*AQ85)-BC85)/12</f>
        <v>632.68942962332915</v>
      </c>
      <c r="BE85" s="7">
        <f t="shared" si="57"/>
        <v>180.66883163671091</v>
      </c>
    </row>
    <row r="86" spans="1:57" s="3" customFormat="1">
      <c r="A86" s="3">
        <f t="shared" si="72"/>
        <v>2084</v>
      </c>
      <c r="B86" s="3">
        <f t="shared" si="64"/>
        <v>96</v>
      </c>
      <c r="C86" s="16">
        <f t="shared" si="35"/>
        <v>19261.776488785206</v>
      </c>
      <c r="D86" s="16">
        <f t="shared" si="58"/>
        <v>1605.1480407321005</v>
      </c>
      <c r="E86" s="21">
        <f t="shared" si="65"/>
        <v>1579.4656720803871</v>
      </c>
      <c r="F86" s="21">
        <f t="shared" si="36"/>
        <v>443.02085924205971</v>
      </c>
      <c r="G86" s="21">
        <f t="shared" si="66"/>
        <v>1959.3079044392314</v>
      </c>
      <c r="J86" s="2"/>
      <c r="K86" s="7"/>
      <c r="L86" s="7"/>
      <c r="M86" s="2"/>
      <c r="N86" s="1"/>
      <c r="O86" s="21">
        <f t="shared" si="37"/>
        <v>17164.468584345974</v>
      </c>
      <c r="P86" s="1">
        <f t="shared" si="38"/>
        <v>0.11250226949714345</v>
      </c>
      <c r="Q86" s="7">
        <f t="shared" si="67"/>
        <v>1931.0416704513432</v>
      </c>
      <c r="R86" s="7">
        <f t="shared" si="68"/>
        <v>173.79375034062087</v>
      </c>
      <c r="S86" s="7">
        <f t="shared" si="69"/>
        <v>16990.674834005353</v>
      </c>
      <c r="T86" s="1">
        <f t="shared" si="39"/>
        <v>0.11103233119731321</v>
      </c>
      <c r="U86" s="7">
        <f t="shared" si="70"/>
        <v>1886.5142354351369</v>
      </c>
      <c r="V86" s="7">
        <f t="shared" si="71"/>
        <v>103.75828294893253</v>
      </c>
      <c r="W86" s="7">
        <f t="shared" si="40"/>
        <v>1256.2686407281724</v>
      </c>
      <c r="X86" s="23"/>
      <c r="Y86" s="26"/>
      <c r="Z86" s="26"/>
      <c r="AA86" s="26"/>
      <c r="AB86" s="21">
        <f t="shared" si="41"/>
        <v>1772.0902531509598</v>
      </c>
      <c r="AC86" s="21">
        <f t="shared" si="59"/>
        <v>515.6437780191626</v>
      </c>
      <c r="AD86" s="44">
        <f t="shared" si="60"/>
        <v>144.59521681822329</v>
      </c>
      <c r="AE86" s="31"/>
      <c r="AF86" s="21"/>
      <c r="AG86" s="21"/>
      <c r="AH86" s="21">
        <f t="shared" si="42"/>
        <v>-37915.441417587434</v>
      </c>
      <c r="AI86" s="21">
        <f t="shared" si="61"/>
        <v>508.56745790475685</v>
      </c>
      <c r="AJ86" s="44">
        <f t="shared" si="43"/>
        <v>142.61089724561393</v>
      </c>
      <c r="AK86" s="23"/>
      <c r="AL86" s="21">
        <f t="shared" si="44"/>
        <v>1215.0982901876719</v>
      </c>
      <c r="AM86" s="21">
        <f t="shared" si="62"/>
        <v>720.37266211188853</v>
      </c>
      <c r="AN86" s="44">
        <f t="shared" si="45"/>
        <v>202.00465070698147</v>
      </c>
      <c r="AO86" s="21"/>
      <c r="AP86" s="21">
        <f t="shared" si="46"/>
        <v>1254.686806817992</v>
      </c>
      <c r="AQ86" s="21">
        <f t="shared" si="63"/>
        <v>723.61228335392616</v>
      </c>
      <c r="AR86" s="21">
        <f t="shared" si="47"/>
        <v>202.91309517168699</v>
      </c>
      <c r="AS86" s="41"/>
      <c r="AT86" s="7">
        <f t="shared" si="48"/>
        <v>786.65801637938216</v>
      </c>
      <c r="AU86" s="7">
        <f t="shared" si="49"/>
        <v>450.08894332088067</v>
      </c>
      <c r="AV86" s="7">
        <f t="shared" si="50"/>
        <v>126.21253493443528</v>
      </c>
      <c r="AW86" s="7">
        <f t="shared" si="51"/>
        <v>124.13799904028892</v>
      </c>
      <c r="AX86" s="7">
        <f t="shared" si="52"/>
        <v>498.22262465139943</v>
      </c>
      <c r="AY86" s="7">
        <f t="shared" si="53"/>
        <v>139.71003143285512</v>
      </c>
      <c r="AZ86" s="7">
        <f t="shared" si="54"/>
        <v>175.83826776160615</v>
      </c>
      <c r="BA86" s="7">
        <f>((12*AM86)-AZ86)/12</f>
        <v>705.71947313175463</v>
      </c>
      <c r="BB86" s="7">
        <f t="shared" si="55"/>
        <v>197.8956492451581</v>
      </c>
      <c r="BC86" s="7">
        <f t="shared" si="56"/>
        <v>1103.9314885901731</v>
      </c>
      <c r="BD86" s="7">
        <f>((12*AQ86)-BC86)/12</f>
        <v>631.61799263807836</v>
      </c>
      <c r="BE86" s="7">
        <f t="shared" si="57"/>
        <v>177.11634365614296</v>
      </c>
    </row>
    <row r="87" spans="1:57" s="3" customFormat="1">
      <c r="A87" s="3">
        <f t="shared" si="72"/>
        <v>2085</v>
      </c>
      <c r="B87" s="3">
        <f t="shared" si="64"/>
        <v>97</v>
      </c>
      <c r="C87" s="16">
        <f t="shared" si="35"/>
        <v>19435.13247718427</v>
      </c>
      <c r="D87" s="16">
        <f t="shared" si="58"/>
        <v>1619.5943730986892</v>
      </c>
      <c r="E87" s="21">
        <f t="shared" si="65"/>
        <v>1593.6808631291103</v>
      </c>
      <c r="F87" s="21">
        <f t="shared" si="36"/>
        <v>447.00804697523819</v>
      </c>
      <c r="G87" s="21">
        <f t="shared" si="66"/>
        <v>1976.941675579184</v>
      </c>
      <c r="J87" s="2"/>
      <c r="K87" s="7"/>
      <c r="L87" s="7"/>
      <c r="M87" s="2"/>
      <c r="N87" s="1"/>
      <c r="O87" s="21">
        <f t="shared" si="37"/>
        <v>17320.190801605087</v>
      </c>
      <c r="P87" s="1">
        <f t="shared" si="38"/>
        <v>0.11380107881204667</v>
      </c>
      <c r="Q87" s="7">
        <f t="shared" si="67"/>
        <v>1971.0563984531464</v>
      </c>
      <c r="R87" s="7">
        <f t="shared" si="68"/>
        <v>177.39507586078315</v>
      </c>
      <c r="S87" s="7">
        <f t="shared" si="69"/>
        <v>17142.795725744305</v>
      </c>
      <c r="T87" s="1">
        <f t="shared" si="39"/>
        <v>0.11232014832815249</v>
      </c>
      <c r="U87" s="7">
        <f t="shared" si="70"/>
        <v>1925.4813586748187</v>
      </c>
      <c r="V87" s="7">
        <f t="shared" si="71"/>
        <v>105.90147472711503</v>
      </c>
      <c r="W87" s="7">
        <f t="shared" si="40"/>
        <v>1265.4721381514339</v>
      </c>
      <c r="X87" s="23"/>
      <c r="Y87" s="26"/>
      <c r="Z87" s="26"/>
      <c r="AA87" s="26"/>
      <c r="AB87" s="21">
        <f t="shared" si="41"/>
        <v>-4459.7914339097806</v>
      </c>
      <c r="AC87" s="21">
        <f t="shared" si="59"/>
        <v>515.6437780191626</v>
      </c>
      <c r="AD87" s="44">
        <f t="shared" si="60"/>
        <v>141.99250291549527</v>
      </c>
      <c r="AE87" s="31"/>
      <c r="AF87" s="21"/>
      <c r="AG87" s="21"/>
      <c r="AH87" s="21">
        <f t="shared" si="42"/>
        <v>-44947.579216529208</v>
      </c>
      <c r="AI87" s="21">
        <f t="shared" si="61"/>
        <v>517.97595587599483</v>
      </c>
      <c r="AJ87" s="44">
        <f t="shared" si="43"/>
        <v>142.63471326545397</v>
      </c>
      <c r="AK87" s="23"/>
      <c r="AL87" s="21">
        <f t="shared" si="44"/>
        <v>-7633.6814306717524</v>
      </c>
      <c r="AM87" s="21">
        <f t="shared" si="62"/>
        <v>720.37266211188853</v>
      </c>
      <c r="AN87" s="44">
        <f t="shared" si="45"/>
        <v>198.36856699425581</v>
      </c>
      <c r="AO87" s="21"/>
      <c r="AP87" s="21">
        <f t="shared" si="46"/>
        <v>-7770.1346522567837</v>
      </c>
      <c r="AQ87" s="21">
        <f t="shared" si="63"/>
        <v>723.61228335392616</v>
      </c>
      <c r="AR87" s="21">
        <f t="shared" si="47"/>
        <v>199.26065945859665</v>
      </c>
      <c r="AS87" s="41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</row>
    <row r="88" spans="1:57" s="3" customFormat="1">
      <c r="A88" s="3">
        <f t="shared" si="72"/>
        <v>2086</v>
      </c>
      <c r="B88" s="3">
        <f t="shared" si="64"/>
        <v>98</v>
      </c>
      <c r="C88" s="16">
        <f t="shared" si="35"/>
        <v>19610.048669478929</v>
      </c>
      <c r="D88" s="16">
        <f t="shared" si="58"/>
        <v>1634.1707224565773</v>
      </c>
      <c r="E88" s="21">
        <f t="shared" si="65"/>
        <v>1608.0239908972721</v>
      </c>
      <c r="F88" s="21">
        <f t="shared" si="36"/>
        <v>451.03111939801533</v>
      </c>
      <c r="G88" s="21">
        <f t="shared" si="66"/>
        <v>1994.7341506593966</v>
      </c>
      <c r="J88" s="2"/>
      <c r="K88" s="7"/>
      <c r="L88" s="7"/>
      <c r="M88" s="2"/>
      <c r="N88" s="1"/>
      <c r="O88" s="21">
        <f t="shared" si="37"/>
        <v>17477.314518819534</v>
      </c>
      <c r="P88" s="1">
        <f t="shared" si="38"/>
        <v>0.11509455272253404</v>
      </c>
      <c r="Q88" s="7">
        <f t="shared" si="67"/>
        <v>2011.5436973345845</v>
      </c>
      <c r="R88" s="7">
        <f t="shared" si="68"/>
        <v>181.0389327601126</v>
      </c>
      <c r="S88" s="7">
        <f t="shared" si="69"/>
        <v>17296.275586059422</v>
      </c>
      <c r="T88" s="1">
        <f t="shared" si="39"/>
        <v>0.11360271587167189</v>
      </c>
      <c r="U88" s="7">
        <f t="shared" si="70"/>
        <v>1964.9038810412439</v>
      </c>
      <c r="V88" s="7">
        <f t="shared" si="71"/>
        <v>108.06971345726842</v>
      </c>
      <c r="W88" s="7">
        <f t="shared" si="40"/>
        <v>1274.7484193270845</v>
      </c>
      <c r="X88" s="23"/>
      <c r="Y88" s="26"/>
      <c r="Z88" s="26"/>
      <c r="AA88" s="26"/>
      <c r="AB88" s="21">
        <f t="shared" si="41"/>
        <v>-10753.991937841129</v>
      </c>
      <c r="AC88" s="21">
        <f t="shared" si="59"/>
        <v>515.6437780191626</v>
      </c>
      <c r="AD88" s="44">
        <f t="shared" si="60"/>
        <v>139.43663786301636</v>
      </c>
      <c r="AE88" s="31"/>
      <c r="AF88" s="21"/>
      <c r="AG88" s="21"/>
      <c r="AH88" s="21">
        <f t="shared" si="42"/>
        <v>-52226.929554206661</v>
      </c>
      <c r="AI88" s="21">
        <f t="shared" si="61"/>
        <v>527.55851105970066</v>
      </c>
      <c r="AJ88" s="44">
        <f t="shared" si="43"/>
        <v>142.65853326256925</v>
      </c>
      <c r="AK88" s="23"/>
      <c r="AL88" s="21">
        <f t="shared" si="44"/>
        <v>-16725.802593854813</v>
      </c>
      <c r="AM88" s="21">
        <f t="shared" si="62"/>
        <v>720.37266211188853</v>
      </c>
      <c r="AN88" s="44">
        <f t="shared" si="45"/>
        <v>194.79793278835919</v>
      </c>
      <c r="AO88" s="21"/>
      <c r="AP88" s="21">
        <f t="shared" si="46"/>
        <v>-17020.576647808426</v>
      </c>
      <c r="AQ88" s="21">
        <f t="shared" si="63"/>
        <v>723.61228335392616</v>
      </c>
      <c r="AR88" s="21">
        <f t="shared" si="47"/>
        <v>195.67396758834187</v>
      </c>
      <c r="AS88" s="41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</row>
    <row r="89" spans="1:57" s="12" customFormat="1">
      <c r="A89" s="12">
        <f t="shared" si="72"/>
        <v>2087</v>
      </c>
      <c r="B89" s="12">
        <f t="shared" si="64"/>
        <v>99</v>
      </c>
      <c r="C89" s="19">
        <f t="shared" si="35"/>
        <v>19786.539107504235</v>
      </c>
      <c r="D89" s="19">
        <f t="shared" si="58"/>
        <v>1648.8782589586863</v>
      </c>
      <c r="E89" s="13">
        <f t="shared" si="65"/>
        <v>1622.4962068153473</v>
      </c>
      <c r="F89" s="13">
        <f t="shared" si="36"/>
        <v>455.09039947259743</v>
      </c>
      <c r="G89" s="13">
        <f t="shared" si="66"/>
        <v>2012.6867580153307</v>
      </c>
      <c r="J89" s="14"/>
      <c r="K89" s="13"/>
      <c r="L89" s="13"/>
      <c r="M89" s="14"/>
      <c r="N89" s="15"/>
      <c r="O89" s="13">
        <f t="shared" si="37"/>
        <v>17635.852349488905</v>
      </c>
      <c r="P89" s="15">
        <f t="shared" si="38"/>
        <v>0.11638279866243363</v>
      </c>
      <c r="Q89" s="13">
        <f t="shared" si="67"/>
        <v>2052.5098532309744</v>
      </c>
      <c r="R89" s="13">
        <f t="shared" si="68"/>
        <v>184.72588679078768</v>
      </c>
      <c r="S89" s="13">
        <f t="shared" si="69"/>
        <v>17451.126462698117</v>
      </c>
      <c r="T89" s="15">
        <f t="shared" si="39"/>
        <v>0.11488013548584519</v>
      </c>
      <c r="U89" s="13">
        <f t="shared" si="70"/>
        <v>2004.7877724153782</v>
      </c>
      <c r="V89" s="13">
        <f t="shared" si="71"/>
        <v>110.2633274828458</v>
      </c>
      <c r="W89" s="13">
        <f t="shared" si="40"/>
        <v>1284.0979595439401</v>
      </c>
      <c r="X89" s="35"/>
      <c r="AB89" s="13">
        <f t="shared" si="41"/>
        <v>-17111.134446811793</v>
      </c>
      <c r="AC89" s="13">
        <f t="shared" si="59"/>
        <v>515.6437780191626</v>
      </c>
      <c r="AD89" s="45">
        <f t="shared" si="60"/>
        <v>136.92677838148208</v>
      </c>
      <c r="AE89" s="32"/>
      <c r="AF89" s="13"/>
      <c r="AG89" s="13"/>
      <c r="AH89" s="13">
        <f t="shared" si="42"/>
        <v>-59760.232545391314</v>
      </c>
      <c r="AI89" s="13">
        <f t="shared" si="61"/>
        <v>537.31834351430507</v>
      </c>
      <c r="AJ89" s="45">
        <f t="shared" si="43"/>
        <v>142.6823572376241</v>
      </c>
      <c r="AK89" s="35"/>
      <c r="AL89" s="13">
        <f t="shared" si="44"/>
        <v>-26067.957089025407</v>
      </c>
      <c r="AM89" s="13">
        <f t="shared" si="62"/>
        <v>720.37266211188853</v>
      </c>
      <c r="AN89" s="45">
        <f t="shared" si="45"/>
        <v>191.29156999816874</v>
      </c>
      <c r="AO89" s="13"/>
      <c r="AP89" s="13">
        <f t="shared" si="46"/>
        <v>-26502.27969324886</v>
      </c>
      <c r="AQ89" s="13">
        <f t="shared" si="63"/>
        <v>723.61228335392616</v>
      </c>
      <c r="AR89" s="13">
        <f t="shared" si="47"/>
        <v>192.15183617175174</v>
      </c>
      <c r="AS89" s="4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</row>
    <row r="90" spans="1:57" s="3" customFormat="1">
      <c r="A90" s="3">
        <f t="shared" si="72"/>
        <v>2088</v>
      </c>
      <c r="B90" s="3">
        <f t="shared" si="64"/>
        <v>100</v>
      </c>
      <c r="J90" s="2"/>
      <c r="K90" s="7"/>
      <c r="L90" s="7"/>
      <c r="M90" s="2"/>
      <c r="N90" s="1"/>
      <c r="O90" s="2"/>
      <c r="P90" s="1"/>
      <c r="Q90" s="7"/>
      <c r="R90" s="7"/>
      <c r="S90" s="7"/>
      <c r="T90" s="1"/>
      <c r="U90" s="7"/>
      <c r="V90" s="7"/>
      <c r="W90" s="7"/>
      <c r="X90" s="23"/>
      <c r="Y90" s="26"/>
      <c r="Z90" s="26"/>
      <c r="AA90" s="26"/>
      <c r="AB90" s="21">
        <f t="shared" si="41"/>
        <v>-23531.848380872161</v>
      </c>
      <c r="AC90" s="21">
        <f t="shared" si="59"/>
        <v>515.6437780191626</v>
      </c>
      <c r="AD90" s="44">
        <f t="shared" si="60"/>
        <v>134.46209637061537</v>
      </c>
      <c r="AE90" s="31"/>
      <c r="AF90" s="21"/>
      <c r="AG90" s="21"/>
      <c r="AH90" s="21">
        <f t="shared" si="42"/>
        <v>-67554.39308060988</v>
      </c>
      <c r="AI90" s="21">
        <f t="shared" si="61"/>
        <v>547.25873286931972</v>
      </c>
      <c r="AJ90" s="44">
        <f t="shared" si="43"/>
        <v>142.70618519128277</v>
      </c>
      <c r="AK90" s="23"/>
      <c r="AL90" s="21">
        <f t="shared" si="44"/>
        <v>-35667.020832813192</v>
      </c>
      <c r="AM90" s="21">
        <f t="shared" si="62"/>
        <v>720.37266211188853</v>
      </c>
      <c r="AN90" s="44">
        <f t="shared" si="45"/>
        <v>187.84832173820169</v>
      </c>
      <c r="AO90" s="21"/>
      <c r="AP90" s="21">
        <f t="shared" si="46"/>
        <v>-36221.025314825303</v>
      </c>
      <c r="AQ90" s="21">
        <f t="shared" si="63"/>
        <v>723.61228335392616</v>
      </c>
      <c r="AR90" s="21">
        <f t="shared" si="47"/>
        <v>188.6931031206602</v>
      </c>
      <c r="AS90" s="41"/>
      <c r="AT90" s="7"/>
      <c r="AU90" s="7"/>
      <c r="AV90" s="7"/>
      <c r="AW90" s="7"/>
      <c r="AY90" s="7"/>
    </row>
    <row r="91" spans="1:57" s="3" customFormat="1">
      <c r="A91" s="3">
        <f t="shared" si="72"/>
        <v>2089</v>
      </c>
      <c r="B91" s="3">
        <f t="shared" si="64"/>
        <v>101</v>
      </c>
      <c r="J91" s="2"/>
      <c r="K91" s="7"/>
      <c r="L91" s="7"/>
      <c r="M91" s="2"/>
      <c r="N91" s="1"/>
      <c r="O91" s="2"/>
      <c r="P91" s="1"/>
      <c r="Q91" s="7"/>
      <c r="R91" s="7"/>
      <c r="S91" s="7"/>
      <c r="T91" s="1"/>
      <c r="U91" s="7"/>
      <c r="V91" s="7"/>
      <c r="W91" s="7"/>
      <c r="X91" s="23"/>
      <c r="Y91" s="26"/>
      <c r="Z91" s="26"/>
      <c r="AA91" s="26"/>
      <c r="AB91" s="21">
        <f t="shared" si="41"/>
        <v>-30016.76945427313</v>
      </c>
      <c r="AC91" s="21">
        <f t="shared" si="59"/>
        <v>515.6437780191626</v>
      </c>
      <c r="AD91" s="44">
        <f t="shared" si="60"/>
        <v>132.0417786359443</v>
      </c>
      <c r="AE91" s="31"/>
      <c r="AF91" s="21"/>
      <c r="AG91" s="21"/>
      <c r="AH91" s="21">
        <f t="shared" si="42"/>
        <v>-75616.484616042871</v>
      </c>
      <c r="AI91" s="21">
        <f t="shared" si="61"/>
        <v>557.38301942740213</v>
      </c>
      <c r="AJ91" s="44">
        <f t="shared" si="43"/>
        <v>142.73001712420972</v>
      </c>
      <c r="AK91" s="23"/>
      <c r="AL91" s="21">
        <f t="shared" si="44"/>
        <v>-45530.058829555142</v>
      </c>
      <c r="AM91" s="21">
        <f t="shared" si="62"/>
        <v>720.37266211188853</v>
      </c>
      <c r="AN91" s="44">
        <f t="shared" si="45"/>
        <v>184.46705194691407</v>
      </c>
      <c r="AO91" s="21"/>
      <c r="AP91" s="21">
        <f t="shared" si="46"/>
        <v>-46182.739576941152</v>
      </c>
      <c r="AQ91" s="21">
        <f t="shared" si="63"/>
        <v>723.61228335392616</v>
      </c>
      <c r="AR91" s="21">
        <f t="shared" si="47"/>
        <v>185.29662726448831</v>
      </c>
      <c r="AS91" s="41"/>
    </row>
    <row r="92" spans="1:57" s="3" customFormat="1">
      <c r="A92" s="3">
        <f t="shared" si="72"/>
        <v>2090</v>
      </c>
      <c r="B92" s="3">
        <f t="shared" si="64"/>
        <v>102</v>
      </c>
      <c r="J92" s="2"/>
      <c r="K92" s="7"/>
      <c r="L92" s="7"/>
      <c r="M92" s="2"/>
      <c r="N92" s="1"/>
      <c r="O92" s="2"/>
      <c r="P92" s="1"/>
      <c r="Q92" s="7"/>
      <c r="R92" s="7"/>
      <c r="S92" s="7"/>
      <c r="T92" s="1"/>
      <c r="U92" s="7"/>
      <c r="V92" s="7"/>
      <c r="W92" s="7"/>
      <c r="AC92" s="7"/>
      <c r="AD92" s="7"/>
      <c r="AE92" s="7"/>
      <c r="AF92" s="7"/>
      <c r="AG92" s="7"/>
      <c r="AH92" s="7"/>
      <c r="AI92" s="7"/>
      <c r="AJ92" s="7"/>
      <c r="AL92" s="7"/>
      <c r="AM92" s="7"/>
    </row>
    <row r="93" spans="1:57" s="3" customFormat="1">
      <c r="A93" s="3">
        <f t="shared" si="72"/>
        <v>2091</v>
      </c>
      <c r="B93" s="3">
        <f t="shared" si="64"/>
        <v>103</v>
      </c>
      <c r="J93" s="2"/>
      <c r="K93" s="7"/>
      <c r="L93" s="7"/>
      <c r="M93" s="2"/>
      <c r="N93" s="1"/>
      <c r="O93" s="2"/>
      <c r="P93" s="1"/>
      <c r="Q93" s="7"/>
      <c r="R93" s="7"/>
      <c r="S93" s="7"/>
      <c r="T93" s="1"/>
      <c r="U93" s="7"/>
      <c r="V93" s="7"/>
      <c r="W93" s="7"/>
      <c r="AC93" s="7"/>
      <c r="AD93" s="7"/>
      <c r="AE93" s="7"/>
      <c r="AF93" s="7"/>
      <c r="AG93" s="7"/>
      <c r="AH93" s="7"/>
      <c r="AI93" s="7"/>
      <c r="AJ93" s="7"/>
    </row>
    <row r="94" spans="1:57" s="3" customFormat="1">
      <c r="J94" s="2"/>
      <c r="K94" s="7"/>
      <c r="L94" s="7"/>
      <c r="M94" s="2"/>
      <c r="N94" s="1"/>
      <c r="O94" s="2"/>
      <c r="P94" s="1"/>
      <c r="Q94" s="7"/>
      <c r="R94" s="7"/>
      <c r="S94" s="7"/>
      <c r="T94" s="1"/>
      <c r="U94" s="7"/>
      <c r="V94" s="7"/>
      <c r="W94" s="7"/>
      <c r="AC94" s="7"/>
    </row>
    <row r="95" spans="1:57" s="3" customFormat="1">
      <c r="J95" s="2"/>
      <c r="K95" s="7"/>
      <c r="L95" s="7"/>
      <c r="M95" s="2"/>
      <c r="N95" s="1"/>
      <c r="O95" s="2"/>
      <c r="P95" s="1"/>
      <c r="Q95" s="7"/>
      <c r="R95" s="7"/>
      <c r="S95" s="7"/>
      <c r="T95" s="1"/>
      <c r="U95" s="7"/>
      <c r="V95" s="7"/>
      <c r="W95" s="7"/>
      <c r="AC95" s="7"/>
    </row>
    <row r="96" spans="1:57" s="3" customFormat="1">
      <c r="J96" s="2"/>
      <c r="K96" s="7"/>
      <c r="L96" s="7"/>
      <c r="M96" s="2"/>
      <c r="N96" s="1"/>
      <c r="O96" s="2"/>
      <c r="P96" s="1"/>
      <c r="Q96" s="7"/>
      <c r="R96" s="7"/>
      <c r="S96" s="7"/>
      <c r="T96" s="1"/>
      <c r="U96" s="7"/>
      <c r="V96" s="7"/>
      <c r="W96" s="7"/>
      <c r="AC96" s="7"/>
    </row>
    <row r="97" spans="10:29" s="3" customFormat="1">
      <c r="J97" s="2"/>
      <c r="K97" s="7"/>
      <c r="L97" s="7"/>
      <c r="M97" s="2"/>
      <c r="N97" s="1"/>
      <c r="O97" s="2"/>
      <c r="P97" s="1"/>
      <c r="Q97" s="7"/>
      <c r="R97" s="7"/>
      <c r="S97" s="7"/>
      <c r="T97" s="1"/>
      <c r="U97" s="7"/>
      <c r="V97" s="7"/>
      <c r="W97" s="7"/>
      <c r="AC97" s="7"/>
    </row>
    <row r="98" spans="10:29" s="3" customFormat="1">
      <c r="J98" s="2"/>
      <c r="K98" s="7"/>
      <c r="L98" s="7"/>
      <c r="M98" s="2"/>
      <c r="N98" s="1"/>
      <c r="O98" s="2"/>
      <c r="P98" s="1"/>
      <c r="Q98" s="7"/>
      <c r="R98" s="7"/>
      <c r="S98" s="7"/>
      <c r="T98" s="1"/>
      <c r="U98" s="7"/>
      <c r="V98" s="7"/>
      <c r="W98" s="7"/>
      <c r="AC98" s="7"/>
    </row>
    <row r="99" spans="10:29" s="3" customFormat="1">
      <c r="J99" s="2"/>
      <c r="K99" s="7"/>
      <c r="L99" s="7"/>
      <c r="M99" s="2"/>
      <c r="N99" s="1"/>
      <c r="O99" s="2"/>
      <c r="P99" s="1"/>
      <c r="Q99" s="7"/>
      <c r="R99" s="7"/>
      <c r="S99" s="7"/>
      <c r="T99" s="1"/>
      <c r="U99" s="7"/>
      <c r="V99" s="7"/>
      <c r="W99" s="7"/>
      <c r="AC99" s="7"/>
    </row>
    <row r="100" spans="10:29" s="3" customFormat="1">
      <c r="J100" s="2"/>
      <c r="K100" s="7"/>
      <c r="L100" s="7"/>
      <c r="M100" s="2"/>
      <c r="N100" s="1"/>
      <c r="O100" s="2"/>
      <c r="P100" s="1"/>
      <c r="Q100" s="7"/>
      <c r="R100" s="7"/>
      <c r="S100" s="7"/>
      <c r="T100" s="1"/>
      <c r="U100" s="7"/>
      <c r="V100" s="7"/>
      <c r="W100" s="7"/>
      <c r="AC100" s="7"/>
    </row>
    <row r="101" spans="10:29" s="3" customFormat="1">
      <c r="J101" s="2"/>
      <c r="K101" s="7"/>
      <c r="L101" s="7"/>
      <c r="M101" s="2"/>
      <c r="N101" s="1"/>
      <c r="O101" s="2"/>
      <c r="P101" s="1"/>
      <c r="Q101" s="7"/>
      <c r="R101" s="7"/>
      <c r="S101" s="7"/>
      <c r="T101" s="1"/>
      <c r="U101" s="7"/>
      <c r="V101" s="7"/>
      <c r="W101" s="7"/>
      <c r="AC101" s="7"/>
    </row>
    <row r="102" spans="10:29" s="3" customFormat="1">
      <c r="J102" s="2"/>
      <c r="K102" s="7"/>
      <c r="L102" s="7"/>
      <c r="M102" s="2"/>
      <c r="N102" s="1"/>
      <c r="O102" s="2"/>
      <c r="P102" s="1"/>
      <c r="Q102" s="7"/>
      <c r="R102" s="7"/>
      <c r="S102" s="7"/>
      <c r="T102" s="1"/>
      <c r="U102" s="7"/>
      <c r="V102" s="7"/>
      <c r="W102" s="7"/>
      <c r="AC102" s="7"/>
    </row>
    <row r="103" spans="10:29" s="3" customFormat="1">
      <c r="J103" s="2"/>
      <c r="K103" s="7"/>
      <c r="L103" s="7"/>
      <c r="M103" s="2"/>
      <c r="N103" s="1"/>
      <c r="O103" s="2"/>
      <c r="P103" s="1"/>
      <c r="Q103" s="7"/>
      <c r="R103" s="7"/>
      <c r="S103" s="7"/>
      <c r="T103" s="1"/>
      <c r="U103" s="7"/>
      <c r="V103" s="7"/>
      <c r="W103" s="7"/>
      <c r="AC103" s="7"/>
    </row>
    <row r="104" spans="10:29" s="3" customFormat="1">
      <c r="J104" s="2"/>
      <c r="K104" s="7"/>
      <c r="L104" s="7"/>
      <c r="M104" s="2"/>
      <c r="N104" s="1"/>
      <c r="O104" s="2"/>
      <c r="P104" s="1"/>
      <c r="Q104" s="7"/>
      <c r="R104" s="7"/>
      <c r="S104" s="7"/>
      <c r="T104" s="1"/>
      <c r="U104" s="7"/>
      <c r="V104" s="7"/>
      <c r="W104" s="7"/>
      <c r="AC104" s="7"/>
    </row>
    <row r="105" spans="10:29" s="3" customFormat="1">
      <c r="J105" s="2"/>
      <c r="K105" s="7"/>
      <c r="L105" s="7"/>
      <c r="M105" s="2"/>
      <c r="N105" s="1"/>
      <c r="O105" s="2"/>
      <c r="P105" s="1"/>
      <c r="Q105" s="7"/>
      <c r="R105" s="7"/>
      <c r="S105" s="7"/>
      <c r="T105" s="1"/>
      <c r="U105" s="7"/>
      <c r="V105" s="7"/>
      <c r="W105" s="7"/>
      <c r="AC105" s="7"/>
    </row>
    <row r="106" spans="10:29" s="3" customFormat="1">
      <c r="J106" s="2"/>
      <c r="K106" s="7"/>
      <c r="L106" s="7"/>
      <c r="M106" s="2"/>
      <c r="N106" s="1"/>
      <c r="O106" s="2"/>
      <c r="P106" s="1"/>
      <c r="Q106" s="7"/>
      <c r="R106" s="7"/>
      <c r="S106" s="7"/>
      <c r="T106" s="1"/>
      <c r="U106" s="7"/>
      <c r="V106" s="7"/>
      <c r="W106" s="7"/>
      <c r="AC106" s="7"/>
    </row>
    <row r="107" spans="10:29" s="3" customFormat="1">
      <c r="J107" s="2"/>
      <c r="K107" s="7"/>
      <c r="L107" s="7"/>
      <c r="M107" s="2"/>
      <c r="N107" s="1"/>
      <c r="O107" s="2"/>
      <c r="P107" s="1"/>
      <c r="Q107" s="7"/>
      <c r="R107" s="7"/>
      <c r="S107" s="7"/>
      <c r="T107" s="1"/>
      <c r="U107" s="7"/>
      <c r="V107" s="7"/>
      <c r="W107" s="7"/>
      <c r="AC107" s="7"/>
    </row>
    <row r="108" spans="10:29" s="3" customFormat="1">
      <c r="J108" s="2"/>
      <c r="K108" s="7"/>
      <c r="L108" s="7"/>
      <c r="M108" s="2"/>
      <c r="N108" s="1"/>
      <c r="O108" s="2"/>
      <c r="P108" s="1"/>
      <c r="Q108" s="7"/>
      <c r="R108" s="7"/>
      <c r="S108" s="7"/>
      <c r="T108" s="1"/>
      <c r="U108" s="7"/>
      <c r="V108" s="7"/>
      <c r="W108" s="7"/>
      <c r="AC108" s="7"/>
    </row>
    <row r="109" spans="10:29" s="3" customFormat="1">
      <c r="J109" s="2"/>
      <c r="K109" s="7"/>
      <c r="L109" s="7"/>
      <c r="M109" s="2"/>
      <c r="N109" s="1"/>
      <c r="O109" s="2"/>
      <c r="P109" s="1"/>
      <c r="Q109" s="7"/>
      <c r="R109" s="7"/>
      <c r="S109" s="7"/>
      <c r="T109" s="1"/>
      <c r="U109" s="7"/>
      <c r="V109" s="7"/>
      <c r="W109" s="7"/>
      <c r="AC109" s="7"/>
    </row>
    <row r="110" spans="10:29" s="3" customFormat="1">
      <c r="J110" s="2"/>
      <c r="K110" s="7"/>
      <c r="L110" s="7"/>
      <c r="M110" s="2"/>
      <c r="N110" s="1"/>
      <c r="O110" s="2"/>
      <c r="P110" s="1"/>
      <c r="Q110" s="7"/>
      <c r="R110" s="7"/>
      <c r="S110" s="7"/>
      <c r="T110" s="1"/>
      <c r="U110" s="7"/>
      <c r="V110" s="7"/>
      <c r="W110" s="7"/>
      <c r="AC110" s="7"/>
    </row>
    <row r="111" spans="10:29" s="3" customFormat="1">
      <c r="J111" s="2"/>
      <c r="K111" s="7"/>
      <c r="L111" s="7"/>
      <c r="M111" s="2"/>
      <c r="N111" s="1"/>
      <c r="O111" s="2"/>
      <c r="P111" s="1"/>
      <c r="Q111" s="7"/>
      <c r="R111" s="7"/>
      <c r="S111" s="7"/>
      <c r="T111" s="1"/>
      <c r="U111" s="7"/>
      <c r="V111" s="7"/>
      <c r="W111" s="7"/>
      <c r="AC111" s="7"/>
    </row>
    <row r="112" spans="10:29" s="3" customFormat="1">
      <c r="J112" s="2"/>
      <c r="K112" s="7"/>
      <c r="L112" s="7"/>
      <c r="M112" s="2"/>
      <c r="N112" s="1"/>
      <c r="O112" s="2"/>
      <c r="P112" s="1"/>
      <c r="Q112" s="7"/>
      <c r="R112" s="7"/>
      <c r="S112" s="7"/>
      <c r="T112" s="1"/>
      <c r="U112" s="7"/>
      <c r="V112" s="7"/>
      <c r="W112" s="7"/>
      <c r="AC112" s="7"/>
    </row>
    <row r="113" spans="10:29" s="3" customFormat="1">
      <c r="J113" s="2"/>
      <c r="K113" s="7"/>
      <c r="L113" s="7"/>
      <c r="M113" s="2"/>
      <c r="N113" s="1"/>
      <c r="O113" s="2"/>
      <c r="P113" s="1"/>
      <c r="Q113" s="7"/>
      <c r="R113" s="7"/>
      <c r="S113" s="7"/>
      <c r="T113" s="1"/>
      <c r="U113" s="7"/>
      <c r="V113" s="7"/>
      <c r="W113" s="7"/>
      <c r="AC113" s="7"/>
    </row>
    <row r="114" spans="10:29" s="3" customFormat="1">
      <c r="J114" s="2"/>
      <c r="K114" s="7"/>
      <c r="L114" s="7"/>
      <c r="M114" s="2"/>
      <c r="N114" s="1"/>
      <c r="O114" s="2"/>
      <c r="P114" s="1"/>
      <c r="Q114" s="7"/>
      <c r="R114" s="7"/>
      <c r="S114" s="7"/>
      <c r="T114" s="1"/>
      <c r="U114" s="7"/>
      <c r="V114" s="7"/>
      <c r="W114" s="7"/>
    </row>
    <row r="115" spans="10:29" s="3" customFormat="1">
      <c r="J115" s="2"/>
      <c r="K115" s="7"/>
      <c r="L115" s="7"/>
      <c r="M115" s="2"/>
      <c r="N115" s="1"/>
      <c r="O115" s="2"/>
      <c r="P115" s="1"/>
      <c r="Q115" s="7"/>
      <c r="R115" s="7"/>
      <c r="S115" s="7"/>
      <c r="T115" s="1"/>
      <c r="U115" s="7"/>
      <c r="V115" s="7"/>
      <c r="W115" s="7"/>
    </row>
    <row r="116" spans="10:29" s="3" customFormat="1">
      <c r="J116" s="2"/>
      <c r="K116" s="7"/>
      <c r="L116" s="7"/>
      <c r="M116" s="2"/>
      <c r="N116" s="1"/>
      <c r="O116" s="2"/>
      <c r="P116" s="1"/>
      <c r="Q116" s="7"/>
      <c r="R116" s="7"/>
      <c r="S116" s="7"/>
      <c r="T116" s="1"/>
      <c r="U116" s="7"/>
      <c r="V116" s="7"/>
      <c r="W116" s="7"/>
    </row>
    <row r="117" spans="10:29" s="3" customFormat="1">
      <c r="J117" s="2"/>
      <c r="K117" s="7"/>
      <c r="L117" s="7"/>
      <c r="M117" s="2"/>
      <c r="N117" s="1"/>
      <c r="O117" s="2"/>
      <c r="P117" s="1"/>
      <c r="Q117" s="7"/>
      <c r="R117" s="7"/>
      <c r="S117" s="7"/>
      <c r="T117" s="1"/>
      <c r="U117" s="7"/>
      <c r="V117" s="7"/>
      <c r="W117" s="7"/>
    </row>
    <row r="118" spans="10:29" s="3" customFormat="1">
      <c r="J118" s="2"/>
      <c r="K118" s="7"/>
      <c r="L118" s="7"/>
      <c r="M118" s="2"/>
      <c r="N118" s="1"/>
      <c r="O118" s="2"/>
      <c r="P118" s="1"/>
      <c r="Q118" s="7"/>
      <c r="R118" s="7"/>
      <c r="S118" s="7"/>
      <c r="T118" s="1"/>
      <c r="U118" s="7"/>
      <c r="V118" s="7"/>
      <c r="W118" s="7"/>
    </row>
    <row r="119" spans="10:29" s="3" customFormat="1">
      <c r="J119" s="2"/>
      <c r="K119" s="7"/>
      <c r="L119" s="7"/>
      <c r="M119" s="2"/>
      <c r="N119" s="1"/>
      <c r="O119" s="2"/>
      <c r="P119" s="1"/>
      <c r="Q119" s="7"/>
      <c r="R119" s="7"/>
      <c r="S119" s="7"/>
      <c r="T119" s="1"/>
      <c r="U119" s="7"/>
      <c r="V119" s="7"/>
      <c r="W119" s="7"/>
    </row>
    <row r="120" spans="10:29" s="3" customFormat="1">
      <c r="J120" s="2"/>
      <c r="K120" s="7"/>
      <c r="L120" s="7"/>
      <c r="M120" s="2"/>
      <c r="N120" s="1"/>
      <c r="O120" s="2"/>
      <c r="P120" s="1"/>
      <c r="Q120" s="7"/>
      <c r="R120" s="7"/>
      <c r="S120" s="7"/>
      <c r="T120" s="1"/>
      <c r="U120" s="7"/>
      <c r="V120" s="7"/>
      <c r="W120" s="7"/>
    </row>
    <row r="121" spans="10:29" s="3" customFormat="1">
      <c r="J121" s="2"/>
      <c r="K121" s="7"/>
      <c r="L121" s="7"/>
      <c r="M121" s="2"/>
      <c r="N121" s="1"/>
      <c r="O121" s="2"/>
      <c r="P121" s="1"/>
      <c r="Q121" s="7"/>
      <c r="R121" s="7"/>
      <c r="S121" s="7"/>
      <c r="T121" s="1"/>
      <c r="U121" s="7"/>
      <c r="V121" s="7"/>
      <c r="W121" s="7"/>
    </row>
    <row r="122" spans="10:29" s="3" customFormat="1">
      <c r="J122" s="2"/>
      <c r="K122" s="7"/>
      <c r="L122" s="7"/>
      <c r="M122" s="2"/>
      <c r="N122" s="1"/>
      <c r="O122" s="2"/>
      <c r="P122" s="1"/>
      <c r="Q122" s="7"/>
      <c r="R122" s="7"/>
      <c r="S122" s="7"/>
      <c r="T122" s="1"/>
      <c r="U122" s="7"/>
      <c r="V122" s="7"/>
      <c r="W122" s="7"/>
    </row>
    <row r="123" spans="10:29" s="3" customFormat="1">
      <c r="J123" s="2"/>
      <c r="K123" s="7"/>
      <c r="L123" s="7"/>
      <c r="M123" s="2"/>
      <c r="N123" s="1"/>
      <c r="O123" s="2"/>
      <c r="P123" s="1"/>
      <c r="Q123" s="7"/>
      <c r="R123" s="7"/>
      <c r="S123" s="7"/>
      <c r="T123" s="1"/>
      <c r="U123" s="7"/>
      <c r="V123" s="7"/>
      <c r="W123" s="7"/>
    </row>
    <row r="124" spans="10:29" s="3" customFormat="1">
      <c r="J124" s="2"/>
      <c r="K124" s="7"/>
      <c r="L124" s="7"/>
      <c r="M124" s="2"/>
      <c r="N124" s="1"/>
      <c r="O124" s="2"/>
      <c r="P124" s="1"/>
      <c r="Q124" s="7"/>
      <c r="R124" s="7"/>
      <c r="S124" s="7"/>
      <c r="T124" s="1"/>
      <c r="U124" s="7"/>
      <c r="V124" s="7"/>
      <c r="W124" s="7"/>
    </row>
    <row r="125" spans="10:29" s="3" customFormat="1">
      <c r="J125" s="2"/>
      <c r="K125" s="7"/>
      <c r="L125" s="7"/>
      <c r="M125" s="2"/>
      <c r="N125" s="1"/>
      <c r="O125" s="2"/>
      <c r="P125" s="1"/>
      <c r="Q125" s="7"/>
      <c r="R125" s="7"/>
      <c r="S125" s="7"/>
      <c r="T125" s="1"/>
      <c r="U125" s="7"/>
      <c r="V125" s="7"/>
      <c r="W125" s="7"/>
    </row>
    <row r="126" spans="10:29" s="3" customFormat="1">
      <c r="J126" s="2"/>
      <c r="K126" s="7"/>
      <c r="L126" s="7"/>
      <c r="M126" s="2"/>
      <c r="N126" s="1"/>
      <c r="O126" s="2"/>
      <c r="P126" s="1"/>
      <c r="Q126" s="7"/>
      <c r="R126" s="7"/>
      <c r="S126" s="7"/>
      <c r="T126" s="1"/>
      <c r="U126" s="7"/>
      <c r="V126" s="7"/>
      <c r="W126" s="7"/>
    </row>
    <row r="127" spans="10:29" s="3" customFormat="1">
      <c r="J127" s="2"/>
      <c r="K127" s="7"/>
      <c r="L127" s="7"/>
      <c r="M127" s="2"/>
      <c r="N127" s="1"/>
      <c r="O127" s="2"/>
      <c r="P127" s="1"/>
      <c r="Q127" s="7"/>
      <c r="R127" s="7"/>
      <c r="S127" s="7"/>
      <c r="T127" s="1"/>
      <c r="U127" s="7"/>
      <c r="V127" s="7"/>
      <c r="W127" s="7"/>
    </row>
    <row r="128" spans="10:29" s="3" customFormat="1">
      <c r="J128" s="2"/>
      <c r="K128" s="7"/>
      <c r="L128" s="7"/>
      <c r="M128" s="2"/>
      <c r="N128" s="1"/>
      <c r="O128" s="2"/>
      <c r="P128" s="1"/>
      <c r="Q128" s="7"/>
      <c r="R128" s="7"/>
      <c r="S128" s="7"/>
      <c r="T128" s="1"/>
      <c r="U128" s="7"/>
      <c r="V128" s="7"/>
      <c r="W128" s="7"/>
    </row>
    <row r="129" spans="10:23" s="3" customFormat="1">
      <c r="J129" s="2"/>
      <c r="K129" s="7"/>
      <c r="L129" s="7"/>
      <c r="M129" s="2"/>
      <c r="N129" s="1"/>
      <c r="O129" s="2"/>
      <c r="P129" s="1"/>
      <c r="Q129" s="7"/>
      <c r="R129" s="7"/>
      <c r="S129" s="7"/>
      <c r="T129" s="1"/>
      <c r="U129" s="7"/>
      <c r="V129" s="7"/>
      <c r="W129" s="7"/>
    </row>
    <row r="130" spans="10:23" s="3" customFormat="1">
      <c r="J130" s="2"/>
      <c r="K130" s="7"/>
      <c r="L130" s="7"/>
      <c r="M130" s="2"/>
      <c r="N130" s="1"/>
      <c r="O130" s="2"/>
      <c r="P130" s="1"/>
      <c r="Q130" s="7"/>
      <c r="R130" s="7"/>
      <c r="S130" s="7"/>
      <c r="T130" s="1"/>
      <c r="U130" s="7"/>
      <c r="V130" s="7"/>
      <c r="W130" s="7"/>
    </row>
    <row r="131" spans="10:23" s="3" customFormat="1">
      <c r="J131" s="2"/>
      <c r="K131" s="7"/>
      <c r="L131" s="7"/>
      <c r="M131" s="2"/>
      <c r="N131" s="1"/>
      <c r="O131" s="2"/>
      <c r="P131" s="1"/>
      <c r="Q131" s="7"/>
      <c r="R131" s="7"/>
      <c r="S131" s="7"/>
      <c r="T131" s="1"/>
      <c r="U131" s="7"/>
      <c r="V131" s="7"/>
      <c r="W131" s="7"/>
    </row>
    <row r="132" spans="10:23" s="3" customFormat="1">
      <c r="J132" s="2"/>
      <c r="K132" s="7"/>
      <c r="L132" s="7"/>
      <c r="M132" s="2"/>
      <c r="N132" s="1"/>
      <c r="O132" s="2"/>
      <c r="P132" s="1"/>
      <c r="Q132" s="7"/>
      <c r="R132" s="7"/>
      <c r="S132" s="7"/>
      <c r="T132" s="1"/>
      <c r="U132" s="7"/>
      <c r="V132" s="7"/>
      <c r="W132" s="7"/>
    </row>
    <row r="133" spans="10:23" s="3" customFormat="1">
      <c r="J133" s="2"/>
      <c r="K133" s="7"/>
      <c r="L133" s="7"/>
      <c r="M133" s="2"/>
      <c r="N133" s="1"/>
      <c r="O133" s="2"/>
      <c r="P133" s="1"/>
      <c r="Q133" s="7"/>
      <c r="R133" s="7"/>
      <c r="S133" s="7"/>
      <c r="T133" s="1"/>
      <c r="U133" s="7"/>
      <c r="V133" s="7"/>
      <c r="W133" s="7"/>
    </row>
    <row r="134" spans="10:23" s="3" customFormat="1">
      <c r="J134" s="2"/>
      <c r="K134" s="7"/>
      <c r="L134" s="7"/>
      <c r="M134" s="2"/>
      <c r="N134" s="1"/>
      <c r="O134" s="2"/>
      <c r="P134" s="1"/>
      <c r="Q134" s="7"/>
      <c r="R134" s="7"/>
      <c r="S134" s="7"/>
      <c r="T134" s="1"/>
      <c r="U134" s="7"/>
      <c r="V134" s="7"/>
      <c r="W134" s="7"/>
    </row>
    <row r="135" spans="10:23" s="3" customFormat="1">
      <c r="J135" s="2"/>
      <c r="K135" s="7"/>
      <c r="L135" s="7"/>
      <c r="M135" s="2"/>
      <c r="N135" s="1"/>
      <c r="O135" s="2"/>
      <c r="P135" s="1"/>
      <c r="Q135" s="7"/>
      <c r="R135" s="7"/>
      <c r="S135" s="7"/>
      <c r="T135" s="1"/>
      <c r="U135" s="7"/>
      <c r="V135" s="7"/>
      <c r="W135" s="7"/>
    </row>
    <row r="136" spans="10:23" s="3" customFormat="1">
      <c r="J136" s="2"/>
      <c r="K136" s="7"/>
      <c r="L136" s="7"/>
      <c r="M136" s="2"/>
      <c r="N136" s="1"/>
      <c r="O136" s="2"/>
      <c r="P136" s="1"/>
      <c r="Q136" s="7"/>
      <c r="R136" s="7"/>
      <c r="S136" s="7"/>
      <c r="T136" s="1"/>
      <c r="U136" s="7"/>
      <c r="V136" s="7"/>
      <c r="W136" s="7"/>
    </row>
    <row r="137" spans="10:23" s="3" customFormat="1">
      <c r="J137" s="2"/>
      <c r="K137" s="7"/>
      <c r="L137" s="7"/>
      <c r="M137" s="2"/>
      <c r="N137" s="1"/>
      <c r="O137" s="2"/>
      <c r="P137" s="1"/>
      <c r="Q137" s="7"/>
      <c r="R137" s="7"/>
      <c r="S137" s="7"/>
      <c r="T137" s="1"/>
      <c r="U137" s="7"/>
      <c r="V137" s="7"/>
      <c r="W137" s="7"/>
    </row>
    <row r="138" spans="10:23" s="3" customFormat="1">
      <c r="J138" s="2"/>
      <c r="K138" s="7"/>
      <c r="L138" s="7"/>
      <c r="M138" s="2"/>
      <c r="N138" s="1"/>
      <c r="O138" s="2"/>
      <c r="P138" s="1"/>
      <c r="Q138" s="7"/>
      <c r="R138" s="7"/>
      <c r="S138" s="7"/>
      <c r="T138" s="1"/>
      <c r="U138" s="7"/>
      <c r="V138" s="7"/>
      <c r="W138" s="7"/>
    </row>
    <row r="139" spans="10:23" s="3" customFormat="1">
      <c r="J139" s="2"/>
      <c r="K139" s="7"/>
      <c r="L139" s="7"/>
      <c r="M139" s="2"/>
      <c r="N139" s="1"/>
      <c r="O139" s="2"/>
      <c r="P139" s="1"/>
      <c r="Q139" s="7"/>
      <c r="R139" s="7"/>
      <c r="S139" s="7"/>
      <c r="T139" s="1"/>
      <c r="U139" s="7"/>
      <c r="V139" s="7"/>
      <c r="W139" s="7"/>
    </row>
    <row r="140" spans="10:23" s="3" customFormat="1">
      <c r="J140" s="2"/>
      <c r="K140" s="7"/>
      <c r="L140" s="7"/>
      <c r="M140" s="2"/>
      <c r="N140" s="1"/>
      <c r="O140" s="2"/>
      <c r="P140" s="1"/>
      <c r="Q140" s="7"/>
      <c r="R140" s="7"/>
      <c r="S140" s="7"/>
      <c r="T140" s="1"/>
      <c r="U140" s="7"/>
      <c r="V140" s="7"/>
      <c r="W140" s="7"/>
    </row>
    <row r="141" spans="10:23" s="3" customFormat="1">
      <c r="J141" s="2"/>
      <c r="K141" s="7"/>
      <c r="L141" s="7"/>
      <c r="M141" s="2"/>
      <c r="N141" s="1"/>
      <c r="O141" s="2"/>
      <c r="P141" s="1"/>
      <c r="Q141" s="7"/>
      <c r="R141" s="7"/>
      <c r="S141" s="7"/>
      <c r="T141" s="1"/>
      <c r="U141" s="7"/>
      <c r="V141" s="7"/>
      <c r="W141" s="7"/>
    </row>
    <row r="142" spans="10:23" s="3" customFormat="1">
      <c r="J142" s="2"/>
      <c r="K142" s="7"/>
      <c r="L142" s="7"/>
      <c r="M142" s="2"/>
      <c r="N142" s="1"/>
      <c r="O142" s="2"/>
      <c r="P142" s="1"/>
      <c r="Q142" s="7"/>
      <c r="R142" s="7"/>
      <c r="S142" s="7"/>
      <c r="T142" s="1"/>
      <c r="U142" s="7"/>
      <c r="V142" s="7"/>
      <c r="W142" s="7"/>
    </row>
    <row r="143" spans="10:23" s="3" customFormat="1">
      <c r="J143" s="2"/>
      <c r="K143" s="7"/>
      <c r="L143" s="7"/>
      <c r="M143" s="2"/>
      <c r="N143" s="1"/>
      <c r="O143" s="2"/>
      <c r="P143" s="1"/>
      <c r="Q143" s="7"/>
      <c r="R143" s="7"/>
      <c r="S143" s="7"/>
      <c r="T143" s="1"/>
      <c r="U143" s="7"/>
      <c r="V143" s="7"/>
      <c r="W143" s="7"/>
    </row>
    <row r="144" spans="10:23" s="3" customFormat="1">
      <c r="J144" s="2"/>
      <c r="K144" s="7"/>
      <c r="L144" s="7"/>
      <c r="M144" s="2"/>
      <c r="N144" s="1"/>
      <c r="O144" s="2"/>
      <c r="P144" s="1"/>
      <c r="Q144" s="7"/>
      <c r="R144" s="7"/>
      <c r="S144" s="7"/>
      <c r="T144" s="1"/>
      <c r="U144" s="7"/>
      <c r="V144" s="7"/>
      <c r="W144" s="7"/>
    </row>
    <row r="145" spans="10:23" s="3" customFormat="1">
      <c r="J145" s="2"/>
      <c r="K145" s="7"/>
      <c r="L145" s="7"/>
      <c r="M145" s="2"/>
      <c r="N145" s="1"/>
      <c r="O145" s="2"/>
      <c r="P145" s="1"/>
      <c r="Q145" s="7"/>
      <c r="R145" s="7"/>
      <c r="S145" s="7"/>
      <c r="T145" s="1"/>
      <c r="U145" s="7"/>
      <c r="V145" s="7"/>
      <c r="W145" s="7"/>
    </row>
    <row r="146" spans="10:23" s="3" customFormat="1">
      <c r="J146" s="2"/>
      <c r="K146" s="7"/>
      <c r="L146" s="7"/>
      <c r="M146" s="2"/>
      <c r="N146" s="1"/>
      <c r="O146" s="2"/>
      <c r="P146" s="1"/>
      <c r="Q146" s="7"/>
      <c r="R146" s="7"/>
      <c r="S146" s="7"/>
      <c r="T146" s="1"/>
      <c r="U146" s="7"/>
      <c r="V146" s="7"/>
      <c r="W146" s="7"/>
    </row>
    <row r="147" spans="10:23" s="3" customFormat="1">
      <c r="J147" s="2"/>
      <c r="K147" s="7"/>
      <c r="L147" s="7"/>
      <c r="M147" s="2"/>
      <c r="N147" s="1"/>
      <c r="O147" s="2"/>
      <c r="P147" s="1"/>
      <c r="Q147" s="7"/>
      <c r="R147" s="7"/>
      <c r="S147" s="7"/>
      <c r="T147" s="1"/>
      <c r="U147" s="7"/>
      <c r="V147" s="7"/>
      <c r="W147" s="7"/>
    </row>
    <row r="148" spans="10:23" s="3" customFormat="1">
      <c r="J148" s="2"/>
      <c r="K148" s="7"/>
      <c r="L148" s="7"/>
      <c r="M148" s="2"/>
      <c r="N148" s="1"/>
      <c r="O148" s="2"/>
      <c r="P148" s="1"/>
      <c r="Q148" s="7"/>
      <c r="R148" s="7"/>
      <c r="S148" s="7"/>
      <c r="T148" s="1"/>
      <c r="U148" s="7"/>
      <c r="V148" s="7"/>
      <c r="W148" s="7"/>
    </row>
    <row r="149" spans="10:23" s="3" customFormat="1">
      <c r="J149" s="2"/>
      <c r="K149" s="7"/>
      <c r="L149" s="7"/>
      <c r="M149" s="2"/>
      <c r="N149" s="1"/>
      <c r="O149" s="2"/>
      <c r="P149" s="1"/>
      <c r="Q149" s="7"/>
      <c r="R149" s="7"/>
      <c r="S149" s="7"/>
      <c r="T149" s="1"/>
      <c r="U149" s="7"/>
      <c r="V149" s="7"/>
      <c r="W149" s="7"/>
    </row>
    <row r="150" spans="10:23" s="3" customFormat="1">
      <c r="J150" s="2"/>
      <c r="K150" s="7"/>
      <c r="L150" s="7"/>
      <c r="M150" s="2"/>
      <c r="N150" s="1"/>
      <c r="O150" s="2"/>
      <c r="P150" s="1"/>
      <c r="Q150" s="7"/>
      <c r="R150" s="7"/>
      <c r="S150" s="7"/>
      <c r="T150" s="1"/>
      <c r="U150" s="7"/>
      <c r="V150" s="7"/>
      <c r="W150" s="7"/>
    </row>
    <row r="151" spans="10:23" s="3" customFormat="1">
      <c r="J151" s="2"/>
      <c r="K151" s="7"/>
      <c r="L151" s="7"/>
      <c r="M151" s="2"/>
      <c r="N151" s="1"/>
      <c r="O151" s="2"/>
      <c r="P151" s="1"/>
      <c r="Q151" s="7"/>
      <c r="R151" s="7"/>
      <c r="S151" s="7"/>
      <c r="T151" s="1"/>
      <c r="U151" s="7"/>
      <c r="V151" s="7"/>
      <c r="W151" s="7"/>
    </row>
    <row r="152" spans="10:23" s="3" customFormat="1">
      <c r="J152" s="2"/>
      <c r="K152" s="7"/>
      <c r="L152" s="7"/>
      <c r="M152" s="2"/>
      <c r="N152" s="1"/>
      <c r="O152" s="2"/>
      <c r="P152" s="1"/>
      <c r="Q152" s="7"/>
      <c r="R152" s="7"/>
      <c r="S152" s="7"/>
      <c r="T152" s="1"/>
      <c r="U152" s="7"/>
      <c r="V152" s="7"/>
      <c r="W152" s="7"/>
    </row>
    <row r="153" spans="10:23" s="3" customFormat="1">
      <c r="J153" s="2"/>
      <c r="K153" s="7"/>
      <c r="L153" s="7"/>
      <c r="M153" s="2"/>
      <c r="N153" s="1"/>
      <c r="O153" s="2"/>
      <c r="P153" s="1"/>
      <c r="Q153" s="7"/>
      <c r="R153" s="7"/>
      <c r="S153" s="7"/>
      <c r="T153" s="1"/>
      <c r="U153" s="7"/>
      <c r="V153" s="7"/>
      <c r="W153" s="7"/>
    </row>
    <row r="154" spans="10:23" s="3" customFormat="1">
      <c r="J154" s="2"/>
      <c r="K154" s="7"/>
      <c r="L154" s="7"/>
      <c r="M154" s="2"/>
      <c r="N154" s="1"/>
      <c r="O154" s="2"/>
      <c r="P154" s="1"/>
      <c r="Q154" s="7"/>
      <c r="R154" s="7"/>
      <c r="S154" s="7"/>
      <c r="T154" s="1"/>
      <c r="U154" s="7"/>
      <c r="V154" s="7"/>
      <c r="W154" s="7"/>
    </row>
    <row r="155" spans="10:23" s="3" customFormat="1">
      <c r="J155" s="2"/>
      <c r="K155" s="7"/>
      <c r="L155" s="7"/>
      <c r="M155" s="2"/>
      <c r="N155" s="1"/>
      <c r="O155" s="2"/>
      <c r="P155" s="1"/>
      <c r="Q155" s="7"/>
      <c r="R155" s="7"/>
      <c r="S155" s="7"/>
      <c r="T155" s="1"/>
      <c r="U155" s="7"/>
      <c r="V155" s="7"/>
      <c r="W155" s="7"/>
    </row>
    <row r="156" spans="10:23" s="3" customFormat="1">
      <c r="J156" s="2"/>
      <c r="K156" s="7"/>
      <c r="L156" s="7"/>
      <c r="M156" s="2"/>
      <c r="N156" s="1"/>
      <c r="O156" s="2"/>
      <c r="P156" s="1"/>
      <c r="Q156" s="7"/>
      <c r="R156" s="7"/>
      <c r="S156" s="7"/>
      <c r="T156" s="1"/>
      <c r="U156" s="7"/>
      <c r="V156" s="7"/>
      <c r="W156" s="7"/>
    </row>
    <row r="157" spans="10:23" s="3" customFormat="1">
      <c r="J157" s="2"/>
      <c r="K157" s="7"/>
      <c r="L157" s="7"/>
      <c r="M157" s="2"/>
      <c r="N157" s="1"/>
      <c r="O157" s="2"/>
      <c r="P157" s="1"/>
      <c r="Q157" s="7"/>
      <c r="R157" s="7"/>
      <c r="S157" s="7"/>
      <c r="T157" s="1"/>
      <c r="U157" s="7"/>
      <c r="V157" s="7"/>
      <c r="W157" s="7"/>
    </row>
    <row r="158" spans="10:23" s="3" customFormat="1">
      <c r="J158" s="2"/>
      <c r="K158" s="7"/>
      <c r="L158" s="7"/>
      <c r="M158" s="2"/>
      <c r="N158" s="1"/>
      <c r="O158" s="2"/>
      <c r="P158" s="1"/>
      <c r="Q158" s="7"/>
      <c r="R158" s="7"/>
      <c r="S158" s="7"/>
      <c r="T158" s="1"/>
      <c r="U158" s="7"/>
      <c r="V158" s="7"/>
      <c r="W158" s="7"/>
    </row>
    <row r="159" spans="10:23" s="3" customFormat="1">
      <c r="J159" s="2"/>
      <c r="K159" s="7"/>
      <c r="L159" s="7"/>
      <c r="M159" s="2"/>
      <c r="N159" s="1"/>
      <c r="O159" s="2"/>
      <c r="P159" s="1"/>
      <c r="Q159" s="7"/>
      <c r="R159" s="7"/>
      <c r="S159" s="7"/>
      <c r="T159" s="1"/>
      <c r="U159" s="7"/>
      <c r="V159" s="7"/>
      <c r="W159" s="7"/>
    </row>
    <row r="160" spans="10:23" s="3" customFormat="1">
      <c r="J160" s="2"/>
      <c r="K160" s="7"/>
      <c r="L160" s="7"/>
      <c r="M160" s="2"/>
      <c r="N160" s="1"/>
      <c r="O160" s="2"/>
      <c r="P160" s="1"/>
      <c r="Q160" s="7"/>
      <c r="R160" s="7"/>
      <c r="S160" s="7"/>
      <c r="T160" s="1"/>
      <c r="U160" s="7"/>
      <c r="V160" s="7"/>
      <c r="W160" s="7"/>
    </row>
    <row r="161" spans="10:23" s="3" customFormat="1">
      <c r="J161" s="2"/>
      <c r="K161" s="7"/>
      <c r="L161" s="7"/>
      <c r="M161" s="2"/>
      <c r="N161" s="1"/>
      <c r="O161" s="2"/>
      <c r="P161" s="1"/>
      <c r="Q161" s="7"/>
      <c r="R161" s="7"/>
      <c r="S161" s="7"/>
      <c r="T161" s="1"/>
      <c r="U161" s="7"/>
      <c r="V161" s="7"/>
      <c r="W161" s="7"/>
    </row>
    <row r="162" spans="10:23" s="3" customFormat="1">
      <c r="J162" s="2"/>
      <c r="K162" s="7"/>
      <c r="L162" s="7"/>
      <c r="M162" s="2"/>
      <c r="N162" s="1"/>
      <c r="O162" s="2"/>
      <c r="P162" s="1"/>
      <c r="Q162" s="7"/>
      <c r="R162" s="7"/>
      <c r="S162" s="7"/>
      <c r="T162" s="1"/>
      <c r="U162" s="7"/>
      <c r="V162" s="7"/>
      <c r="W162" s="7"/>
    </row>
    <row r="163" spans="10:23" s="3" customFormat="1">
      <c r="J163" s="2"/>
      <c r="K163" s="7"/>
      <c r="L163" s="7"/>
      <c r="M163" s="2"/>
      <c r="N163" s="1"/>
      <c r="O163" s="2"/>
      <c r="P163" s="1"/>
      <c r="Q163" s="7"/>
      <c r="R163" s="7"/>
      <c r="S163" s="7"/>
      <c r="T163" s="1"/>
      <c r="U163" s="7"/>
      <c r="V163" s="7"/>
      <c r="W163" s="7"/>
    </row>
    <row r="164" spans="10:23" s="3" customFormat="1">
      <c r="J164" s="2"/>
      <c r="K164" s="7"/>
      <c r="L164" s="7"/>
      <c r="M164" s="2"/>
      <c r="N164" s="1"/>
      <c r="O164" s="2"/>
      <c r="P164" s="1"/>
      <c r="Q164" s="7"/>
      <c r="R164" s="7"/>
      <c r="S164" s="7"/>
      <c r="T164" s="1"/>
      <c r="U164" s="7"/>
      <c r="V164" s="7"/>
      <c r="W164" s="7"/>
    </row>
    <row r="165" spans="10:23" s="3" customFormat="1">
      <c r="J165" s="2"/>
      <c r="K165" s="7"/>
      <c r="L165" s="7"/>
      <c r="M165" s="2"/>
      <c r="N165" s="1"/>
      <c r="O165" s="2"/>
      <c r="P165" s="1"/>
      <c r="Q165" s="7"/>
      <c r="R165" s="7"/>
      <c r="S165" s="7"/>
      <c r="T165" s="1"/>
      <c r="U165" s="7"/>
      <c r="V165" s="7"/>
      <c r="W165" s="7"/>
    </row>
    <row r="166" spans="10:23" s="3" customFormat="1">
      <c r="J166" s="2"/>
      <c r="K166" s="7"/>
      <c r="L166" s="7"/>
      <c r="M166" s="2"/>
      <c r="N166" s="1"/>
      <c r="O166" s="2"/>
      <c r="P166" s="1"/>
      <c r="Q166" s="7"/>
      <c r="R166" s="7"/>
      <c r="S166" s="7"/>
      <c r="T166" s="1"/>
      <c r="U166" s="7"/>
      <c r="V166" s="7"/>
      <c r="W166" s="7"/>
    </row>
    <row r="167" spans="10:23" s="3" customFormat="1">
      <c r="J167" s="2"/>
      <c r="K167" s="7"/>
      <c r="L167" s="7"/>
      <c r="M167" s="2"/>
      <c r="N167" s="1"/>
      <c r="O167" s="2"/>
      <c r="P167" s="1"/>
      <c r="Q167" s="7"/>
      <c r="R167" s="7"/>
      <c r="S167" s="7"/>
      <c r="T167" s="1"/>
      <c r="U167" s="7"/>
      <c r="V167" s="7"/>
      <c r="W167" s="7"/>
    </row>
    <row r="168" spans="10:23" s="3" customFormat="1">
      <c r="J168" s="2"/>
      <c r="K168" s="7"/>
      <c r="L168" s="7"/>
      <c r="M168" s="2"/>
      <c r="N168" s="1"/>
      <c r="O168" s="2"/>
      <c r="P168" s="1"/>
      <c r="Q168" s="7"/>
      <c r="R168" s="7"/>
      <c r="S168" s="7"/>
      <c r="T168" s="1"/>
      <c r="U168" s="7"/>
      <c r="V168" s="7"/>
      <c r="W168" s="7"/>
    </row>
    <row r="169" spans="10:23" s="3" customFormat="1">
      <c r="J169" s="2"/>
      <c r="K169" s="7"/>
      <c r="L169" s="7"/>
      <c r="M169" s="2"/>
      <c r="N169" s="1"/>
      <c r="O169" s="2"/>
      <c r="P169" s="1"/>
      <c r="Q169" s="7"/>
      <c r="R169" s="7"/>
      <c r="S169" s="7"/>
      <c r="T169" s="1"/>
      <c r="U169" s="7"/>
      <c r="V169" s="7"/>
      <c r="W169" s="7"/>
    </row>
    <row r="170" spans="10:23" s="3" customFormat="1">
      <c r="J170" s="2"/>
      <c r="K170" s="7"/>
      <c r="L170" s="7"/>
      <c r="M170" s="2"/>
      <c r="N170" s="1"/>
      <c r="O170" s="2"/>
      <c r="P170" s="1"/>
      <c r="Q170" s="7"/>
      <c r="R170" s="7"/>
      <c r="S170" s="7"/>
      <c r="T170" s="1"/>
      <c r="U170" s="7"/>
      <c r="V170" s="7"/>
      <c r="W170" s="7"/>
    </row>
    <row r="171" spans="10:23" s="3" customFormat="1">
      <c r="J171" s="2"/>
      <c r="K171" s="7"/>
      <c r="L171" s="7"/>
      <c r="M171" s="2"/>
      <c r="N171" s="1"/>
      <c r="O171" s="2"/>
      <c r="P171" s="1"/>
      <c r="Q171" s="7"/>
      <c r="R171" s="7"/>
      <c r="S171" s="7"/>
      <c r="T171" s="1"/>
      <c r="U171" s="7"/>
      <c r="V171" s="7"/>
      <c r="W171" s="7"/>
    </row>
    <row r="172" spans="10:23" s="3" customFormat="1">
      <c r="J172" s="2"/>
      <c r="K172" s="7"/>
      <c r="L172" s="7"/>
      <c r="M172" s="2"/>
      <c r="N172" s="1"/>
      <c r="O172" s="2"/>
      <c r="P172" s="1"/>
      <c r="Q172" s="7"/>
      <c r="R172" s="7"/>
      <c r="S172" s="7"/>
      <c r="T172" s="1"/>
      <c r="U172" s="7"/>
      <c r="V172" s="7"/>
      <c r="W172" s="7"/>
    </row>
    <row r="173" spans="10:23" s="3" customFormat="1">
      <c r="J173" s="2"/>
      <c r="K173" s="7"/>
      <c r="L173" s="7"/>
      <c r="M173" s="2"/>
      <c r="N173" s="1"/>
      <c r="O173" s="2"/>
      <c r="P173" s="1"/>
      <c r="Q173" s="7"/>
      <c r="R173" s="7"/>
      <c r="S173" s="7"/>
      <c r="T173" s="1"/>
      <c r="U173" s="7"/>
      <c r="V173" s="7"/>
      <c r="W173" s="7"/>
    </row>
    <row r="174" spans="10:23" s="3" customFormat="1">
      <c r="J174" s="2"/>
      <c r="K174" s="7"/>
      <c r="L174" s="7"/>
      <c r="M174" s="2"/>
      <c r="N174" s="1"/>
      <c r="O174" s="2"/>
      <c r="P174" s="1"/>
      <c r="Q174" s="7"/>
      <c r="R174" s="7"/>
      <c r="S174" s="7"/>
      <c r="T174" s="1"/>
      <c r="U174" s="7"/>
      <c r="V174" s="7"/>
      <c r="W174" s="7"/>
    </row>
    <row r="175" spans="10:23" s="3" customFormat="1">
      <c r="J175" s="2"/>
      <c r="K175" s="7"/>
      <c r="L175" s="7"/>
      <c r="M175" s="2"/>
      <c r="N175" s="1"/>
      <c r="O175" s="2"/>
      <c r="P175" s="1"/>
      <c r="Q175" s="7"/>
      <c r="R175" s="7"/>
      <c r="S175" s="7"/>
      <c r="T175" s="1"/>
      <c r="U175" s="7"/>
      <c r="V175" s="7"/>
      <c r="W175" s="7"/>
    </row>
    <row r="176" spans="10:23" s="3" customFormat="1">
      <c r="J176" s="2"/>
      <c r="K176" s="7"/>
      <c r="L176" s="7"/>
      <c r="M176" s="2"/>
      <c r="N176" s="1"/>
      <c r="O176" s="2"/>
      <c r="P176" s="1"/>
      <c r="Q176" s="7"/>
      <c r="R176" s="7"/>
      <c r="S176" s="7"/>
      <c r="T176" s="1"/>
      <c r="U176" s="7"/>
      <c r="V176" s="7"/>
      <c r="W176" s="7"/>
    </row>
    <row r="177" spans="10:23" s="3" customFormat="1">
      <c r="J177" s="2"/>
      <c r="K177" s="7"/>
      <c r="L177" s="7"/>
      <c r="M177" s="2"/>
      <c r="N177" s="1"/>
      <c r="O177" s="2"/>
      <c r="P177" s="1"/>
      <c r="Q177" s="7"/>
      <c r="R177" s="7"/>
      <c r="S177" s="7"/>
      <c r="T177" s="1"/>
      <c r="U177" s="7"/>
      <c r="V177" s="7"/>
      <c r="W177" s="7"/>
    </row>
    <row r="178" spans="10:23" s="3" customFormat="1">
      <c r="J178" s="2"/>
      <c r="K178" s="7"/>
      <c r="L178" s="7"/>
      <c r="M178" s="2"/>
      <c r="N178" s="1"/>
      <c r="O178" s="2"/>
      <c r="P178" s="1"/>
      <c r="Q178" s="7"/>
      <c r="R178" s="7"/>
      <c r="S178" s="7"/>
      <c r="T178" s="1"/>
      <c r="U178" s="7"/>
      <c r="V178" s="7"/>
      <c r="W178" s="7"/>
    </row>
    <row r="179" spans="10:23" s="3" customFormat="1">
      <c r="J179" s="2"/>
      <c r="K179" s="7"/>
      <c r="L179" s="7"/>
      <c r="M179" s="2"/>
      <c r="N179" s="1"/>
      <c r="O179" s="2"/>
      <c r="P179" s="1"/>
      <c r="Q179" s="7"/>
      <c r="R179" s="7"/>
      <c r="S179" s="7"/>
      <c r="T179" s="1"/>
      <c r="U179" s="7"/>
      <c r="V179" s="7"/>
      <c r="W179" s="7"/>
    </row>
    <row r="180" spans="10:23" s="3" customFormat="1">
      <c r="J180" s="2"/>
      <c r="K180" s="7"/>
      <c r="L180" s="7"/>
      <c r="M180" s="2"/>
      <c r="N180" s="1"/>
      <c r="O180" s="2"/>
      <c r="P180" s="1"/>
      <c r="Q180" s="7"/>
      <c r="R180" s="7"/>
      <c r="S180" s="7"/>
      <c r="T180" s="1"/>
      <c r="U180" s="7"/>
      <c r="V180" s="7"/>
      <c r="W180" s="7"/>
    </row>
    <row r="181" spans="10:23" s="3" customFormat="1">
      <c r="J181" s="2"/>
      <c r="K181" s="7"/>
      <c r="L181" s="7"/>
      <c r="M181" s="2"/>
      <c r="N181" s="1"/>
      <c r="O181" s="2"/>
      <c r="P181" s="1"/>
      <c r="Q181" s="7"/>
      <c r="R181" s="7"/>
      <c r="S181" s="7"/>
      <c r="T181" s="1"/>
      <c r="U181" s="7"/>
      <c r="V181" s="7"/>
      <c r="W181" s="7"/>
    </row>
    <row r="182" spans="10:23" s="3" customFormat="1">
      <c r="J182" s="2"/>
      <c r="K182" s="7"/>
      <c r="L182" s="7"/>
      <c r="M182" s="2"/>
      <c r="N182" s="1"/>
      <c r="O182" s="2"/>
      <c r="P182" s="1"/>
      <c r="Q182" s="7"/>
      <c r="R182" s="7"/>
      <c r="S182" s="7"/>
      <c r="T182" s="1"/>
      <c r="U182" s="7"/>
      <c r="V182" s="7"/>
      <c r="W182" s="7"/>
    </row>
    <row r="183" spans="10:23" s="3" customFormat="1">
      <c r="J183" s="2"/>
      <c r="K183" s="7"/>
      <c r="L183" s="7"/>
      <c r="M183" s="2"/>
      <c r="N183" s="1"/>
      <c r="O183" s="2"/>
      <c r="P183" s="1"/>
      <c r="Q183" s="7"/>
      <c r="R183" s="7"/>
      <c r="S183" s="7"/>
      <c r="T183" s="1"/>
      <c r="U183" s="7"/>
      <c r="V183" s="7"/>
      <c r="W183" s="7"/>
    </row>
    <row r="184" spans="10:23" s="3" customFormat="1">
      <c r="J184" s="2"/>
      <c r="K184" s="7"/>
      <c r="L184" s="7"/>
      <c r="M184" s="2"/>
      <c r="N184" s="1"/>
      <c r="O184" s="2"/>
      <c r="P184" s="1"/>
      <c r="Q184" s="7"/>
      <c r="R184" s="7"/>
      <c r="S184" s="7"/>
      <c r="T184" s="1"/>
      <c r="U184" s="7"/>
      <c r="V184" s="7"/>
      <c r="W184" s="7"/>
    </row>
    <row r="185" spans="10:23" s="3" customFormat="1">
      <c r="J185" s="2"/>
      <c r="K185" s="7"/>
      <c r="L185" s="7"/>
      <c r="M185" s="2"/>
      <c r="N185" s="1"/>
      <c r="O185" s="2"/>
      <c r="P185" s="1"/>
      <c r="Q185" s="7"/>
      <c r="R185" s="7"/>
      <c r="S185" s="7"/>
      <c r="T185" s="1"/>
      <c r="U185" s="7"/>
      <c r="V185" s="7"/>
      <c r="W185" s="7"/>
    </row>
    <row r="186" spans="10:23" s="3" customFormat="1">
      <c r="J186" s="2"/>
      <c r="K186" s="7"/>
      <c r="L186" s="7"/>
      <c r="M186" s="2"/>
      <c r="N186" s="1"/>
      <c r="O186" s="2"/>
      <c r="P186" s="1"/>
      <c r="Q186" s="7"/>
      <c r="R186" s="7"/>
      <c r="S186" s="7"/>
      <c r="T186" s="1"/>
      <c r="U186" s="7"/>
      <c r="V186" s="7"/>
      <c r="W186" s="7"/>
    </row>
    <row r="187" spans="10:23" s="3" customFormat="1">
      <c r="J187" s="2"/>
      <c r="K187" s="7"/>
      <c r="L187" s="7"/>
      <c r="M187" s="2"/>
      <c r="N187" s="1"/>
      <c r="O187" s="2"/>
      <c r="P187" s="1"/>
      <c r="Q187" s="7"/>
      <c r="R187" s="7"/>
      <c r="S187" s="7"/>
      <c r="T187" s="1"/>
      <c r="U187" s="7"/>
      <c r="V187" s="7"/>
      <c r="W187" s="7"/>
    </row>
    <row r="188" spans="10:23" s="3" customFormat="1">
      <c r="J188" s="2"/>
      <c r="K188" s="7"/>
      <c r="L188" s="7"/>
      <c r="M188" s="2"/>
      <c r="N188" s="1"/>
      <c r="O188" s="2"/>
      <c r="P188" s="1"/>
      <c r="Q188" s="7"/>
      <c r="R188" s="7"/>
      <c r="S188" s="7"/>
      <c r="T188" s="1"/>
      <c r="U188" s="7"/>
      <c r="V188" s="7"/>
      <c r="W188" s="7"/>
    </row>
    <row r="189" spans="10:23" s="3" customFormat="1">
      <c r="J189" s="2"/>
      <c r="K189" s="7"/>
      <c r="L189" s="7"/>
      <c r="M189" s="2"/>
      <c r="N189" s="1"/>
      <c r="O189" s="2"/>
      <c r="P189" s="1"/>
      <c r="Q189" s="7"/>
      <c r="R189" s="7"/>
      <c r="S189" s="7"/>
      <c r="T189" s="1"/>
      <c r="U189" s="7"/>
      <c r="V189" s="7"/>
      <c r="W189" s="7"/>
    </row>
    <row r="190" spans="10:23" s="3" customFormat="1">
      <c r="J190" s="2"/>
      <c r="K190" s="7"/>
      <c r="L190" s="7"/>
      <c r="M190" s="2"/>
      <c r="N190" s="1"/>
      <c r="O190" s="2"/>
      <c r="P190" s="1"/>
      <c r="Q190" s="7"/>
      <c r="R190" s="7"/>
      <c r="S190" s="7"/>
      <c r="T190" s="1"/>
      <c r="U190" s="7"/>
      <c r="V190" s="7"/>
      <c r="W190" s="7"/>
    </row>
    <row r="191" spans="10:23" s="3" customFormat="1">
      <c r="J191" s="2"/>
      <c r="K191" s="7"/>
      <c r="L191" s="7"/>
      <c r="M191" s="2"/>
      <c r="N191" s="1"/>
      <c r="O191" s="2"/>
      <c r="P191" s="1"/>
      <c r="Q191" s="7"/>
      <c r="R191" s="7"/>
      <c r="S191" s="7"/>
      <c r="T191" s="1"/>
      <c r="U191" s="7"/>
      <c r="V191" s="7"/>
      <c r="W191" s="7"/>
    </row>
    <row r="192" spans="10:23" s="3" customFormat="1">
      <c r="J192" s="2"/>
      <c r="K192" s="7"/>
      <c r="L192" s="7"/>
      <c r="M192" s="2"/>
      <c r="N192" s="1"/>
      <c r="O192" s="2"/>
      <c r="P192" s="1"/>
      <c r="Q192" s="7"/>
      <c r="R192" s="7"/>
      <c r="S192" s="7"/>
      <c r="T192" s="1"/>
      <c r="U192" s="7"/>
      <c r="V192" s="7"/>
      <c r="W192" s="7"/>
    </row>
    <row r="193" spans="10:23" s="3" customFormat="1">
      <c r="J193" s="2"/>
      <c r="K193" s="7"/>
      <c r="L193" s="7"/>
      <c r="M193" s="2"/>
      <c r="N193" s="1"/>
      <c r="O193" s="2"/>
      <c r="P193" s="1"/>
      <c r="Q193" s="7"/>
      <c r="R193" s="7"/>
      <c r="S193" s="7"/>
      <c r="T193" s="1"/>
      <c r="U193" s="7"/>
      <c r="V193" s="7"/>
      <c r="W193" s="7"/>
    </row>
    <row r="194" spans="10:23" s="3" customFormat="1">
      <c r="J194" s="2"/>
      <c r="K194" s="7"/>
      <c r="L194" s="7"/>
      <c r="M194" s="2"/>
      <c r="N194" s="1"/>
      <c r="O194" s="2"/>
      <c r="P194" s="1"/>
      <c r="Q194" s="7"/>
      <c r="R194" s="7"/>
      <c r="S194" s="7"/>
      <c r="T194" s="1"/>
      <c r="U194" s="7"/>
      <c r="V194" s="7"/>
      <c r="W194" s="7"/>
    </row>
    <row r="195" spans="10:23" s="3" customFormat="1">
      <c r="J195" s="2"/>
      <c r="K195" s="7"/>
      <c r="L195" s="7"/>
      <c r="M195" s="2"/>
      <c r="N195" s="1"/>
      <c r="O195" s="2"/>
      <c r="P195" s="1"/>
      <c r="Q195" s="7"/>
      <c r="R195" s="7"/>
      <c r="S195" s="7"/>
      <c r="T195" s="1"/>
      <c r="U195" s="7"/>
      <c r="V195" s="7"/>
      <c r="W195" s="7"/>
    </row>
    <row r="196" spans="10:23" s="3" customFormat="1">
      <c r="J196" s="2"/>
      <c r="K196" s="7"/>
      <c r="L196" s="7"/>
      <c r="M196" s="2"/>
      <c r="N196" s="1"/>
      <c r="O196" s="2"/>
      <c r="P196" s="1"/>
      <c r="Q196" s="7"/>
      <c r="R196" s="7"/>
      <c r="S196" s="7"/>
      <c r="T196" s="1"/>
      <c r="U196" s="7"/>
      <c r="V196" s="7"/>
      <c r="W196" s="7"/>
    </row>
    <row r="197" spans="10:23" s="3" customFormat="1">
      <c r="J197" s="2"/>
      <c r="K197" s="7"/>
      <c r="L197" s="7"/>
      <c r="M197" s="2"/>
      <c r="N197" s="1"/>
      <c r="O197" s="2"/>
      <c r="P197" s="1"/>
      <c r="Q197" s="7"/>
      <c r="R197" s="7"/>
      <c r="S197" s="7"/>
      <c r="T197" s="1"/>
      <c r="U197" s="7"/>
      <c r="V197" s="7"/>
      <c r="W197" s="7"/>
    </row>
    <row r="198" spans="10:23" s="3" customFormat="1">
      <c r="J198" s="2"/>
      <c r="K198" s="7"/>
      <c r="L198" s="7"/>
      <c r="M198" s="2"/>
      <c r="N198" s="1"/>
      <c r="O198" s="2"/>
      <c r="P198" s="1"/>
      <c r="Q198" s="7"/>
      <c r="R198" s="7"/>
      <c r="S198" s="7"/>
      <c r="T198" s="1"/>
      <c r="U198" s="7"/>
      <c r="V198" s="7"/>
      <c r="W198" s="7"/>
    </row>
    <row r="199" spans="10:23" s="3" customFormat="1">
      <c r="J199" s="2"/>
      <c r="K199" s="7"/>
      <c r="L199" s="7"/>
      <c r="M199" s="2"/>
      <c r="N199" s="1"/>
      <c r="O199" s="2"/>
      <c r="P199" s="1"/>
      <c r="Q199" s="7"/>
      <c r="R199" s="7"/>
      <c r="S199" s="7"/>
      <c r="T199" s="1"/>
      <c r="U199" s="7"/>
      <c r="V199" s="7"/>
      <c r="W199" s="7"/>
    </row>
    <row r="200" spans="10:23" s="3" customFormat="1">
      <c r="J200" s="2"/>
      <c r="K200" s="7"/>
      <c r="L200" s="7"/>
      <c r="M200" s="2"/>
      <c r="N200" s="1"/>
      <c r="O200" s="2"/>
      <c r="P200" s="1"/>
      <c r="Q200" s="7"/>
      <c r="R200" s="7"/>
      <c r="S200" s="7"/>
      <c r="T200" s="1"/>
      <c r="U200" s="7"/>
      <c r="V200" s="7"/>
      <c r="W200" s="7"/>
    </row>
    <row r="201" spans="10:23" s="3" customFormat="1">
      <c r="J201" s="2"/>
      <c r="K201" s="7"/>
      <c r="L201" s="7"/>
      <c r="M201" s="2"/>
      <c r="N201" s="1"/>
      <c r="O201" s="2"/>
      <c r="P201" s="1"/>
      <c r="Q201" s="7"/>
      <c r="R201" s="7"/>
      <c r="S201" s="7"/>
      <c r="T201" s="1"/>
      <c r="U201" s="7"/>
      <c r="V201" s="7"/>
      <c r="W201" s="7"/>
    </row>
    <row r="202" spans="10:23" s="3" customFormat="1">
      <c r="J202" s="2"/>
      <c r="K202" s="7"/>
      <c r="L202" s="7"/>
      <c r="M202" s="2"/>
      <c r="N202" s="1"/>
      <c r="O202" s="2"/>
      <c r="P202" s="1"/>
      <c r="Q202" s="7"/>
      <c r="R202" s="7"/>
      <c r="S202" s="7"/>
      <c r="T202" s="1"/>
      <c r="U202" s="7"/>
      <c r="V202" s="7"/>
      <c r="W202" s="7"/>
    </row>
    <row r="203" spans="10:23" s="3" customFormat="1">
      <c r="J203" s="2"/>
      <c r="K203" s="7"/>
      <c r="L203" s="7"/>
      <c r="M203" s="2"/>
      <c r="N203" s="1"/>
      <c r="O203" s="2"/>
      <c r="P203" s="1"/>
      <c r="Q203" s="7"/>
      <c r="R203" s="7"/>
      <c r="S203" s="7"/>
      <c r="T203" s="1"/>
      <c r="U203" s="7"/>
      <c r="V203" s="7"/>
      <c r="W203" s="7"/>
    </row>
    <row r="204" spans="10:23" s="3" customFormat="1">
      <c r="J204" s="2"/>
      <c r="K204" s="7"/>
      <c r="L204" s="7"/>
      <c r="M204" s="2"/>
      <c r="N204" s="1"/>
      <c r="O204" s="2"/>
      <c r="P204" s="1"/>
      <c r="Q204" s="7"/>
      <c r="R204" s="7"/>
      <c r="S204" s="7"/>
      <c r="T204" s="1"/>
      <c r="U204" s="7"/>
      <c r="V204" s="7"/>
      <c r="W204" s="7"/>
    </row>
    <row r="205" spans="10:23" s="3" customFormat="1">
      <c r="J205" s="2"/>
      <c r="K205" s="7"/>
      <c r="L205" s="7"/>
      <c r="M205" s="2"/>
      <c r="N205" s="1"/>
      <c r="O205" s="2"/>
      <c r="P205" s="1"/>
      <c r="Q205" s="7"/>
      <c r="R205" s="7"/>
      <c r="S205" s="7"/>
      <c r="T205" s="1"/>
      <c r="U205" s="7"/>
      <c r="V205" s="7"/>
      <c r="W205" s="7"/>
    </row>
    <row r="206" spans="10:23" s="3" customFormat="1">
      <c r="J206" s="2"/>
      <c r="K206" s="7"/>
      <c r="L206" s="7"/>
      <c r="M206" s="2"/>
      <c r="N206" s="1"/>
      <c r="O206" s="2"/>
      <c r="P206" s="1"/>
      <c r="Q206" s="7"/>
      <c r="R206" s="7"/>
      <c r="S206" s="7"/>
      <c r="T206" s="1"/>
      <c r="U206" s="7"/>
      <c r="V206" s="7"/>
      <c r="W206" s="7"/>
    </row>
    <row r="207" spans="10:23" s="3" customFormat="1">
      <c r="J207" s="2"/>
      <c r="K207" s="7"/>
      <c r="L207" s="7"/>
      <c r="M207" s="2"/>
      <c r="N207" s="1"/>
      <c r="O207" s="2"/>
      <c r="P207" s="1"/>
      <c r="Q207" s="7"/>
      <c r="R207" s="7"/>
      <c r="S207" s="7"/>
      <c r="T207" s="1"/>
      <c r="U207" s="7"/>
      <c r="V207" s="7"/>
      <c r="W207" s="7"/>
    </row>
    <row r="208" spans="10:23" s="3" customFormat="1">
      <c r="J208" s="2"/>
      <c r="K208" s="7"/>
      <c r="L208" s="7"/>
      <c r="M208" s="2"/>
      <c r="N208" s="1"/>
      <c r="O208" s="2"/>
      <c r="P208" s="1"/>
      <c r="Q208" s="7"/>
      <c r="R208" s="7"/>
      <c r="S208" s="7"/>
      <c r="T208" s="1"/>
      <c r="U208" s="7"/>
      <c r="V208" s="7"/>
      <c r="W208" s="7"/>
    </row>
    <row r="209" spans="10:23" s="3" customFormat="1">
      <c r="J209" s="2"/>
      <c r="K209" s="7"/>
      <c r="L209" s="7"/>
      <c r="M209" s="2"/>
      <c r="N209" s="1"/>
      <c r="O209" s="2"/>
      <c r="P209" s="1"/>
      <c r="Q209" s="7"/>
      <c r="R209" s="7"/>
      <c r="S209" s="7"/>
      <c r="T209" s="1"/>
      <c r="U209" s="7"/>
      <c r="V209" s="7"/>
      <c r="W209" s="7"/>
    </row>
    <row r="210" spans="10:23" s="3" customFormat="1">
      <c r="J210" s="2"/>
      <c r="K210" s="7"/>
      <c r="L210" s="7"/>
      <c r="M210" s="2"/>
      <c r="N210" s="1"/>
      <c r="O210" s="2"/>
      <c r="P210" s="1"/>
      <c r="Q210" s="7"/>
      <c r="R210" s="7"/>
      <c r="S210" s="7"/>
      <c r="T210" s="1"/>
      <c r="U210" s="7"/>
      <c r="V210" s="7"/>
      <c r="W210" s="7"/>
    </row>
    <row r="211" spans="10:23" s="3" customFormat="1">
      <c r="J211" s="2"/>
      <c r="K211" s="7"/>
      <c r="L211" s="7"/>
      <c r="M211" s="2"/>
      <c r="N211" s="1"/>
      <c r="O211" s="2"/>
      <c r="P211" s="1"/>
      <c r="Q211" s="7"/>
      <c r="R211" s="7"/>
      <c r="S211" s="7"/>
      <c r="T211" s="1"/>
      <c r="U211" s="7"/>
      <c r="V211" s="7"/>
      <c r="W211" s="7"/>
    </row>
    <row r="212" spans="10:23" s="3" customFormat="1">
      <c r="J212" s="2"/>
      <c r="K212" s="7"/>
      <c r="L212" s="7"/>
      <c r="M212" s="2"/>
      <c r="N212" s="1"/>
      <c r="O212" s="2"/>
      <c r="P212" s="1"/>
      <c r="Q212" s="7"/>
      <c r="R212" s="7"/>
      <c r="S212" s="7"/>
      <c r="T212" s="1"/>
      <c r="U212" s="7"/>
      <c r="V212" s="7"/>
      <c r="W212" s="7"/>
    </row>
    <row r="213" spans="10:23" s="3" customFormat="1">
      <c r="J213" s="2"/>
      <c r="K213" s="7"/>
      <c r="L213" s="7"/>
      <c r="M213" s="2"/>
      <c r="N213" s="1"/>
      <c r="O213" s="2"/>
      <c r="P213" s="1"/>
      <c r="Q213" s="7"/>
      <c r="R213" s="7"/>
      <c r="S213" s="7"/>
      <c r="T213" s="1"/>
      <c r="U213" s="7"/>
      <c r="V213" s="7"/>
      <c r="W213" s="7"/>
    </row>
    <row r="214" spans="10:23" s="3" customFormat="1">
      <c r="J214" s="2"/>
      <c r="K214" s="7"/>
      <c r="L214" s="7"/>
      <c r="M214" s="2"/>
      <c r="N214" s="1"/>
      <c r="O214" s="2"/>
      <c r="P214" s="1"/>
      <c r="Q214" s="7"/>
      <c r="R214" s="7"/>
      <c r="S214" s="7"/>
      <c r="T214" s="1"/>
      <c r="U214" s="7"/>
      <c r="V214" s="7"/>
      <c r="W214" s="7"/>
    </row>
    <row r="215" spans="10:23" s="3" customFormat="1">
      <c r="J215" s="2"/>
      <c r="K215" s="7"/>
      <c r="L215" s="7"/>
      <c r="M215" s="2"/>
      <c r="N215" s="1"/>
      <c r="O215" s="2"/>
      <c r="P215" s="1"/>
      <c r="Q215" s="7"/>
      <c r="R215" s="7"/>
      <c r="S215" s="7"/>
      <c r="T215" s="1"/>
      <c r="U215" s="7"/>
      <c r="V215" s="7"/>
      <c r="W215" s="7"/>
    </row>
    <row r="216" spans="10:23" s="3" customFormat="1">
      <c r="J216" s="2"/>
      <c r="K216" s="7"/>
      <c r="L216" s="7"/>
      <c r="M216" s="2"/>
      <c r="N216" s="1"/>
      <c r="O216" s="2"/>
      <c r="P216" s="1"/>
      <c r="Q216" s="7"/>
      <c r="R216" s="7"/>
      <c r="S216" s="7"/>
      <c r="T216" s="1"/>
      <c r="U216" s="7"/>
      <c r="V216" s="7"/>
      <c r="W216" s="7"/>
    </row>
    <row r="217" spans="10:23" s="3" customFormat="1">
      <c r="J217" s="2"/>
      <c r="K217" s="7"/>
      <c r="L217" s="7"/>
      <c r="M217" s="2"/>
      <c r="N217" s="1"/>
      <c r="O217" s="2"/>
      <c r="P217" s="1"/>
      <c r="Q217" s="7"/>
      <c r="R217" s="7"/>
      <c r="S217" s="7"/>
      <c r="T217" s="1"/>
      <c r="U217" s="7"/>
      <c r="V217" s="7"/>
      <c r="W217" s="7"/>
    </row>
    <row r="218" spans="10:23" s="3" customFormat="1">
      <c r="J218" s="2"/>
      <c r="K218" s="7"/>
      <c r="L218" s="7"/>
      <c r="M218" s="2"/>
      <c r="N218" s="1"/>
      <c r="O218" s="2"/>
      <c r="P218" s="1"/>
      <c r="Q218" s="7"/>
      <c r="R218" s="7"/>
      <c r="S218" s="7"/>
      <c r="T218" s="1"/>
      <c r="U218" s="7"/>
      <c r="V218" s="7"/>
      <c r="W218" s="7"/>
    </row>
    <row r="219" spans="10:23" s="3" customFormat="1">
      <c r="J219" s="2"/>
      <c r="K219" s="7"/>
      <c r="L219" s="7"/>
      <c r="M219" s="2"/>
      <c r="N219" s="1"/>
      <c r="O219" s="2"/>
      <c r="P219" s="1"/>
      <c r="Q219" s="7"/>
      <c r="R219" s="7"/>
      <c r="S219" s="7"/>
      <c r="T219" s="1"/>
      <c r="U219" s="7"/>
      <c r="V219" s="7"/>
      <c r="W219" s="7"/>
    </row>
    <row r="220" spans="10:23" s="3" customFormat="1">
      <c r="J220" s="2"/>
      <c r="K220" s="7"/>
      <c r="L220" s="7"/>
      <c r="M220" s="2"/>
      <c r="N220" s="1"/>
      <c r="O220" s="2"/>
      <c r="P220" s="1"/>
      <c r="Q220" s="7"/>
      <c r="R220" s="7"/>
      <c r="S220" s="7"/>
      <c r="T220" s="1"/>
      <c r="U220" s="7"/>
      <c r="V220" s="7"/>
      <c r="W220" s="7"/>
    </row>
    <row r="221" spans="10:23" s="3" customFormat="1">
      <c r="J221" s="2"/>
      <c r="K221" s="7"/>
      <c r="L221" s="7"/>
      <c r="M221" s="2"/>
      <c r="N221" s="1"/>
      <c r="O221" s="2"/>
      <c r="P221" s="1"/>
      <c r="Q221" s="7"/>
      <c r="R221" s="7"/>
      <c r="S221" s="7"/>
      <c r="T221" s="1"/>
      <c r="U221" s="7"/>
      <c r="V221" s="7"/>
      <c r="W221" s="7"/>
    </row>
    <row r="222" spans="10:23" s="3" customFormat="1">
      <c r="J222" s="2"/>
      <c r="K222" s="7"/>
      <c r="L222" s="7"/>
      <c r="M222" s="2"/>
      <c r="N222" s="1"/>
      <c r="O222" s="2"/>
      <c r="P222" s="1"/>
      <c r="Q222" s="7"/>
      <c r="R222" s="7"/>
      <c r="S222" s="7"/>
      <c r="T222" s="1"/>
      <c r="U222" s="7"/>
      <c r="V222" s="7"/>
      <c r="W222" s="7"/>
    </row>
    <row r="223" spans="10:23" s="3" customFormat="1">
      <c r="J223" s="2"/>
      <c r="K223" s="7"/>
      <c r="L223" s="7"/>
      <c r="M223" s="2"/>
      <c r="N223" s="1"/>
      <c r="O223" s="2"/>
      <c r="P223" s="1"/>
      <c r="Q223" s="7"/>
      <c r="R223" s="7"/>
      <c r="S223" s="7"/>
      <c r="T223" s="1"/>
      <c r="U223" s="7"/>
      <c r="V223" s="7"/>
      <c r="W223" s="7"/>
    </row>
    <row r="224" spans="10:23" s="3" customFormat="1">
      <c r="J224" s="2"/>
      <c r="K224" s="7"/>
      <c r="L224" s="7"/>
      <c r="M224" s="2"/>
      <c r="N224" s="1"/>
      <c r="O224" s="2"/>
      <c r="P224" s="1"/>
      <c r="Q224" s="7"/>
      <c r="R224" s="7"/>
      <c r="S224" s="7"/>
      <c r="T224" s="1"/>
      <c r="U224" s="7"/>
      <c r="V224" s="7"/>
      <c r="W224" s="7"/>
    </row>
    <row r="225" spans="10:23" s="3" customFormat="1">
      <c r="J225" s="2"/>
      <c r="K225" s="7"/>
      <c r="L225" s="7"/>
      <c r="M225" s="2"/>
      <c r="N225" s="1"/>
      <c r="O225" s="2"/>
      <c r="P225" s="1"/>
      <c r="Q225" s="7"/>
      <c r="R225" s="7"/>
      <c r="S225" s="7"/>
      <c r="T225" s="1"/>
      <c r="U225" s="7"/>
      <c r="V225" s="7"/>
      <c r="W225" s="7"/>
    </row>
    <row r="226" spans="10:23" s="3" customFormat="1">
      <c r="J226" s="2"/>
      <c r="K226" s="7"/>
      <c r="L226" s="7"/>
      <c r="M226" s="2"/>
      <c r="N226" s="1"/>
      <c r="O226" s="2"/>
      <c r="P226" s="1"/>
      <c r="Q226" s="7"/>
      <c r="R226" s="7"/>
      <c r="S226" s="7"/>
      <c r="T226" s="1"/>
      <c r="U226" s="7"/>
      <c r="V226" s="7"/>
      <c r="W226" s="7"/>
    </row>
    <row r="227" spans="10:23" s="3" customFormat="1">
      <c r="J227" s="2"/>
      <c r="K227" s="7"/>
      <c r="L227" s="7"/>
      <c r="M227" s="2"/>
      <c r="N227" s="1"/>
      <c r="O227" s="2"/>
      <c r="P227" s="1"/>
      <c r="Q227" s="7"/>
      <c r="R227" s="7"/>
      <c r="S227" s="7"/>
      <c r="T227" s="1"/>
      <c r="U227" s="7"/>
      <c r="V227" s="7"/>
      <c r="W227" s="7"/>
    </row>
    <row r="228" spans="10:23" s="3" customFormat="1">
      <c r="J228" s="2"/>
      <c r="K228" s="7"/>
      <c r="L228" s="7"/>
      <c r="M228" s="2"/>
      <c r="N228" s="1"/>
      <c r="O228" s="2"/>
      <c r="P228" s="1"/>
      <c r="Q228" s="7"/>
      <c r="R228" s="7"/>
      <c r="S228" s="7"/>
      <c r="T228" s="1"/>
      <c r="U228" s="7"/>
      <c r="V228" s="7"/>
      <c r="W228" s="7"/>
    </row>
    <row r="229" spans="10:23" s="3" customFormat="1">
      <c r="J229" s="2"/>
      <c r="K229" s="7"/>
      <c r="L229" s="7"/>
      <c r="M229" s="2"/>
      <c r="N229" s="1"/>
      <c r="O229" s="2"/>
      <c r="P229" s="1"/>
      <c r="Q229" s="7"/>
      <c r="R229" s="7"/>
      <c r="S229" s="7"/>
      <c r="T229" s="1"/>
      <c r="U229" s="7"/>
      <c r="V229" s="7"/>
      <c r="W229" s="7"/>
    </row>
    <row r="230" spans="10:23" s="3" customFormat="1">
      <c r="J230" s="2"/>
      <c r="K230" s="7"/>
      <c r="L230" s="7"/>
      <c r="M230" s="2"/>
      <c r="N230" s="1"/>
      <c r="O230" s="2"/>
      <c r="P230" s="1"/>
      <c r="Q230" s="7"/>
      <c r="R230" s="7"/>
      <c r="S230" s="7"/>
      <c r="T230" s="1"/>
      <c r="U230" s="7"/>
      <c r="V230" s="7"/>
      <c r="W230" s="7"/>
    </row>
    <row r="231" spans="10:23" s="3" customFormat="1">
      <c r="J231" s="2"/>
      <c r="K231" s="7"/>
      <c r="L231" s="7"/>
      <c r="M231" s="2"/>
      <c r="N231" s="1"/>
      <c r="O231" s="2"/>
      <c r="P231" s="1"/>
      <c r="Q231" s="7"/>
      <c r="R231" s="7"/>
      <c r="S231" s="7"/>
      <c r="T231" s="1"/>
      <c r="U231" s="7"/>
      <c r="V231" s="7"/>
      <c r="W231" s="7"/>
    </row>
    <row r="232" spans="10:23" s="3" customFormat="1">
      <c r="J232" s="2"/>
      <c r="K232" s="7"/>
      <c r="L232" s="7"/>
      <c r="M232" s="2"/>
      <c r="N232" s="1"/>
      <c r="O232" s="2"/>
      <c r="P232" s="1"/>
      <c r="Q232" s="7"/>
      <c r="R232" s="7"/>
      <c r="S232" s="7"/>
      <c r="T232" s="1"/>
      <c r="U232" s="7"/>
      <c r="V232" s="7"/>
      <c r="W232" s="7"/>
    </row>
    <row r="233" spans="10:23" s="3" customFormat="1">
      <c r="J233" s="2"/>
      <c r="K233" s="7"/>
      <c r="L233" s="7"/>
      <c r="M233" s="2"/>
      <c r="N233" s="1"/>
      <c r="O233" s="2"/>
      <c r="P233" s="1"/>
      <c r="Q233" s="7"/>
      <c r="R233" s="7"/>
      <c r="S233" s="7"/>
      <c r="T233" s="1"/>
      <c r="U233" s="7"/>
      <c r="V233" s="7"/>
      <c r="W233" s="7"/>
    </row>
    <row r="234" spans="10:23" s="3" customFormat="1">
      <c r="J234" s="2"/>
      <c r="K234" s="7"/>
      <c r="L234" s="7"/>
      <c r="M234" s="2"/>
      <c r="N234" s="1"/>
      <c r="O234" s="2"/>
      <c r="P234" s="1"/>
      <c r="Q234" s="7"/>
      <c r="R234" s="7"/>
      <c r="S234" s="7"/>
      <c r="T234" s="1"/>
      <c r="U234" s="7"/>
      <c r="V234" s="7"/>
      <c r="W234" s="7"/>
    </row>
    <row r="235" spans="10:23" s="3" customFormat="1">
      <c r="J235" s="2"/>
      <c r="K235" s="7"/>
      <c r="L235" s="7"/>
      <c r="M235" s="2"/>
      <c r="N235" s="1"/>
      <c r="O235" s="2"/>
      <c r="P235" s="1"/>
      <c r="Q235" s="7"/>
      <c r="R235" s="7"/>
      <c r="S235" s="7"/>
      <c r="T235" s="1"/>
      <c r="U235" s="7"/>
      <c r="V235" s="7"/>
      <c r="W235" s="7"/>
    </row>
    <row r="236" spans="10:23" s="3" customFormat="1">
      <c r="J236" s="2"/>
      <c r="K236" s="7"/>
      <c r="L236" s="7"/>
      <c r="M236" s="2"/>
      <c r="N236" s="1"/>
      <c r="O236" s="2"/>
      <c r="P236" s="1"/>
      <c r="Q236" s="7"/>
      <c r="R236" s="7"/>
      <c r="S236" s="7"/>
      <c r="T236" s="1"/>
      <c r="U236" s="7"/>
      <c r="V236" s="7"/>
      <c r="W236" s="7"/>
    </row>
    <row r="237" spans="10:23" s="3" customFormat="1">
      <c r="J237" s="2"/>
      <c r="K237" s="7"/>
      <c r="L237" s="7"/>
      <c r="M237" s="2"/>
      <c r="N237" s="1"/>
      <c r="O237" s="2"/>
      <c r="P237" s="1"/>
      <c r="Q237" s="7"/>
      <c r="R237" s="7"/>
      <c r="S237" s="7"/>
      <c r="T237" s="1"/>
      <c r="U237" s="7"/>
      <c r="V237" s="7"/>
      <c r="W237" s="7"/>
    </row>
    <row r="238" spans="10:23" s="3" customFormat="1">
      <c r="J238" s="2"/>
      <c r="K238" s="7"/>
      <c r="L238" s="7"/>
      <c r="M238" s="2"/>
      <c r="N238" s="1"/>
      <c r="O238" s="2"/>
      <c r="P238" s="1"/>
      <c r="Q238" s="7"/>
      <c r="R238" s="7"/>
      <c r="S238" s="7"/>
      <c r="T238" s="1"/>
      <c r="U238" s="7"/>
      <c r="V238" s="7"/>
      <c r="W238" s="7"/>
    </row>
    <row r="239" spans="10:23" s="3" customFormat="1">
      <c r="J239" s="2"/>
      <c r="K239" s="7"/>
      <c r="L239" s="7"/>
      <c r="M239" s="2"/>
      <c r="N239" s="1"/>
      <c r="O239" s="2"/>
      <c r="P239" s="1"/>
      <c r="Q239" s="7"/>
      <c r="R239" s="7"/>
      <c r="S239" s="7"/>
      <c r="T239" s="1"/>
      <c r="U239" s="7"/>
      <c r="V239" s="7"/>
      <c r="W239" s="7"/>
    </row>
    <row r="240" spans="10:23" s="3" customFormat="1">
      <c r="J240" s="2"/>
      <c r="K240" s="7"/>
      <c r="L240" s="7"/>
      <c r="M240" s="2"/>
      <c r="N240" s="1"/>
      <c r="O240" s="2"/>
      <c r="P240" s="1"/>
      <c r="Q240" s="7"/>
      <c r="R240" s="7"/>
      <c r="S240" s="7"/>
      <c r="T240" s="1"/>
      <c r="U240" s="7"/>
      <c r="V240" s="7"/>
      <c r="W240" s="7"/>
    </row>
    <row r="241" spans="10:23" s="3" customFormat="1">
      <c r="J241" s="2"/>
      <c r="K241" s="7"/>
      <c r="L241" s="7"/>
      <c r="M241" s="2"/>
      <c r="N241" s="1"/>
      <c r="O241" s="2"/>
      <c r="P241" s="1"/>
      <c r="Q241" s="7"/>
      <c r="R241" s="7"/>
      <c r="S241" s="7"/>
      <c r="T241" s="1"/>
      <c r="U241" s="7"/>
      <c r="V241" s="7"/>
      <c r="W241" s="7"/>
    </row>
    <row r="242" spans="10:23" s="3" customFormat="1">
      <c r="J242" s="2"/>
      <c r="K242" s="7"/>
      <c r="L242" s="7"/>
      <c r="M242" s="2"/>
      <c r="N242" s="1"/>
      <c r="O242" s="2"/>
      <c r="P242" s="1"/>
      <c r="Q242" s="7"/>
      <c r="R242" s="7"/>
      <c r="S242" s="7"/>
      <c r="T242" s="1"/>
      <c r="U242" s="7"/>
      <c r="V242" s="7"/>
      <c r="W242" s="7"/>
    </row>
    <row r="243" spans="10:23" s="3" customFormat="1">
      <c r="J243" s="2"/>
      <c r="K243" s="7"/>
      <c r="L243" s="7"/>
      <c r="M243" s="2"/>
      <c r="N243" s="1"/>
      <c r="O243" s="2"/>
      <c r="P243" s="1"/>
      <c r="Q243" s="7"/>
      <c r="R243" s="7"/>
      <c r="S243" s="7"/>
      <c r="T243" s="1"/>
      <c r="U243" s="7"/>
      <c r="V243" s="7"/>
      <c r="W243" s="7"/>
    </row>
    <row r="244" spans="10:23" s="3" customFormat="1">
      <c r="J244" s="2"/>
      <c r="K244" s="7"/>
      <c r="L244" s="7"/>
      <c r="M244" s="2"/>
      <c r="N244" s="1"/>
      <c r="O244" s="2"/>
      <c r="P244" s="1"/>
      <c r="Q244" s="7"/>
      <c r="R244" s="7"/>
      <c r="S244" s="7"/>
      <c r="T244" s="1"/>
      <c r="U244" s="7"/>
      <c r="V244" s="7"/>
      <c r="W244" s="7"/>
    </row>
    <row r="245" spans="10:23" s="3" customFormat="1">
      <c r="J245" s="2"/>
      <c r="K245" s="7"/>
      <c r="L245" s="7"/>
      <c r="M245" s="2"/>
      <c r="N245" s="1"/>
      <c r="O245" s="2"/>
      <c r="P245" s="1"/>
      <c r="Q245" s="7"/>
      <c r="R245" s="7"/>
      <c r="S245" s="7"/>
      <c r="T245" s="1"/>
      <c r="U245" s="7"/>
      <c r="V245" s="7"/>
      <c r="W245" s="7"/>
    </row>
    <row r="246" spans="10:23" s="3" customFormat="1">
      <c r="J246" s="2"/>
      <c r="K246" s="7"/>
      <c r="L246" s="7"/>
      <c r="M246" s="2"/>
      <c r="N246" s="1"/>
      <c r="O246" s="2"/>
      <c r="P246" s="1"/>
      <c r="Q246" s="7"/>
      <c r="R246" s="7"/>
      <c r="S246" s="7"/>
      <c r="T246" s="1"/>
      <c r="U246" s="7"/>
      <c r="V246" s="7"/>
      <c r="W246" s="7"/>
    </row>
    <row r="247" spans="10:23" s="3" customFormat="1">
      <c r="J247" s="2"/>
      <c r="K247" s="7"/>
      <c r="L247" s="7"/>
      <c r="M247" s="2"/>
      <c r="N247" s="1"/>
      <c r="O247" s="2"/>
      <c r="P247" s="1"/>
      <c r="Q247" s="7"/>
      <c r="R247" s="7"/>
      <c r="S247" s="7"/>
      <c r="T247" s="1"/>
      <c r="U247" s="7"/>
      <c r="V247" s="7"/>
      <c r="W247" s="7"/>
    </row>
    <row r="248" spans="10:23" s="3" customFormat="1">
      <c r="J248" s="2"/>
      <c r="K248" s="7"/>
      <c r="L248" s="7"/>
      <c r="M248" s="2"/>
      <c r="N248" s="1"/>
      <c r="O248" s="2"/>
      <c r="P248" s="1"/>
      <c r="Q248" s="7"/>
      <c r="R248" s="7"/>
      <c r="S248" s="7"/>
      <c r="T248" s="1"/>
      <c r="U248" s="7"/>
      <c r="V248" s="7"/>
      <c r="W248" s="7"/>
    </row>
    <row r="249" spans="10:23" s="3" customFormat="1">
      <c r="J249" s="2"/>
      <c r="K249" s="7"/>
      <c r="L249" s="7"/>
      <c r="M249" s="2"/>
      <c r="N249" s="1"/>
      <c r="O249" s="2"/>
      <c r="P249" s="1"/>
      <c r="Q249" s="7"/>
      <c r="R249" s="7"/>
      <c r="S249" s="7"/>
      <c r="T249" s="1"/>
      <c r="U249" s="7"/>
      <c r="V249" s="7"/>
      <c r="W249" s="7"/>
    </row>
    <row r="250" spans="10:23" s="3" customFormat="1">
      <c r="J250" s="2"/>
      <c r="K250" s="7"/>
      <c r="L250" s="7"/>
      <c r="M250" s="2"/>
      <c r="N250" s="1"/>
      <c r="O250" s="2"/>
      <c r="P250" s="1"/>
      <c r="Q250" s="7"/>
      <c r="R250" s="7"/>
      <c r="S250" s="7"/>
      <c r="T250" s="1"/>
      <c r="U250" s="7"/>
      <c r="V250" s="7"/>
      <c r="W250" s="7"/>
    </row>
    <row r="251" spans="10:23" s="3" customFormat="1">
      <c r="J251" s="2"/>
      <c r="K251" s="7"/>
      <c r="L251" s="7"/>
      <c r="M251" s="2"/>
      <c r="N251" s="1"/>
      <c r="O251" s="2"/>
      <c r="P251" s="1"/>
      <c r="Q251" s="7"/>
      <c r="R251" s="7"/>
      <c r="S251" s="7"/>
      <c r="T251" s="1"/>
      <c r="U251" s="7"/>
      <c r="V251" s="7"/>
      <c r="W251" s="7"/>
    </row>
    <row r="252" spans="10:23" s="3" customFormat="1">
      <c r="J252" s="2"/>
      <c r="K252" s="7"/>
      <c r="L252" s="7"/>
      <c r="M252" s="2"/>
      <c r="N252" s="1"/>
      <c r="O252" s="2"/>
      <c r="P252" s="1"/>
      <c r="Q252" s="7"/>
      <c r="R252" s="7"/>
      <c r="S252" s="7"/>
      <c r="T252" s="1"/>
      <c r="U252" s="7"/>
      <c r="V252" s="7"/>
      <c r="W252" s="7"/>
    </row>
    <row r="253" spans="10:23" s="3" customFormat="1">
      <c r="J253" s="2"/>
      <c r="K253" s="7"/>
      <c r="L253" s="7"/>
      <c r="M253" s="2"/>
      <c r="N253" s="1"/>
      <c r="O253" s="2"/>
      <c r="P253" s="1"/>
      <c r="Q253" s="7"/>
      <c r="R253" s="7"/>
      <c r="S253" s="7"/>
      <c r="T253" s="1"/>
      <c r="U253" s="7"/>
      <c r="V253" s="7"/>
      <c r="W253" s="7"/>
    </row>
    <row r="254" spans="10:23" s="3" customFormat="1">
      <c r="J254" s="2"/>
      <c r="K254" s="7"/>
      <c r="L254" s="7"/>
      <c r="M254" s="2"/>
      <c r="N254" s="1"/>
      <c r="O254" s="2"/>
      <c r="P254" s="1"/>
      <c r="Q254" s="7"/>
      <c r="R254" s="7"/>
      <c r="S254" s="7"/>
      <c r="T254" s="1"/>
      <c r="U254" s="7"/>
      <c r="V254" s="7"/>
      <c r="W254" s="7"/>
    </row>
    <row r="255" spans="10:23" s="3" customFormat="1">
      <c r="J255" s="2"/>
      <c r="K255" s="7"/>
      <c r="L255" s="7"/>
      <c r="M255" s="2"/>
      <c r="N255" s="1"/>
      <c r="O255" s="2"/>
      <c r="P255" s="1"/>
      <c r="Q255" s="7"/>
      <c r="R255" s="7"/>
      <c r="S255" s="7"/>
      <c r="T255" s="1"/>
      <c r="U255" s="7"/>
      <c r="V255" s="7"/>
      <c r="W255" s="7"/>
    </row>
    <row r="256" spans="10:23" s="3" customFormat="1">
      <c r="J256" s="2"/>
      <c r="K256" s="7"/>
      <c r="L256" s="7"/>
      <c r="M256" s="2"/>
      <c r="N256" s="1"/>
      <c r="O256" s="2"/>
      <c r="P256" s="1"/>
      <c r="Q256" s="7"/>
      <c r="R256" s="7"/>
      <c r="S256" s="7"/>
      <c r="T256" s="1"/>
      <c r="U256" s="7"/>
      <c r="V256" s="7"/>
      <c r="W256" s="7"/>
    </row>
    <row r="257" spans="10:23" s="3" customFormat="1">
      <c r="J257" s="2"/>
      <c r="K257" s="7"/>
      <c r="L257" s="7"/>
      <c r="M257" s="2"/>
      <c r="N257" s="1"/>
      <c r="O257" s="2"/>
      <c r="P257" s="1"/>
      <c r="Q257" s="7"/>
      <c r="R257" s="7"/>
      <c r="S257" s="7"/>
      <c r="T257" s="1"/>
      <c r="U257" s="7"/>
      <c r="V257" s="7"/>
      <c r="W257" s="7"/>
    </row>
    <row r="258" spans="10:23" s="3" customFormat="1">
      <c r="J258" s="2"/>
      <c r="K258" s="7"/>
      <c r="L258" s="7"/>
      <c r="M258" s="2"/>
      <c r="N258" s="1"/>
      <c r="O258" s="2"/>
      <c r="P258" s="1"/>
      <c r="Q258" s="7"/>
      <c r="R258" s="7"/>
      <c r="S258" s="7"/>
      <c r="T258" s="1"/>
      <c r="U258" s="7"/>
      <c r="V258" s="7"/>
      <c r="W258" s="7"/>
    </row>
    <row r="259" spans="10:23" s="3" customFormat="1">
      <c r="J259" s="2"/>
      <c r="K259" s="7"/>
      <c r="L259" s="7"/>
      <c r="M259" s="2"/>
      <c r="N259" s="1"/>
      <c r="O259" s="2"/>
      <c r="P259" s="1"/>
      <c r="Q259" s="7"/>
      <c r="R259" s="7"/>
      <c r="S259" s="7"/>
      <c r="T259" s="1"/>
      <c r="U259" s="7"/>
      <c r="V259" s="7"/>
      <c r="W259" s="7"/>
    </row>
    <row r="260" spans="10:23" s="3" customFormat="1">
      <c r="J260" s="2"/>
      <c r="K260" s="7"/>
      <c r="L260" s="7"/>
      <c r="M260" s="2"/>
      <c r="N260" s="1"/>
      <c r="O260" s="2"/>
      <c r="P260" s="1"/>
      <c r="Q260" s="7"/>
      <c r="R260" s="7"/>
      <c r="S260" s="7"/>
      <c r="T260" s="1"/>
      <c r="U260" s="7"/>
      <c r="V260" s="7"/>
      <c r="W260" s="7"/>
    </row>
    <row r="261" spans="10:23" s="3" customFormat="1">
      <c r="J261" s="2"/>
      <c r="K261" s="7"/>
      <c r="L261" s="7"/>
      <c r="M261" s="2"/>
      <c r="N261" s="1"/>
      <c r="O261" s="2"/>
      <c r="P261" s="1"/>
      <c r="Q261" s="7"/>
      <c r="R261" s="7"/>
      <c r="S261" s="7"/>
      <c r="T261" s="1"/>
      <c r="U261" s="7"/>
      <c r="V261" s="7"/>
      <c r="W261" s="7"/>
    </row>
    <row r="262" spans="10:23" s="3" customFormat="1">
      <c r="J262" s="2"/>
      <c r="K262" s="7"/>
      <c r="L262" s="7"/>
      <c r="M262" s="2"/>
      <c r="N262" s="1"/>
      <c r="O262" s="2"/>
      <c r="P262" s="1"/>
      <c r="Q262" s="7"/>
      <c r="R262" s="7"/>
      <c r="S262" s="7"/>
      <c r="T262" s="1"/>
      <c r="U262" s="7"/>
      <c r="V262" s="7"/>
      <c r="W262" s="7"/>
    </row>
    <row r="263" spans="10:23" s="3" customFormat="1">
      <c r="J263" s="2"/>
      <c r="K263" s="7"/>
      <c r="L263" s="7"/>
      <c r="M263" s="2"/>
      <c r="N263" s="1"/>
      <c r="O263" s="2"/>
      <c r="P263" s="1"/>
      <c r="Q263" s="7"/>
      <c r="R263" s="7"/>
      <c r="S263" s="7"/>
      <c r="T263" s="1"/>
      <c r="U263" s="7"/>
      <c r="V263" s="7"/>
      <c r="W263" s="7"/>
    </row>
    <row r="264" spans="10:23" s="3" customFormat="1">
      <c r="J264" s="2"/>
      <c r="K264" s="7"/>
      <c r="L264" s="7"/>
      <c r="M264" s="2"/>
      <c r="N264" s="1"/>
      <c r="O264" s="2"/>
      <c r="P264" s="1"/>
      <c r="Q264" s="7"/>
      <c r="R264" s="7"/>
      <c r="S264" s="7"/>
      <c r="T264" s="1"/>
      <c r="U264" s="7"/>
      <c r="V264" s="7"/>
      <c r="W264" s="7"/>
    </row>
    <row r="265" spans="10:23" s="3" customFormat="1">
      <c r="J265" s="2"/>
      <c r="K265" s="7"/>
      <c r="L265" s="7"/>
      <c r="M265" s="2"/>
      <c r="N265" s="1"/>
      <c r="O265" s="2"/>
      <c r="P265" s="1"/>
      <c r="Q265" s="7"/>
      <c r="R265" s="7"/>
      <c r="S265" s="7"/>
      <c r="T265" s="1"/>
      <c r="U265" s="7"/>
      <c r="V265" s="7"/>
      <c r="W265" s="7"/>
    </row>
    <row r="266" spans="10:23" s="3" customFormat="1">
      <c r="J266" s="2"/>
      <c r="K266" s="7"/>
      <c r="L266" s="7"/>
      <c r="M266" s="2"/>
      <c r="N266" s="1"/>
      <c r="O266" s="2"/>
      <c r="P266" s="1"/>
      <c r="Q266" s="7"/>
      <c r="R266" s="7"/>
      <c r="S266" s="7"/>
      <c r="T266" s="1"/>
      <c r="U266" s="7"/>
      <c r="V266" s="7"/>
      <c r="W266" s="7"/>
    </row>
    <row r="267" spans="10:23" s="3" customFormat="1">
      <c r="J267" s="2"/>
      <c r="K267" s="7"/>
      <c r="L267" s="7"/>
      <c r="M267" s="2"/>
      <c r="N267" s="1"/>
      <c r="O267" s="2"/>
      <c r="P267" s="1"/>
      <c r="Q267" s="7"/>
      <c r="R267" s="7"/>
      <c r="S267" s="7"/>
      <c r="T267" s="1"/>
      <c r="U267" s="7"/>
      <c r="V267" s="7"/>
      <c r="W267" s="7"/>
    </row>
    <row r="268" spans="10:23" s="3" customFormat="1">
      <c r="J268" s="2"/>
      <c r="K268" s="7"/>
      <c r="L268" s="7"/>
      <c r="M268" s="2"/>
      <c r="N268" s="1"/>
      <c r="O268" s="2"/>
      <c r="P268" s="1"/>
      <c r="Q268" s="7"/>
      <c r="R268" s="7"/>
      <c r="S268" s="7"/>
      <c r="T268" s="1"/>
      <c r="U268" s="7"/>
      <c r="V268" s="7"/>
      <c r="W268" s="7"/>
    </row>
    <row r="269" spans="10:23" s="3" customFormat="1">
      <c r="J269" s="2"/>
      <c r="K269" s="7"/>
      <c r="L269" s="7"/>
      <c r="M269" s="2"/>
      <c r="N269" s="1"/>
      <c r="O269" s="2"/>
      <c r="P269" s="1"/>
      <c r="Q269" s="7"/>
      <c r="R269" s="7"/>
      <c r="S269" s="7"/>
      <c r="T269" s="1"/>
      <c r="U269" s="7"/>
      <c r="V269" s="7"/>
      <c r="W269" s="7"/>
    </row>
    <row r="270" spans="10:23" s="3" customFormat="1">
      <c r="J270" s="2"/>
      <c r="K270" s="7"/>
      <c r="L270" s="7"/>
      <c r="M270" s="2"/>
      <c r="N270" s="1"/>
      <c r="O270" s="2"/>
      <c r="P270" s="1"/>
      <c r="Q270" s="7"/>
      <c r="R270" s="7"/>
      <c r="S270" s="7"/>
      <c r="T270" s="1"/>
      <c r="U270" s="7"/>
      <c r="V270" s="7"/>
      <c r="W270" s="7"/>
    </row>
    <row r="271" spans="10:23" s="3" customFormat="1">
      <c r="J271" s="2"/>
      <c r="K271" s="7"/>
      <c r="L271" s="7"/>
      <c r="M271" s="2"/>
      <c r="N271" s="1"/>
      <c r="O271" s="2"/>
      <c r="P271" s="1"/>
      <c r="Q271" s="7"/>
      <c r="R271" s="7"/>
      <c r="S271" s="7"/>
      <c r="T271" s="1"/>
      <c r="U271" s="7"/>
      <c r="V271" s="7"/>
      <c r="W271" s="7"/>
    </row>
    <row r="272" spans="10:23" s="3" customFormat="1">
      <c r="J272" s="2"/>
      <c r="K272" s="7"/>
      <c r="L272" s="7"/>
      <c r="M272" s="2"/>
      <c r="N272" s="1"/>
      <c r="O272" s="2"/>
      <c r="P272" s="1"/>
      <c r="Q272" s="7"/>
      <c r="R272" s="7"/>
      <c r="S272" s="7"/>
      <c r="T272" s="1"/>
      <c r="U272" s="7"/>
      <c r="V272" s="7"/>
      <c r="W272" s="7"/>
    </row>
    <row r="273" spans="10:23" s="3" customFormat="1">
      <c r="J273" s="2"/>
      <c r="K273" s="7"/>
      <c r="L273" s="7"/>
      <c r="M273" s="2"/>
      <c r="N273" s="1"/>
      <c r="O273" s="2"/>
      <c r="P273" s="1"/>
      <c r="Q273" s="7"/>
      <c r="R273" s="7"/>
      <c r="S273" s="7"/>
      <c r="T273" s="1"/>
      <c r="U273" s="7"/>
      <c r="V273" s="7"/>
      <c r="W273" s="7"/>
    </row>
    <row r="274" spans="10:23" s="3" customFormat="1">
      <c r="J274" s="2"/>
      <c r="K274" s="7"/>
      <c r="L274" s="7"/>
      <c r="M274" s="2"/>
      <c r="N274" s="1"/>
      <c r="O274" s="2"/>
      <c r="P274" s="1"/>
      <c r="Q274" s="7"/>
      <c r="R274" s="7"/>
      <c r="S274" s="7"/>
      <c r="T274" s="1"/>
      <c r="U274" s="7"/>
      <c r="V274" s="7"/>
      <c r="W274" s="7"/>
    </row>
    <row r="275" spans="10:23" s="3" customFormat="1">
      <c r="J275" s="2"/>
      <c r="K275" s="7"/>
      <c r="L275" s="7"/>
      <c r="M275" s="2"/>
      <c r="N275" s="1"/>
      <c r="O275" s="2"/>
      <c r="P275" s="1"/>
      <c r="Q275" s="7"/>
      <c r="R275" s="7"/>
      <c r="S275" s="7"/>
      <c r="T275" s="1"/>
      <c r="U275" s="7"/>
      <c r="V275" s="7"/>
      <c r="W275" s="7"/>
    </row>
    <row r="276" spans="10:23" s="3" customFormat="1">
      <c r="J276" s="2"/>
      <c r="K276" s="7"/>
      <c r="L276" s="7"/>
      <c r="M276" s="2"/>
      <c r="N276" s="1"/>
      <c r="O276" s="2"/>
      <c r="P276" s="1"/>
      <c r="Q276" s="7"/>
      <c r="R276" s="7"/>
      <c r="S276" s="7"/>
      <c r="T276" s="1"/>
      <c r="U276" s="7"/>
      <c r="V276" s="7"/>
      <c r="W276" s="7"/>
    </row>
    <row r="277" spans="10:23" s="3" customFormat="1">
      <c r="J277" s="2"/>
      <c r="K277" s="7"/>
      <c r="L277" s="7"/>
      <c r="M277" s="2"/>
      <c r="N277" s="1"/>
      <c r="O277" s="2"/>
      <c r="P277" s="1"/>
      <c r="Q277" s="7"/>
      <c r="R277" s="7"/>
      <c r="S277" s="7"/>
      <c r="T277" s="1"/>
      <c r="U277" s="7"/>
      <c r="V277" s="7"/>
      <c r="W277" s="7"/>
    </row>
    <row r="278" spans="10:23" s="3" customFormat="1">
      <c r="J278" s="2"/>
      <c r="K278" s="7"/>
      <c r="L278" s="7"/>
      <c r="M278" s="2"/>
      <c r="N278" s="1"/>
      <c r="O278" s="2"/>
      <c r="P278" s="1"/>
      <c r="Q278" s="7"/>
      <c r="R278" s="7"/>
      <c r="S278" s="7"/>
      <c r="T278" s="1"/>
      <c r="U278" s="7"/>
      <c r="V278" s="7"/>
      <c r="W278" s="7"/>
    </row>
    <row r="279" spans="10:23" s="3" customFormat="1">
      <c r="J279" s="2"/>
      <c r="K279" s="7"/>
      <c r="L279" s="7"/>
      <c r="M279" s="2"/>
      <c r="N279" s="1"/>
      <c r="O279" s="2"/>
      <c r="P279" s="1"/>
      <c r="Q279" s="7"/>
      <c r="R279" s="7"/>
      <c r="S279" s="7"/>
      <c r="T279" s="1"/>
      <c r="U279" s="7"/>
      <c r="V279" s="7"/>
      <c r="W279" s="7"/>
    </row>
    <row r="280" spans="10:23" s="3" customFormat="1">
      <c r="J280" s="2"/>
      <c r="K280" s="7"/>
      <c r="L280" s="7"/>
      <c r="M280" s="2"/>
      <c r="N280" s="1"/>
      <c r="O280" s="2"/>
      <c r="P280" s="1"/>
      <c r="Q280" s="7"/>
      <c r="R280" s="7"/>
      <c r="S280" s="7"/>
      <c r="T280" s="1"/>
      <c r="U280" s="7"/>
      <c r="V280" s="7"/>
      <c r="W280" s="7"/>
    </row>
    <row r="281" spans="10:23" s="3" customFormat="1">
      <c r="J281" s="2"/>
      <c r="K281" s="7"/>
      <c r="L281" s="7"/>
      <c r="M281" s="2"/>
      <c r="N281" s="1"/>
      <c r="O281" s="2"/>
      <c r="P281" s="1"/>
      <c r="Q281" s="7"/>
      <c r="R281" s="7"/>
      <c r="S281" s="7"/>
      <c r="T281" s="1"/>
      <c r="U281" s="7"/>
      <c r="V281" s="7"/>
      <c r="W281" s="7"/>
    </row>
    <row r="282" spans="10:23" s="3" customFormat="1">
      <c r="J282" s="2"/>
      <c r="K282" s="7"/>
      <c r="L282" s="7"/>
      <c r="M282" s="2"/>
      <c r="N282" s="1"/>
      <c r="O282" s="2"/>
      <c r="P282" s="1"/>
      <c r="Q282" s="7"/>
      <c r="R282" s="7"/>
      <c r="S282" s="7"/>
      <c r="T282" s="1"/>
      <c r="U282" s="7"/>
      <c r="V282" s="7"/>
      <c r="W282" s="7"/>
    </row>
    <row r="283" spans="10:23" s="3" customFormat="1">
      <c r="J283" s="2"/>
      <c r="K283" s="7"/>
      <c r="L283" s="7"/>
      <c r="M283" s="2"/>
      <c r="N283" s="1"/>
      <c r="O283" s="2"/>
      <c r="P283" s="1"/>
      <c r="Q283" s="7"/>
      <c r="R283" s="7"/>
      <c r="S283" s="7"/>
      <c r="T283" s="1"/>
      <c r="U283" s="7"/>
      <c r="V283" s="7"/>
      <c r="W283" s="7"/>
    </row>
    <row r="284" spans="10:23" s="3" customFormat="1">
      <c r="J284" s="2"/>
      <c r="K284" s="7"/>
      <c r="L284" s="7"/>
      <c r="M284" s="2"/>
      <c r="N284" s="1"/>
      <c r="O284" s="2"/>
      <c r="P284" s="1"/>
      <c r="Q284" s="7"/>
      <c r="R284" s="7"/>
      <c r="S284" s="7"/>
      <c r="T284" s="1"/>
      <c r="U284" s="7"/>
      <c r="V284" s="7"/>
      <c r="W284" s="7"/>
    </row>
    <row r="285" spans="10:23" s="3" customFormat="1">
      <c r="J285" s="2"/>
      <c r="K285" s="7"/>
      <c r="L285" s="7"/>
      <c r="M285" s="2"/>
      <c r="N285" s="1"/>
      <c r="O285" s="2"/>
      <c r="P285" s="1"/>
      <c r="Q285" s="7"/>
      <c r="R285" s="7"/>
      <c r="S285" s="7"/>
      <c r="T285" s="1"/>
      <c r="U285" s="7"/>
      <c r="V285" s="7"/>
      <c r="W285" s="7"/>
    </row>
    <row r="286" spans="10:23" s="3" customFormat="1">
      <c r="J286" s="2"/>
      <c r="K286" s="7"/>
      <c r="L286" s="7"/>
      <c r="M286" s="2"/>
      <c r="N286" s="1"/>
      <c r="O286" s="2"/>
      <c r="P286" s="1"/>
      <c r="Q286" s="7"/>
      <c r="R286" s="7"/>
      <c r="S286" s="7"/>
      <c r="T286" s="1"/>
      <c r="U286" s="7"/>
      <c r="V286" s="7"/>
      <c r="W286" s="7"/>
    </row>
    <row r="287" spans="10:23" s="3" customFormat="1">
      <c r="J287" s="2"/>
      <c r="K287" s="7"/>
      <c r="L287" s="7"/>
      <c r="M287" s="2"/>
      <c r="N287" s="1"/>
      <c r="O287" s="2"/>
      <c r="P287" s="1"/>
      <c r="Q287" s="7"/>
      <c r="R287" s="7"/>
      <c r="S287" s="7"/>
      <c r="T287" s="1"/>
      <c r="U287" s="7"/>
      <c r="V287" s="7"/>
      <c r="W287" s="7"/>
    </row>
    <row r="288" spans="10:23" s="3" customFormat="1">
      <c r="J288" s="2"/>
      <c r="K288" s="7"/>
      <c r="L288" s="7"/>
      <c r="M288" s="2"/>
      <c r="N288" s="1"/>
      <c r="O288" s="2"/>
      <c r="P288" s="1"/>
      <c r="Q288" s="7"/>
      <c r="R288" s="7"/>
      <c r="S288" s="7"/>
      <c r="T288" s="1"/>
      <c r="U288" s="7"/>
      <c r="V288" s="7"/>
      <c r="W288" s="7"/>
    </row>
    <row r="289" spans="10:23" s="3" customFormat="1">
      <c r="J289" s="2"/>
      <c r="K289" s="7"/>
      <c r="L289" s="7"/>
      <c r="M289" s="2"/>
      <c r="N289" s="1"/>
      <c r="O289" s="2"/>
      <c r="P289" s="1"/>
      <c r="Q289" s="7"/>
      <c r="R289" s="7"/>
      <c r="S289" s="7"/>
      <c r="T289" s="1"/>
      <c r="U289" s="7"/>
      <c r="V289" s="7"/>
      <c r="W289" s="7"/>
    </row>
    <row r="290" spans="10:23" s="3" customFormat="1">
      <c r="J290" s="2"/>
      <c r="K290" s="7"/>
      <c r="L290" s="7"/>
      <c r="M290" s="2"/>
      <c r="N290" s="1"/>
      <c r="O290" s="2"/>
      <c r="P290" s="1"/>
      <c r="Q290" s="7"/>
      <c r="R290" s="7"/>
      <c r="S290" s="7"/>
      <c r="T290" s="1"/>
      <c r="U290" s="7"/>
      <c r="V290" s="7"/>
      <c r="W290" s="7"/>
    </row>
    <row r="291" spans="10:23" s="3" customFormat="1">
      <c r="J291" s="2"/>
      <c r="K291" s="7"/>
      <c r="L291" s="7"/>
      <c r="M291" s="2"/>
      <c r="N291" s="1"/>
      <c r="O291" s="2"/>
      <c r="P291" s="1"/>
      <c r="Q291" s="7"/>
      <c r="R291" s="7"/>
      <c r="S291" s="7"/>
      <c r="T291" s="1"/>
      <c r="U291" s="7"/>
      <c r="V291" s="7"/>
      <c r="W291" s="7"/>
    </row>
    <row r="292" spans="10:23" s="3" customFormat="1">
      <c r="J292" s="2"/>
      <c r="K292" s="7"/>
      <c r="L292" s="7"/>
      <c r="M292" s="2"/>
      <c r="N292" s="1"/>
      <c r="O292" s="2"/>
      <c r="P292" s="1"/>
      <c r="Q292" s="7"/>
      <c r="R292" s="7"/>
      <c r="S292" s="7"/>
      <c r="T292" s="1"/>
      <c r="U292" s="7"/>
      <c r="V292" s="7"/>
      <c r="W292" s="7"/>
    </row>
    <row r="293" spans="10:23" s="3" customFormat="1">
      <c r="J293" s="2"/>
      <c r="K293" s="7"/>
      <c r="L293" s="7"/>
      <c r="M293" s="2"/>
      <c r="N293" s="1"/>
      <c r="O293" s="2"/>
      <c r="P293" s="1"/>
      <c r="Q293" s="7"/>
      <c r="R293" s="7"/>
      <c r="S293" s="7"/>
      <c r="T293" s="1"/>
      <c r="U293" s="7"/>
      <c r="V293" s="7"/>
      <c r="W293" s="7"/>
    </row>
    <row r="294" spans="10:23" s="3" customFormat="1">
      <c r="J294" s="2"/>
      <c r="K294" s="7"/>
      <c r="L294" s="7"/>
      <c r="M294" s="2"/>
      <c r="N294" s="1"/>
      <c r="O294" s="2"/>
      <c r="P294" s="1"/>
      <c r="Q294" s="7"/>
      <c r="R294" s="7"/>
      <c r="S294" s="7"/>
      <c r="T294" s="1"/>
      <c r="U294" s="7"/>
      <c r="V294" s="7"/>
      <c r="W294" s="7"/>
    </row>
    <row r="295" spans="10:23" s="3" customFormat="1">
      <c r="J295" s="2"/>
      <c r="K295" s="7"/>
      <c r="L295" s="7"/>
      <c r="M295" s="2"/>
      <c r="N295" s="1"/>
      <c r="O295" s="2"/>
      <c r="P295" s="1"/>
      <c r="Q295" s="7"/>
      <c r="R295" s="7"/>
      <c r="S295" s="7"/>
      <c r="T295" s="1"/>
      <c r="U295" s="7"/>
      <c r="V295" s="7"/>
      <c r="W295" s="7"/>
    </row>
    <row r="296" spans="10:23" s="3" customFormat="1">
      <c r="J296" s="2"/>
      <c r="K296" s="7"/>
      <c r="L296" s="7"/>
      <c r="M296" s="2"/>
      <c r="N296" s="1"/>
      <c r="O296" s="2"/>
      <c r="P296" s="1"/>
      <c r="Q296" s="7"/>
      <c r="R296" s="7"/>
      <c r="S296" s="7"/>
      <c r="T296" s="1"/>
      <c r="U296" s="7"/>
      <c r="V296" s="7"/>
      <c r="W296" s="7"/>
    </row>
    <row r="297" spans="10:23" s="3" customFormat="1">
      <c r="J297" s="2"/>
      <c r="K297" s="7"/>
      <c r="L297" s="7"/>
      <c r="M297" s="2"/>
      <c r="N297" s="1"/>
      <c r="O297" s="2"/>
      <c r="P297" s="1"/>
      <c r="Q297" s="7"/>
      <c r="R297" s="7"/>
      <c r="S297" s="7"/>
      <c r="T297" s="1"/>
      <c r="U297" s="7"/>
      <c r="V297" s="7"/>
      <c r="W297" s="7"/>
    </row>
    <row r="298" spans="10:23" s="3" customFormat="1">
      <c r="J298" s="2"/>
      <c r="K298" s="7"/>
      <c r="L298" s="7"/>
      <c r="M298" s="2"/>
      <c r="N298" s="1"/>
      <c r="O298" s="2"/>
      <c r="P298" s="1"/>
      <c r="Q298" s="7"/>
      <c r="R298" s="7"/>
      <c r="S298" s="7"/>
      <c r="T298" s="1"/>
      <c r="U298" s="7"/>
      <c r="V298" s="7"/>
      <c r="W298" s="7"/>
    </row>
    <row r="299" spans="10:23" s="3" customFormat="1">
      <c r="J299" s="2"/>
      <c r="K299" s="7"/>
      <c r="L299" s="7"/>
      <c r="M299" s="2"/>
      <c r="N299" s="1"/>
      <c r="O299" s="2"/>
      <c r="P299" s="1"/>
      <c r="Q299" s="7"/>
      <c r="R299" s="7"/>
      <c r="S299" s="7"/>
      <c r="T299" s="1"/>
      <c r="U299" s="7"/>
      <c r="V299" s="7"/>
      <c r="W299" s="7"/>
    </row>
    <row r="300" spans="10:23" s="3" customFormat="1">
      <c r="J300" s="2"/>
      <c r="K300" s="7"/>
      <c r="L300" s="7"/>
      <c r="M300" s="2"/>
      <c r="N300" s="1"/>
      <c r="O300" s="2"/>
      <c r="P300" s="1"/>
      <c r="Q300" s="7"/>
      <c r="R300" s="7"/>
      <c r="S300" s="7"/>
      <c r="T300" s="1"/>
      <c r="U300" s="7"/>
      <c r="V300" s="7"/>
      <c r="W300" s="7"/>
    </row>
    <row r="301" spans="10:23" s="3" customFormat="1">
      <c r="J301" s="2"/>
      <c r="K301" s="7"/>
      <c r="L301" s="7"/>
      <c r="M301" s="2"/>
      <c r="N301" s="1"/>
      <c r="O301" s="2"/>
      <c r="P301" s="1"/>
      <c r="Q301" s="7"/>
      <c r="R301" s="7"/>
      <c r="S301" s="7"/>
      <c r="T301" s="1"/>
      <c r="U301" s="7"/>
      <c r="V301" s="7"/>
      <c r="W301" s="7"/>
    </row>
    <row r="302" spans="10:23" s="3" customFormat="1">
      <c r="J302" s="2"/>
      <c r="K302" s="7"/>
      <c r="L302" s="7"/>
      <c r="M302" s="2"/>
      <c r="N302" s="1"/>
      <c r="O302" s="2"/>
      <c r="P302" s="1"/>
      <c r="Q302" s="7"/>
      <c r="R302" s="7"/>
      <c r="S302" s="7"/>
      <c r="T302" s="1"/>
      <c r="U302" s="7"/>
      <c r="V302" s="7"/>
      <c r="W302" s="7"/>
    </row>
    <row r="303" spans="10:23" s="3" customFormat="1">
      <c r="J303" s="2"/>
      <c r="K303" s="7"/>
      <c r="L303" s="7"/>
      <c r="M303" s="2"/>
      <c r="N303" s="1"/>
      <c r="O303" s="2"/>
      <c r="P303" s="1"/>
      <c r="Q303" s="7"/>
      <c r="R303" s="7"/>
      <c r="S303" s="7"/>
      <c r="T303" s="1"/>
      <c r="U303" s="7"/>
      <c r="V303" s="7"/>
      <c r="W303" s="7"/>
    </row>
    <row r="304" spans="10:23" s="3" customFormat="1">
      <c r="J304" s="2"/>
      <c r="K304" s="7"/>
      <c r="L304" s="7"/>
      <c r="M304" s="2"/>
      <c r="N304" s="1"/>
      <c r="O304" s="2"/>
      <c r="P304" s="1"/>
      <c r="Q304" s="7"/>
      <c r="R304" s="7"/>
      <c r="S304" s="7"/>
      <c r="T304" s="1"/>
      <c r="U304" s="7"/>
      <c r="V304" s="7"/>
      <c r="W304" s="7"/>
    </row>
    <row r="305" spans="10:23" s="3" customFormat="1">
      <c r="J305" s="2"/>
      <c r="K305" s="7"/>
      <c r="L305" s="7"/>
      <c r="M305" s="2"/>
      <c r="N305" s="1"/>
      <c r="O305" s="2"/>
      <c r="P305" s="1"/>
      <c r="Q305" s="7"/>
      <c r="R305" s="7"/>
      <c r="S305" s="7"/>
      <c r="T305" s="1"/>
      <c r="U305" s="7"/>
      <c r="V305" s="7"/>
      <c r="W305" s="7"/>
    </row>
    <row r="306" spans="10:23" s="3" customFormat="1">
      <c r="J306" s="2"/>
      <c r="K306" s="7"/>
      <c r="L306" s="7"/>
      <c r="M306" s="2"/>
      <c r="N306" s="1"/>
      <c r="O306" s="2"/>
      <c r="P306" s="1"/>
      <c r="Q306" s="7"/>
      <c r="R306" s="7"/>
      <c r="S306" s="7"/>
      <c r="T306" s="1"/>
      <c r="U306" s="7"/>
      <c r="V306" s="7"/>
      <c r="W306" s="7"/>
    </row>
    <row r="307" spans="10:23" s="3" customFormat="1">
      <c r="J307" s="2"/>
      <c r="K307" s="7"/>
      <c r="L307" s="7"/>
      <c r="M307" s="2"/>
      <c r="N307" s="1"/>
      <c r="O307" s="2"/>
      <c r="P307" s="1"/>
      <c r="Q307" s="7"/>
      <c r="R307" s="7"/>
      <c r="S307" s="7"/>
      <c r="T307" s="1"/>
      <c r="U307" s="7"/>
      <c r="V307" s="7"/>
      <c r="W307" s="7"/>
    </row>
    <row r="308" spans="10:23" s="3" customFormat="1">
      <c r="J308" s="2"/>
      <c r="K308" s="7"/>
      <c r="L308" s="7"/>
      <c r="M308" s="2"/>
      <c r="N308" s="1"/>
      <c r="O308" s="2"/>
      <c r="P308" s="1"/>
      <c r="Q308" s="7"/>
      <c r="R308" s="7"/>
      <c r="S308" s="7"/>
      <c r="T308" s="1"/>
      <c r="U308" s="7"/>
      <c r="V308" s="7"/>
      <c r="W308" s="7"/>
    </row>
    <row r="309" spans="10:23" s="3" customFormat="1">
      <c r="J309" s="2"/>
      <c r="K309" s="7"/>
      <c r="L309" s="7"/>
      <c r="M309" s="2"/>
      <c r="N309" s="1"/>
      <c r="O309" s="2"/>
      <c r="P309" s="1"/>
      <c r="Q309" s="7"/>
      <c r="R309" s="7"/>
      <c r="S309" s="7"/>
      <c r="T309" s="1"/>
      <c r="U309" s="7"/>
      <c r="V309" s="7"/>
      <c r="W309" s="7"/>
    </row>
    <row r="310" spans="10:23" s="3" customFormat="1">
      <c r="J310" s="2"/>
      <c r="K310" s="7"/>
      <c r="L310" s="7"/>
      <c r="M310" s="2"/>
      <c r="N310" s="1"/>
      <c r="O310" s="2"/>
      <c r="P310" s="1"/>
      <c r="Q310" s="7"/>
      <c r="R310" s="7"/>
      <c r="S310" s="7"/>
      <c r="T310" s="1"/>
      <c r="U310" s="7"/>
      <c r="V310" s="7"/>
      <c r="W310" s="7"/>
    </row>
    <row r="311" spans="10:23" s="3" customFormat="1">
      <c r="J311" s="2"/>
      <c r="K311" s="7"/>
      <c r="L311" s="7"/>
      <c r="M311" s="2"/>
      <c r="N311" s="1"/>
      <c r="O311" s="2"/>
      <c r="P311" s="1"/>
      <c r="Q311" s="7"/>
      <c r="R311" s="7"/>
      <c r="S311" s="7"/>
      <c r="T311" s="1"/>
      <c r="U311" s="7"/>
      <c r="V311" s="7"/>
      <c r="W311" s="7"/>
    </row>
    <row r="312" spans="10:23" s="3" customFormat="1">
      <c r="J312" s="2"/>
      <c r="K312" s="7"/>
      <c r="L312" s="7"/>
      <c r="M312" s="2"/>
      <c r="N312" s="1"/>
      <c r="O312" s="2"/>
      <c r="P312" s="1"/>
      <c r="Q312" s="7"/>
      <c r="R312" s="7"/>
      <c r="S312" s="7"/>
      <c r="T312" s="1"/>
      <c r="U312" s="7"/>
      <c r="V312" s="7"/>
      <c r="W312" s="7"/>
    </row>
    <row r="313" spans="10:23" s="3" customFormat="1">
      <c r="J313" s="2"/>
      <c r="K313" s="7"/>
      <c r="L313" s="7"/>
      <c r="M313" s="2"/>
      <c r="N313" s="1"/>
      <c r="O313" s="2"/>
      <c r="P313" s="1"/>
      <c r="Q313" s="7"/>
      <c r="R313" s="7"/>
      <c r="S313" s="7"/>
      <c r="T313" s="1"/>
      <c r="U313" s="7"/>
      <c r="V313" s="7"/>
      <c r="W313" s="7"/>
    </row>
    <row r="314" spans="10:23" s="3" customFormat="1">
      <c r="J314" s="2"/>
      <c r="K314" s="7"/>
      <c r="L314" s="7"/>
      <c r="M314" s="2"/>
      <c r="N314" s="1"/>
      <c r="O314" s="2"/>
      <c r="P314" s="1"/>
      <c r="Q314" s="7"/>
      <c r="R314" s="7"/>
      <c r="S314" s="7"/>
      <c r="T314" s="1"/>
      <c r="U314" s="7"/>
      <c r="V314" s="7"/>
      <c r="W314" s="7"/>
    </row>
    <row r="315" spans="10:23" s="3" customFormat="1">
      <c r="J315" s="2"/>
      <c r="K315" s="7"/>
      <c r="L315" s="7"/>
      <c r="M315" s="2"/>
      <c r="N315" s="1"/>
      <c r="O315" s="2"/>
      <c r="P315" s="1"/>
      <c r="Q315" s="7"/>
      <c r="R315" s="7"/>
      <c r="S315" s="7"/>
      <c r="T315" s="1"/>
      <c r="U315" s="7"/>
      <c r="V315" s="7"/>
      <c r="W315" s="7"/>
    </row>
    <row r="316" spans="10:23" s="3" customFormat="1">
      <c r="J316" s="2"/>
      <c r="K316" s="7"/>
      <c r="L316" s="7"/>
      <c r="M316" s="2"/>
      <c r="N316" s="1"/>
      <c r="O316" s="2"/>
      <c r="P316" s="1"/>
      <c r="Q316" s="7"/>
      <c r="R316" s="7"/>
      <c r="S316" s="7"/>
      <c r="T316" s="1"/>
      <c r="U316" s="7"/>
      <c r="V316" s="7"/>
      <c r="W316" s="7"/>
    </row>
    <row r="317" spans="10:23" s="3" customFormat="1">
      <c r="J317" s="2"/>
      <c r="K317" s="7"/>
      <c r="L317" s="7"/>
      <c r="M317" s="2"/>
      <c r="N317" s="1"/>
      <c r="O317" s="2"/>
      <c r="P317" s="1"/>
      <c r="Q317" s="7"/>
      <c r="R317" s="7"/>
      <c r="S317" s="7"/>
      <c r="T317" s="1"/>
      <c r="U317" s="7"/>
      <c r="V317" s="7"/>
      <c r="W317" s="7"/>
    </row>
    <row r="318" spans="10:23" s="3" customFormat="1">
      <c r="J318" s="2"/>
      <c r="K318" s="7"/>
      <c r="L318" s="7"/>
      <c r="M318" s="2"/>
      <c r="N318" s="1"/>
      <c r="O318" s="2"/>
      <c r="P318" s="1"/>
      <c r="Q318" s="7"/>
      <c r="R318" s="7"/>
      <c r="S318" s="7"/>
      <c r="T318" s="1"/>
      <c r="U318" s="7"/>
      <c r="V318" s="7"/>
      <c r="W318" s="7"/>
    </row>
    <row r="319" spans="10:23" s="3" customFormat="1">
      <c r="J319" s="2"/>
      <c r="K319" s="7"/>
      <c r="L319" s="7"/>
      <c r="M319" s="2"/>
      <c r="N319" s="1"/>
      <c r="O319" s="2"/>
      <c r="P319" s="1"/>
      <c r="Q319" s="7"/>
      <c r="R319" s="7"/>
      <c r="S319" s="7"/>
      <c r="T319" s="1"/>
      <c r="U319" s="7"/>
      <c r="V319" s="7"/>
      <c r="W319" s="7"/>
    </row>
    <row r="320" spans="10:23" s="3" customFormat="1">
      <c r="J320" s="2"/>
      <c r="K320" s="7"/>
      <c r="L320" s="7"/>
      <c r="M320" s="2"/>
      <c r="N320" s="1"/>
      <c r="O320" s="2"/>
      <c r="P320" s="1"/>
      <c r="Q320" s="7"/>
      <c r="R320" s="7"/>
      <c r="S320" s="7"/>
      <c r="T320" s="1"/>
      <c r="U320" s="7"/>
      <c r="V320" s="7"/>
      <c r="W320" s="7"/>
    </row>
    <row r="321" spans="10:23" s="3" customFormat="1">
      <c r="J321" s="2"/>
      <c r="K321" s="7"/>
      <c r="L321" s="7"/>
      <c r="M321" s="2"/>
      <c r="N321" s="1"/>
      <c r="O321" s="2"/>
      <c r="P321" s="1"/>
      <c r="Q321" s="7"/>
      <c r="R321" s="7"/>
      <c r="S321" s="7"/>
      <c r="T321" s="1"/>
      <c r="U321" s="7"/>
      <c r="V321" s="7"/>
      <c r="W321" s="7"/>
    </row>
    <row r="322" spans="10:23" s="3" customFormat="1">
      <c r="J322" s="2"/>
      <c r="K322" s="7"/>
      <c r="L322" s="7"/>
      <c r="M322" s="2"/>
      <c r="N322" s="1"/>
      <c r="O322" s="2"/>
      <c r="P322" s="1"/>
      <c r="Q322" s="7"/>
      <c r="R322" s="7"/>
      <c r="S322" s="7"/>
      <c r="T322" s="1"/>
      <c r="U322" s="7"/>
      <c r="V322" s="7"/>
      <c r="W322" s="7"/>
    </row>
    <row r="323" spans="10:23" s="3" customFormat="1">
      <c r="J323" s="2"/>
      <c r="K323" s="7"/>
      <c r="L323" s="7"/>
      <c r="M323" s="2"/>
      <c r="N323" s="1"/>
      <c r="O323" s="2"/>
      <c r="P323" s="1"/>
      <c r="Q323" s="7"/>
      <c r="R323" s="7"/>
      <c r="S323" s="7"/>
      <c r="T323" s="1"/>
      <c r="U323" s="7"/>
      <c r="V323" s="7"/>
      <c r="W323" s="7"/>
    </row>
    <row r="324" spans="10:23" s="3" customFormat="1">
      <c r="J324" s="2"/>
      <c r="K324" s="7"/>
      <c r="L324" s="7"/>
      <c r="M324" s="2"/>
      <c r="N324" s="1"/>
      <c r="O324" s="2"/>
      <c r="P324" s="1"/>
      <c r="Q324" s="7"/>
      <c r="R324" s="7"/>
      <c r="S324" s="7"/>
      <c r="T324" s="1"/>
      <c r="U324" s="7"/>
      <c r="V324" s="7"/>
      <c r="W324" s="7"/>
    </row>
    <row r="325" spans="10:23" s="3" customFormat="1">
      <c r="J325" s="2"/>
      <c r="K325" s="7"/>
      <c r="L325" s="7"/>
      <c r="M325" s="2"/>
      <c r="N325" s="1"/>
      <c r="O325" s="2"/>
      <c r="P325" s="1"/>
      <c r="Q325" s="7"/>
      <c r="R325" s="7"/>
      <c r="S325" s="7"/>
      <c r="T325" s="1"/>
      <c r="U325" s="7"/>
      <c r="V325" s="7"/>
      <c r="W325" s="7"/>
    </row>
    <row r="326" spans="10:23" s="3" customFormat="1">
      <c r="J326" s="2"/>
      <c r="K326" s="7"/>
      <c r="L326" s="7"/>
      <c r="M326" s="2"/>
      <c r="N326" s="1"/>
      <c r="O326" s="2"/>
      <c r="P326" s="1"/>
      <c r="Q326" s="7"/>
      <c r="R326" s="7"/>
      <c r="S326" s="7"/>
      <c r="T326" s="1"/>
      <c r="U326" s="7"/>
      <c r="V326" s="7"/>
      <c r="W326" s="7"/>
    </row>
    <row r="327" spans="10:23" s="3" customFormat="1">
      <c r="J327" s="2"/>
      <c r="K327" s="7"/>
      <c r="L327" s="7"/>
      <c r="M327" s="2"/>
      <c r="N327" s="1"/>
      <c r="O327" s="2"/>
      <c r="P327" s="1"/>
      <c r="Q327" s="7"/>
      <c r="R327" s="7"/>
      <c r="S327" s="7"/>
      <c r="T327" s="1"/>
      <c r="U327" s="7"/>
      <c r="V327" s="7"/>
      <c r="W327" s="7"/>
    </row>
    <row r="328" spans="10:23" s="3" customFormat="1">
      <c r="J328" s="2"/>
      <c r="K328" s="7"/>
      <c r="L328" s="7"/>
      <c r="M328" s="2"/>
      <c r="N328" s="1"/>
      <c r="O328" s="2"/>
      <c r="P328" s="1"/>
      <c r="Q328" s="7"/>
      <c r="R328" s="7"/>
      <c r="S328" s="7"/>
      <c r="T328" s="1"/>
      <c r="U328" s="7"/>
      <c r="V328" s="7"/>
      <c r="W328" s="7"/>
    </row>
    <row r="329" spans="10:23" s="3" customFormat="1">
      <c r="J329" s="2"/>
      <c r="K329" s="7"/>
      <c r="L329" s="7"/>
      <c r="M329" s="2"/>
      <c r="N329" s="1"/>
      <c r="O329" s="2"/>
      <c r="P329" s="1"/>
      <c r="Q329" s="7"/>
      <c r="R329" s="7"/>
      <c r="S329" s="7"/>
      <c r="T329" s="1"/>
      <c r="U329" s="7"/>
      <c r="V329" s="7"/>
      <c r="W329" s="7"/>
    </row>
    <row r="330" spans="10:23" s="3" customFormat="1">
      <c r="J330" s="2"/>
      <c r="K330" s="7"/>
      <c r="L330" s="7"/>
      <c r="M330" s="2"/>
      <c r="N330" s="1"/>
      <c r="O330" s="2"/>
      <c r="P330" s="1"/>
      <c r="Q330" s="7"/>
      <c r="R330" s="7"/>
      <c r="S330" s="7"/>
      <c r="T330" s="1"/>
      <c r="U330" s="7"/>
      <c r="V330" s="7"/>
      <c r="W330" s="7"/>
    </row>
    <row r="331" spans="10:23" s="3" customFormat="1">
      <c r="J331" s="2"/>
      <c r="K331" s="7"/>
      <c r="L331" s="7"/>
      <c r="M331" s="2"/>
      <c r="N331" s="1"/>
      <c r="O331" s="2"/>
      <c r="P331" s="1"/>
      <c r="Q331" s="7"/>
      <c r="R331" s="7"/>
      <c r="S331" s="7"/>
      <c r="T331" s="1"/>
      <c r="U331" s="7"/>
      <c r="V331" s="7"/>
      <c r="W331" s="7"/>
    </row>
    <row r="332" spans="10:23" s="3" customFormat="1">
      <c r="J332" s="2"/>
      <c r="K332" s="7"/>
      <c r="L332" s="7"/>
      <c r="M332" s="2"/>
      <c r="N332" s="1"/>
      <c r="O332" s="2"/>
      <c r="P332" s="1"/>
      <c r="Q332" s="7"/>
      <c r="R332" s="7"/>
      <c r="S332" s="7"/>
      <c r="T332" s="1"/>
      <c r="U332" s="7"/>
      <c r="V332" s="7"/>
      <c r="W332" s="7"/>
    </row>
    <row r="333" spans="10:23" s="3" customFormat="1">
      <c r="J333" s="2"/>
      <c r="K333" s="7"/>
      <c r="L333" s="7"/>
      <c r="M333" s="2"/>
      <c r="N333" s="1"/>
      <c r="O333" s="2"/>
      <c r="P333" s="1"/>
      <c r="Q333" s="7"/>
      <c r="R333" s="7"/>
      <c r="S333" s="7"/>
      <c r="T333" s="1"/>
      <c r="U333" s="7"/>
      <c r="V333" s="7"/>
      <c r="W333" s="7"/>
    </row>
    <row r="334" spans="10:23" s="3" customFormat="1">
      <c r="J334" s="2"/>
      <c r="K334" s="7"/>
      <c r="L334" s="7"/>
      <c r="M334" s="2"/>
      <c r="N334" s="1"/>
      <c r="O334" s="2"/>
      <c r="P334" s="1"/>
      <c r="Q334" s="7"/>
      <c r="R334" s="7"/>
      <c r="S334" s="7"/>
      <c r="T334" s="1"/>
      <c r="U334" s="7"/>
      <c r="V334" s="7"/>
      <c r="W334" s="7"/>
    </row>
    <row r="335" spans="10:23" s="3" customFormat="1">
      <c r="J335" s="2"/>
      <c r="K335" s="7"/>
      <c r="L335" s="7"/>
      <c r="M335" s="2"/>
      <c r="N335" s="1"/>
      <c r="O335" s="2"/>
      <c r="P335" s="1"/>
      <c r="Q335" s="7"/>
      <c r="R335" s="7"/>
      <c r="S335" s="7"/>
      <c r="T335" s="1"/>
      <c r="U335" s="7"/>
      <c r="V335" s="7"/>
      <c r="W335" s="7"/>
    </row>
    <row r="336" spans="10:23" s="3" customFormat="1">
      <c r="J336" s="2"/>
      <c r="K336" s="7"/>
      <c r="L336" s="7"/>
      <c r="M336" s="2"/>
      <c r="N336" s="1"/>
      <c r="O336" s="2"/>
      <c r="P336" s="1"/>
      <c r="Q336" s="7"/>
      <c r="R336" s="7"/>
      <c r="S336" s="7"/>
      <c r="T336" s="1"/>
      <c r="U336" s="7"/>
      <c r="V336" s="7"/>
      <c r="W336" s="7"/>
    </row>
    <row r="337" spans="10:23" s="3" customFormat="1">
      <c r="J337" s="2"/>
      <c r="K337" s="7"/>
      <c r="L337" s="7"/>
      <c r="M337" s="2"/>
      <c r="N337" s="1"/>
      <c r="O337" s="2"/>
      <c r="P337" s="1"/>
      <c r="Q337" s="7"/>
      <c r="R337" s="7"/>
      <c r="S337" s="7"/>
      <c r="T337" s="1"/>
      <c r="U337" s="7"/>
      <c r="V337" s="7"/>
      <c r="W337" s="7"/>
    </row>
    <row r="338" spans="10:23" s="3" customFormat="1">
      <c r="J338" s="2"/>
      <c r="K338" s="7"/>
      <c r="L338" s="7"/>
      <c r="M338" s="2"/>
      <c r="N338" s="1"/>
      <c r="O338" s="2"/>
      <c r="P338" s="1"/>
      <c r="Q338" s="7"/>
      <c r="R338" s="7"/>
      <c r="S338" s="7"/>
      <c r="T338" s="1"/>
      <c r="U338" s="7"/>
      <c r="V338" s="7"/>
      <c r="W338" s="7"/>
    </row>
    <row r="339" spans="10:23" s="3" customFormat="1">
      <c r="J339" s="2"/>
      <c r="K339" s="7"/>
      <c r="L339" s="7"/>
      <c r="M339" s="2"/>
      <c r="N339" s="1"/>
      <c r="O339" s="2"/>
      <c r="P339" s="1"/>
      <c r="Q339" s="7"/>
      <c r="R339" s="7"/>
      <c r="S339" s="7"/>
      <c r="T339" s="1"/>
      <c r="U339" s="7"/>
      <c r="V339" s="7"/>
      <c r="W339" s="7"/>
    </row>
    <row r="340" spans="10:23" s="3" customFormat="1">
      <c r="J340" s="2"/>
      <c r="K340" s="7"/>
      <c r="L340" s="7"/>
      <c r="M340" s="2"/>
      <c r="N340" s="1"/>
      <c r="O340" s="2"/>
      <c r="P340" s="1"/>
      <c r="Q340" s="7"/>
      <c r="R340" s="7"/>
      <c r="S340" s="7"/>
      <c r="T340" s="1"/>
      <c r="U340" s="7"/>
      <c r="V340" s="7"/>
      <c r="W340" s="7"/>
    </row>
    <row r="341" spans="10:23" s="3" customFormat="1">
      <c r="J341" s="2"/>
      <c r="K341" s="7"/>
      <c r="L341" s="7"/>
      <c r="M341" s="2"/>
      <c r="N341" s="1"/>
      <c r="O341" s="2"/>
      <c r="P341" s="1"/>
      <c r="Q341" s="7"/>
      <c r="R341" s="7"/>
      <c r="S341" s="7"/>
      <c r="T341" s="1"/>
      <c r="U341" s="7"/>
      <c r="V341" s="7"/>
      <c r="W341" s="7"/>
    </row>
    <row r="342" spans="10:23" s="3" customFormat="1">
      <c r="J342" s="2"/>
      <c r="K342" s="7"/>
      <c r="L342" s="7"/>
      <c r="M342" s="2"/>
      <c r="N342" s="1"/>
      <c r="O342" s="2"/>
      <c r="P342" s="1"/>
      <c r="Q342" s="7"/>
      <c r="R342" s="7"/>
      <c r="S342" s="7"/>
      <c r="T342" s="1"/>
      <c r="U342" s="7"/>
      <c r="V342" s="7"/>
      <c r="W342" s="7"/>
    </row>
    <row r="343" spans="10:23" s="3" customFormat="1">
      <c r="J343" s="2"/>
      <c r="K343" s="7"/>
      <c r="L343" s="7"/>
      <c r="M343" s="2"/>
      <c r="N343" s="1"/>
      <c r="O343" s="2"/>
      <c r="P343" s="1"/>
      <c r="Q343" s="7"/>
      <c r="R343" s="7"/>
      <c r="S343" s="7"/>
      <c r="T343" s="1"/>
      <c r="U343" s="7"/>
      <c r="V343" s="7"/>
      <c r="W343" s="7"/>
    </row>
    <row r="344" spans="10:23" s="3" customFormat="1">
      <c r="J344" s="2"/>
      <c r="K344" s="7"/>
      <c r="L344" s="7"/>
      <c r="M344" s="2"/>
      <c r="N344" s="1"/>
      <c r="O344" s="2"/>
      <c r="P344" s="1"/>
      <c r="Q344" s="7"/>
      <c r="R344" s="7"/>
      <c r="S344" s="7"/>
      <c r="T344" s="1"/>
      <c r="U344" s="7"/>
      <c r="V344" s="7"/>
      <c r="W344" s="7"/>
    </row>
    <row r="345" spans="10:23" s="3" customFormat="1">
      <c r="J345" s="2"/>
      <c r="K345" s="7"/>
      <c r="L345" s="7"/>
      <c r="M345" s="2"/>
      <c r="N345" s="1"/>
      <c r="O345" s="2"/>
      <c r="P345" s="1"/>
      <c r="Q345" s="7"/>
      <c r="R345" s="7"/>
      <c r="S345" s="7"/>
      <c r="T345" s="1"/>
      <c r="U345" s="7"/>
      <c r="V345" s="7"/>
      <c r="W345" s="7"/>
    </row>
    <row r="346" spans="10:23" s="3" customFormat="1">
      <c r="J346" s="2"/>
      <c r="K346" s="7"/>
      <c r="L346" s="7"/>
      <c r="M346" s="2"/>
      <c r="N346" s="1"/>
      <c r="O346" s="2"/>
      <c r="P346" s="1"/>
      <c r="Q346" s="7"/>
      <c r="R346" s="7"/>
      <c r="S346" s="7"/>
      <c r="T346" s="1"/>
      <c r="U346" s="7"/>
      <c r="V346" s="7"/>
      <c r="W346" s="7"/>
    </row>
    <row r="347" spans="10:23" s="3" customFormat="1">
      <c r="J347" s="2"/>
      <c r="K347" s="7"/>
      <c r="L347" s="7"/>
      <c r="M347" s="2"/>
      <c r="N347" s="1"/>
      <c r="O347" s="2"/>
      <c r="P347" s="1"/>
      <c r="Q347" s="7"/>
      <c r="R347" s="7"/>
      <c r="S347" s="7"/>
      <c r="T347" s="1"/>
      <c r="U347" s="7"/>
      <c r="V347" s="7"/>
      <c r="W347" s="7"/>
    </row>
    <row r="348" spans="10:23" s="3" customFormat="1">
      <c r="J348" s="2"/>
      <c r="K348" s="7"/>
      <c r="L348" s="7"/>
      <c r="M348" s="2"/>
      <c r="N348" s="1"/>
      <c r="O348" s="2"/>
      <c r="P348" s="1"/>
      <c r="Q348" s="7"/>
      <c r="R348" s="7"/>
      <c r="S348" s="7"/>
      <c r="T348" s="1"/>
      <c r="U348" s="7"/>
      <c r="V348" s="7"/>
      <c r="W348" s="7"/>
    </row>
    <row r="349" spans="10:23" s="3" customFormat="1">
      <c r="J349" s="2"/>
      <c r="K349" s="7"/>
      <c r="L349" s="7"/>
      <c r="M349" s="2"/>
      <c r="N349" s="1"/>
      <c r="O349" s="2"/>
      <c r="P349" s="1"/>
      <c r="Q349" s="7"/>
      <c r="R349" s="7"/>
      <c r="S349" s="7"/>
      <c r="T349" s="1"/>
      <c r="U349" s="7"/>
      <c r="V349" s="7"/>
      <c r="W349" s="7"/>
    </row>
    <row r="350" spans="10:23" s="3" customFormat="1">
      <c r="J350" s="2"/>
      <c r="K350" s="7"/>
      <c r="L350" s="7"/>
      <c r="M350" s="2"/>
      <c r="N350" s="1"/>
      <c r="O350" s="2"/>
      <c r="P350" s="1"/>
      <c r="Q350" s="7"/>
      <c r="R350" s="7"/>
      <c r="S350" s="7"/>
      <c r="T350" s="1"/>
      <c r="U350" s="7"/>
      <c r="V350" s="7"/>
      <c r="W350" s="7"/>
    </row>
    <row r="351" spans="10:23" s="3" customFormat="1">
      <c r="J351" s="2"/>
      <c r="K351" s="7"/>
      <c r="L351" s="7"/>
      <c r="M351" s="2"/>
      <c r="N351" s="1"/>
      <c r="O351" s="2"/>
      <c r="P351" s="1"/>
      <c r="Q351" s="7"/>
      <c r="R351" s="7"/>
      <c r="S351" s="7"/>
      <c r="T351" s="1"/>
      <c r="U351" s="7"/>
      <c r="V351" s="7"/>
      <c r="W351" s="7"/>
    </row>
    <row r="352" spans="10:23" s="3" customFormat="1">
      <c r="J352" s="2"/>
      <c r="K352" s="7"/>
      <c r="L352" s="7"/>
      <c r="M352" s="2"/>
      <c r="N352" s="1"/>
      <c r="O352" s="2"/>
      <c r="P352" s="1"/>
      <c r="Q352" s="7"/>
      <c r="R352" s="7"/>
      <c r="S352" s="7"/>
      <c r="T352" s="1"/>
      <c r="U352" s="7"/>
      <c r="V352" s="7"/>
      <c r="W352" s="7"/>
    </row>
    <row r="353" spans="10:23" s="3" customFormat="1">
      <c r="J353" s="2"/>
      <c r="K353" s="7"/>
      <c r="L353" s="7"/>
      <c r="M353" s="2"/>
      <c r="N353" s="1"/>
      <c r="O353" s="2"/>
      <c r="P353" s="1"/>
      <c r="Q353" s="7"/>
      <c r="R353" s="7"/>
      <c r="S353" s="7"/>
      <c r="T353" s="1"/>
      <c r="U353" s="7"/>
      <c r="V353" s="7"/>
      <c r="W353" s="7"/>
    </row>
    <row r="354" spans="10:23" s="3" customFormat="1">
      <c r="J354" s="2"/>
      <c r="K354" s="7"/>
      <c r="L354" s="7"/>
      <c r="M354" s="2"/>
      <c r="N354" s="1"/>
      <c r="O354" s="2"/>
      <c r="P354" s="1"/>
      <c r="Q354" s="7"/>
      <c r="R354" s="7"/>
      <c r="S354" s="7"/>
      <c r="T354" s="1"/>
      <c r="U354" s="7"/>
      <c r="V354" s="7"/>
      <c r="W354" s="7"/>
    </row>
    <row r="355" spans="10:23" s="3" customFormat="1">
      <c r="J355" s="2"/>
      <c r="K355" s="7"/>
      <c r="L355" s="7"/>
      <c r="M355" s="2"/>
      <c r="N355" s="1"/>
      <c r="O355" s="2"/>
      <c r="P355" s="1"/>
      <c r="Q355" s="7"/>
      <c r="R355" s="7"/>
      <c r="S355" s="7"/>
      <c r="T355" s="1"/>
      <c r="U355" s="7"/>
      <c r="V355" s="7"/>
      <c r="W355" s="7"/>
    </row>
    <row r="356" spans="10:23" s="3" customFormat="1">
      <c r="J356" s="2"/>
      <c r="K356" s="7"/>
      <c r="L356" s="7"/>
      <c r="M356" s="2"/>
      <c r="N356" s="1"/>
      <c r="O356" s="2"/>
      <c r="P356" s="1"/>
      <c r="Q356" s="7"/>
      <c r="R356" s="7"/>
      <c r="S356" s="7"/>
      <c r="T356" s="1"/>
      <c r="U356" s="7"/>
      <c r="V356" s="7"/>
      <c r="W356" s="7"/>
    </row>
    <row r="357" spans="10:23" s="3" customFormat="1">
      <c r="J357" s="2"/>
      <c r="K357" s="7"/>
      <c r="L357" s="7"/>
      <c r="M357" s="2"/>
      <c r="N357" s="1"/>
      <c r="O357" s="2"/>
      <c r="P357" s="1"/>
      <c r="Q357" s="7"/>
      <c r="R357" s="7"/>
      <c r="S357" s="7"/>
      <c r="T357" s="1"/>
      <c r="U357" s="7"/>
      <c r="V357" s="7"/>
      <c r="W357" s="7"/>
    </row>
    <row r="358" spans="10:23" s="3" customFormat="1">
      <c r="J358" s="2"/>
      <c r="K358" s="7"/>
      <c r="L358" s="7"/>
      <c r="M358" s="2"/>
      <c r="N358" s="1"/>
      <c r="O358" s="2"/>
      <c r="P358" s="1"/>
      <c r="Q358" s="7"/>
      <c r="R358" s="7"/>
      <c r="S358" s="7"/>
      <c r="T358" s="1"/>
      <c r="U358" s="7"/>
      <c r="V358" s="7"/>
      <c r="W358" s="7"/>
    </row>
    <row r="359" spans="10:23" s="3" customFormat="1">
      <c r="J359" s="2"/>
      <c r="K359" s="7"/>
      <c r="L359" s="7"/>
      <c r="M359" s="2"/>
      <c r="N359" s="1"/>
      <c r="O359" s="2"/>
      <c r="P359" s="1"/>
      <c r="Q359" s="7"/>
      <c r="R359" s="7"/>
      <c r="S359" s="7"/>
      <c r="T359" s="1"/>
      <c r="U359" s="7"/>
      <c r="V359" s="7"/>
      <c r="W359" s="7"/>
    </row>
    <row r="360" spans="10:23" s="3" customFormat="1">
      <c r="J360" s="2"/>
      <c r="K360" s="7"/>
      <c r="L360" s="7"/>
      <c r="M360" s="2"/>
      <c r="N360" s="1"/>
      <c r="O360" s="2"/>
      <c r="P360" s="1"/>
      <c r="Q360" s="7"/>
      <c r="R360" s="7"/>
      <c r="S360" s="7"/>
      <c r="T360" s="1"/>
      <c r="U360" s="7"/>
      <c r="V360" s="7"/>
      <c r="W360" s="7"/>
    </row>
    <row r="361" spans="10:23" s="3" customFormat="1">
      <c r="J361" s="2"/>
      <c r="K361" s="7"/>
      <c r="L361" s="7"/>
      <c r="M361" s="2"/>
      <c r="N361" s="1"/>
      <c r="O361" s="2"/>
      <c r="P361" s="1"/>
      <c r="Q361" s="7"/>
      <c r="R361" s="7"/>
      <c r="S361" s="7"/>
      <c r="T361" s="1"/>
      <c r="U361" s="7"/>
      <c r="V361" s="7"/>
      <c r="W361" s="7"/>
    </row>
    <row r="362" spans="10:23" s="3" customFormat="1">
      <c r="J362" s="2"/>
      <c r="K362" s="7"/>
      <c r="L362" s="7"/>
      <c r="M362" s="2"/>
      <c r="N362" s="1"/>
      <c r="O362" s="2"/>
      <c r="P362" s="1"/>
      <c r="Q362" s="7"/>
      <c r="R362" s="7"/>
      <c r="S362" s="7"/>
      <c r="T362" s="1"/>
      <c r="U362" s="7"/>
      <c r="V362" s="7"/>
      <c r="W362" s="7"/>
    </row>
    <row r="363" spans="10:23" s="3" customFormat="1">
      <c r="J363" s="2"/>
      <c r="K363" s="7"/>
      <c r="L363" s="7"/>
      <c r="M363" s="2"/>
      <c r="N363" s="1"/>
      <c r="O363" s="2"/>
      <c r="P363" s="1"/>
      <c r="Q363" s="7"/>
      <c r="R363" s="7"/>
      <c r="S363" s="7"/>
      <c r="T363" s="1"/>
      <c r="U363" s="7"/>
      <c r="V363" s="7"/>
      <c r="W363" s="7"/>
    </row>
    <row r="364" spans="10:23" s="3" customFormat="1">
      <c r="J364" s="2"/>
      <c r="K364" s="7"/>
      <c r="L364" s="7"/>
      <c r="M364" s="2"/>
      <c r="N364" s="1"/>
      <c r="O364" s="2"/>
      <c r="P364" s="1"/>
      <c r="Q364" s="7"/>
      <c r="R364" s="7"/>
      <c r="S364" s="7"/>
      <c r="T364" s="1"/>
      <c r="U364" s="7"/>
      <c r="V364" s="7"/>
      <c r="W364" s="7"/>
    </row>
    <row r="365" spans="10:23" s="3" customFormat="1">
      <c r="J365" s="2"/>
      <c r="K365" s="7"/>
      <c r="L365" s="7"/>
      <c r="M365" s="2"/>
      <c r="N365" s="1"/>
      <c r="O365" s="2"/>
      <c r="P365" s="1"/>
      <c r="Q365" s="7"/>
      <c r="R365" s="7"/>
      <c r="S365" s="7"/>
      <c r="T365" s="1"/>
      <c r="U365" s="7"/>
      <c r="V365" s="7"/>
      <c r="W365" s="7"/>
    </row>
    <row r="366" spans="10:23" s="3" customFormat="1">
      <c r="J366" s="2"/>
      <c r="K366" s="7"/>
      <c r="L366" s="7"/>
      <c r="M366" s="2"/>
      <c r="N366" s="1"/>
      <c r="O366" s="2"/>
      <c r="P366" s="1"/>
      <c r="Q366" s="7"/>
      <c r="R366" s="7"/>
      <c r="S366" s="7"/>
      <c r="T366" s="1"/>
      <c r="U366" s="7"/>
      <c r="V366" s="7"/>
      <c r="W366" s="7"/>
    </row>
    <row r="367" spans="10:23" s="3" customFormat="1">
      <c r="J367" s="2"/>
      <c r="K367" s="7"/>
      <c r="L367" s="7"/>
      <c r="M367" s="2"/>
      <c r="N367" s="1"/>
      <c r="O367" s="2"/>
      <c r="P367" s="1"/>
      <c r="Q367" s="7"/>
      <c r="R367" s="7"/>
      <c r="S367" s="7"/>
      <c r="T367" s="1"/>
      <c r="U367" s="7"/>
      <c r="V367" s="7"/>
      <c r="W367" s="7"/>
    </row>
    <row r="368" spans="10:23" s="3" customFormat="1">
      <c r="J368" s="2"/>
      <c r="K368" s="7"/>
      <c r="L368" s="7"/>
      <c r="M368" s="2"/>
      <c r="N368" s="1"/>
      <c r="O368" s="2"/>
      <c r="P368" s="1"/>
      <c r="Q368" s="7"/>
      <c r="R368" s="7"/>
      <c r="S368" s="7"/>
      <c r="T368" s="1"/>
      <c r="U368" s="7"/>
      <c r="V368" s="7"/>
      <c r="W368" s="7"/>
    </row>
    <row r="369" spans="10:23" s="3" customFormat="1">
      <c r="J369" s="2"/>
      <c r="K369" s="7"/>
      <c r="L369" s="7"/>
      <c r="M369" s="2"/>
      <c r="N369" s="1"/>
      <c r="O369" s="2"/>
      <c r="P369" s="1"/>
      <c r="Q369" s="7"/>
      <c r="R369" s="7"/>
      <c r="S369" s="7"/>
      <c r="T369" s="1"/>
      <c r="U369" s="7"/>
      <c r="V369" s="7"/>
      <c r="W369" s="7"/>
    </row>
    <row r="370" spans="10:23" s="3" customFormat="1">
      <c r="J370" s="2"/>
      <c r="K370" s="7"/>
      <c r="L370" s="7"/>
      <c r="M370" s="2"/>
      <c r="N370" s="1"/>
      <c r="O370" s="2"/>
      <c r="P370" s="1"/>
      <c r="Q370" s="7"/>
      <c r="R370" s="7"/>
      <c r="S370" s="7"/>
      <c r="T370" s="1"/>
      <c r="U370" s="7"/>
      <c r="V370" s="7"/>
      <c r="W370" s="7"/>
    </row>
    <row r="371" spans="10:23" s="3" customFormat="1">
      <c r="J371" s="2"/>
      <c r="K371" s="7"/>
      <c r="L371" s="7"/>
      <c r="M371" s="2"/>
      <c r="N371" s="1"/>
      <c r="O371" s="2"/>
      <c r="P371" s="1"/>
      <c r="Q371" s="7"/>
      <c r="R371" s="7"/>
      <c r="S371" s="7"/>
      <c r="T371" s="1"/>
      <c r="U371" s="7"/>
      <c r="V371" s="7"/>
      <c r="W371" s="7"/>
    </row>
    <row r="372" spans="10:23" s="3" customFormat="1">
      <c r="J372" s="2"/>
      <c r="K372" s="7"/>
      <c r="L372" s="7"/>
      <c r="M372" s="2"/>
      <c r="N372" s="1"/>
      <c r="O372" s="2"/>
      <c r="P372" s="1"/>
      <c r="Q372" s="7"/>
      <c r="R372" s="7"/>
      <c r="S372" s="7"/>
      <c r="T372" s="1"/>
      <c r="U372" s="7"/>
      <c r="V372" s="7"/>
      <c r="W372" s="7"/>
    </row>
    <row r="373" spans="10:23" s="3" customFormat="1">
      <c r="J373" s="2"/>
      <c r="K373" s="7"/>
      <c r="L373" s="7"/>
      <c r="M373" s="2"/>
      <c r="N373" s="1"/>
      <c r="O373" s="2"/>
      <c r="P373" s="1"/>
      <c r="Q373" s="7"/>
      <c r="R373" s="7"/>
      <c r="S373" s="7"/>
      <c r="T373" s="1"/>
      <c r="U373" s="7"/>
      <c r="V373" s="7"/>
      <c r="W373" s="7"/>
    </row>
    <row r="374" spans="10:23" s="3" customFormat="1">
      <c r="J374" s="2"/>
      <c r="K374" s="7"/>
      <c r="L374" s="7"/>
      <c r="M374" s="2"/>
      <c r="N374" s="1"/>
      <c r="O374" s="2"/>
      <c r="P374" s="1"/>
      <c r="Q374" s="7"/>
      <c r="R374" s="7"/>
      <c r="S374" s="7"/>
      <c r="T374" s="1"/>
      <c r="U374" s="7"/>
      <c r="V374" s="7"/>
      <c r="W374" s="7"/>
    </row>
    <row r="375" spans="10:23" s="3" customFormat="1">
      <c r="J375" s="2"/>
      <c r="K375" s="7"/>
      <c r="L375" s="7"/>
      <c r="M375" s="2"/>
      <c r="N375" s="1"/>
      <c r="O375" s="2"/>
      <c r="P375" s="1"/>
      <c r="Q375" s="7"/>
      <c r="R375" s="7"/>
      <c r="S375" s="7"/>
      <c r="T375" s="1"/>
      <c r="U375" s="7"/>
      <c r="V375" s="7"/>
      <c r="W375" s="7"/>
    </row>
    <row r="376" spans="10:23" s="3" customFormat="1">
      <c r="J376" s="2"/>
      <c r="K376" s="7"/>
      <c r="L376" s="7"/>
      <c r="M376" s="2"/>
      <c r="N376" s="1"/>
      <c r="O376" s="2"/>
      <c r="P376" s="1"/>
      <c r="Q376" s="7"/>
      <c r="R376" s="7"/>
      <c r="S376" s="7"/>
      <c r="T376" s="1"/>
      <c r="U376" s="7"/>
      <c r="V376" s="7"/>
      <c r="W376" s="7"/>
    </row>
    <row r="377" spans="10:23" s="3" customFormat="1">
      <c r="J377" s="2"/>
      <c r="K377" s="7"/>
      <c r="L377" s="7"/>
      <c r="M377" s="2"/>
      <c r="N377" s="1"/>
      <c r="O377" s="2"/>
      <c r="P377" s="1"/>
      <c r="Q377" s="7"/>
      <c r="R377" s="7"/>
      <c r="S377" s="7"/>
      <c r="T377" s="1"/>
      <c r="U377" s="7"/>
      <c r="V377" s="7"/>
      <c r="W377" s="7"/>
    </row>
    <row r="378" spans="10:23" s="3" customFormat="1">
      <c r="J378" s="2"/>
      <c r="K378" s="7"/>
      <c r="L378" s="7"/>
      <c r="M378" s="2"/>
      <c r="N378" s="1"/>
      <c r="O378" s="2"/>
      <c r="P378" s="1"/>
      <c r="Q378" s="7"/>
      <c r="R378" s="7"/>
      <c r="S378" s="7"/>
      <c r="T378" s="1"/>
      <c r="U378" s="7"/>
      <c r="V378" s="7"/>
      <c r="W378" s="7"/>
    </row>
    <row r="379" spans="10:23" s="3" customFormat="1">
      <c r="J379" s="2"/>
      <c r="K379" s="7"/>
      <c r="L379" s="7"/>
      <c r="M379" s="2"/>
      <c r="N379" s="1"/>
      <c r="O379" s="2"/>
      <c r="P379" s="1"/>
      <c r="Q379" s="7"/>
      <c r="R379" s="7"/>
      <c r="S379" s="7"/>
      <c r="T379" s="1"/>
      <c r="U379" s="7"/>
      <c r="V379" s="7"/>
      <c r="W379" s="7"/>
    </row>
    <row r="380" spans="10:23" s="3" customFormat="1">
      <c r="J380" s="2"/>
      <c r="K380" s="7"/>
      <c r="L380" s="7"/>
      <c r="M380" s="2"/>
      <c r="N380" s="1"/>
      <c r="O380" s="2"/>
      <c r="P380" s="1"/>
      <c r="Q380" s="7"/>
      <c r="R380" s="7"/>
      <c r="S380" s="7"/>
      <c r="T380" s="1"/>
      <c r="U380" s="7"/>
      <c r="V380" s="7"/>
      <c r="W380" s="7"/>
    </row>
    <row r="381" spans="10:23" s="3" customFormat="1">
      <c r="J381" s="2"/>
      <c r="K381" s="7"/>
      <c r="L381" s="7"/>
      <c r="M381" s="2"/>
      <c r="N381" s="1"/>
      <c r="O381" s="2"/>
      <c r="P381" s="1"/>
      <c r="Q381" s="7"/>
      <c r="R381" s="7"/>
      <c r="S381" s="7"/>
      <c r="T381" s="1"/>
      <c r="U381" s="7"/>
      <c r="V381" s="7"/>
      <c r="W381" s="7"/>
    </row>
    <row r="382" spans="10:23" s="3" customFormat="1">
      <c r="J382" s="2"/>
      <c r="K382" s="7"/>
      <c r="L382" s="7"/>
      <c r="M382" s="2"/>
      <c r="N382" s="1"/>
      <c r="O382" s="2"/>
      <c r="P382" s="1"/>
      <c r="Q382" s="7"/>
      <c r="R382" s="7"/>
      <c r="S382" s="7"/>
      <c r="T382" s="1"/>
      <c r="U382" s="7"/>
      <c r="V382" s="7"/>
      <c r="W382" s="7"/>
    </row>
    <row r="383" spans="10:23" s="3" customFormat="1">
      <c r="J383" s="2"/>
      <c r="K383" s="7"/>
      <c r="L383" s="7"/>
      <c r="M383" s="2"/>
      <c r="N383" s="1"/>
      <c r="O383" s="2"/>
      <c r="P383" s="1"/>
      <c r="Q383" s="7"/>
      <c r="R383" s="7"/>
      <c r="S383" s="7"/>
      <c r="T383" s="1"/>
      <c r="U383" s="7"/>
      <c r="V383" s="7"/>
      <c r="W383" s="7"/>
    </row>
    <row r="384" spans="10:23" s="3" customFormat="1">
      <c r="J384" s="2"/>
      <c r="K384" s="7"/>
      <c r="L384" s="7"/>
      <c r="M384" s="2"/>
      <c r="N384" s="1"/>
      <c r="O384" s="2"/>
      <c r="P384" s="1"/>
      <c r="Q384" s="7"/>
      <c r="R384" s="7"/>
      <c r="S384" s="7"/>
      <c r="T384" s="1"/>
      <c r="U384" s="7"/>
      <c r="V384" s="7"/>
      <c r="W384" s="7"/>
    </row>
    <row r="385" spans="10:23" s="3" customFormat="1">
      <c r="J385" s="2"/>
      <c r="K385" s="7"/>
      <c r="L385" s="7"/>
      <c r="M385" s="2"/>
      <c r="N385" s="1"/>
      <c r="O385" s="2"/>
      <c r="P385" s="1"/>
      <c r="Q385" s="7"/>
      <c r="R385" s="7"/>
      <c r="S385" s="7"/>
      <c r="T385" s="1"/>
      <c r="U385" s="7"/>
      <c r="V385" s="7"/>
      <c r="W385" s="7"/>
    </row>
    <row r="386" spans="10:23" s="3" customFormat="1">
      <c r="J386" s="2"/>
      <c r="K386" s="7"/>
      <c r="L386" s="7"/>
      <c r="M386" s="2"/>
      <c r="N386" s="1"/>
      <c r="O386" s="2"/>
      <c r="P386" s="1"/>
      <c r="Q386" s="7"/>
      <c r="R386" s="7"/>
      <c r="S386" s="7"/>
      <c r="T386" s="1"/>
      <c r="U386" s="7"/>
      <c r="V386" s="7"/>
      <c r="W386" s="7"/>
    </row>
    <row r="387" spans="10:23" s="3" customFormat="1">
      <c r="J387" s="2"/>
      <c r="K387" s="7"/>
      <c r="L387" s="7"/>
      <c r="M387" s="2"/>
      <c r="N387" s="1"/>
      <c r="O387" s="2"/>
      <c r="P387" s="1"/>
      <c r="Q387" s="7"/>
      <c r="R387" s="7"/>
      <c r="S387" s="7"/>
      <c r="T387" s="1"/>
      <c r="U387" s="7"/>
      <c r="V387" s="7"/>
      <c r="W387" s="7"/>
    </row>
    <row r="388" spans="10:23" s="3" customFormat="1">
      <c r="J388" s="2"/>
      <c r="K388" s="7"/>
      <c r="L388" s="7"/>
      <c r="M388" s="2"/>
      <c r="N388" s="1"/>
      <c r="O388" s="2"/>
      <c r="P388" s="1"/>
      <c r="Q388" s="7"/>
      <c r="R388" s="7"/>
      <c r="S388" s="7"/>
      <c r="T388" s="1"/>
      <c r="U388" s="7"/>
      <c r="V388" s="7"/>
      <c r="W388" s="7"/>
    </row>
    <row r="389" spans="10:23" s="3" customFormat="1">
      <c r="J389" s="2"/>
      <c r="K389" s="7"/>
      <c r="L389" s="7"/>
      <c r="M389" s="2"/>
      <c r="N389" s="1"/>
      <c r="O389" s="2"/>
      <c r="P389" s="1"/>
      <c r="Q389" s="7"/>
      <c r="R389" s="7"/>
      <c r="S389" s="7"/>
      <c r="T389" s="1"/>
      <c r="U389" s="7"/>
      <c r="V389" s="7"/>
      <c r="W389" s="7"/>
    </row>
    <row r="390" spans="10:23" s="3" customFormat="1">
      <c r="J390" s="2"/>
      <c r="K390" s="7"/>
      <c r="L390" s="7"/>
      <c r="M390" s="2"/>
      <c r="N390" s="1"/>
      <c r="O390" s="2"/>
      <c r="P390" s="1"/>
      <c r="Q390" s="7"/>
      <c r="R390" s="7"/>
      <c r="S390" s="7"/>
      <c r="T390" s="1"/>
      <c r="U390" s="7"/>
      <c r="V390" s="7"/>
      <c r="W390" s="7"/>
    </row>
    <row r="391" spans="10:23" s="3" customFormat="1">
      <c r="J391" s="2"/>
      <c r="K391" s="7"/>
      <c r="L391" s="7"/>
      <c r="M391" s="2"/>
      <c r="N391" s="1"/>
      <c r="O391" s="2"/>
      <c r="P391" s="1"/>
      <c r="Q391" s="7"/>
      <c r="R391" s="7"/>
      <c r="S391" s="7"/>
      <c r="T391" s="1"/>
      <c r="U391" s="7"/>
      <c r="V391" s="7"/>
      <c r="W391" s="7"/>
    </row>
    <row r="392" spans="10:23" s="3" customFormat="1">
      <c r="J392" s="2"/>
      <c r="K392" s="7"/>
      <c r="L392" s="7"/>
      <c r="M392" s="2"/>
      <c r="N392" s="1"/>
      <c r="O392" s="2"/>
      <c r="P392" s="1"/>
      <c r="Q392" s="7"/>
      <c r="R392" s="7"/>
      <c r="S392" s="7"/>
      <c r="T392" s="1"/>
      <c r="U392" s="7"/>
      <c r="V392" s="7"/>
      <c r="W392" s="7"/>
    </row>
    <row r="393" spans="10:23" s="3" customFormat="1">
      <c r="J393" s="2"/>
      <c r="K393" s="7"/>
      <c r="L393" s="7"/>
      <c r="M393" s="2"/>
      <c r="N393" s="1"/>
      <c r="O393" s="2"/>
      <c r="P393" s="1"/>
      <c r="Q393" s="7"/>
      <c r="R393" s="7"/>
      <c r="S393" s="7"/>
      <c r="T393" s="1"/>
      <c r="U393" s="7"/>
      <c r="V393" s="7"/>
      <c r="W393" s="7"/>
    </row>
    <row r="394" spans="10:23" s="3" customFormat="1">
      <c r="J394" s="2"/>
      <c r="K394" s="7"/>
      <c r="L394" s="7"/>
      <c r="M394" s="2"/>
      <c r="N394" s="1"/>
      <c r="O394" s="2"/>
      <c r="P394" s="1"/>
      <c r="Q394" s="7"/>
      <c r="R394" s="7"/>
      <c r="S394" s="7"/>
      <c r="T394" s="1"/>
      <c r="U394" s="7"/>
      <c r="V394" s="7"/>
      <c r="W394" s="7"/>
    </row>
    <row r="395" spans="10:23" s="3" customFormat="1">
      <c r="J395" s="2"/>
      <c r="K395" s="7"/>
      <c r="L395" s="7"/>
      <c r="M395" s="2"/>
      <c r="N395" s="1"/>
      <c r="O395" s="2"/>
      <c r="P395" s="1"/>
      <c r="Q395" s="7"/>
      <c r="R395" s="7"/>
      <c r="S395" s="7"/>
      <c r="T395" s="1"/>
      <c r="U395" s="7"/>
      <c r="V395" s="7"/>
      <c r="W395" s="7"/>
    </row>
    <row r="396" spans="10:23" s="3" customFormat="1">
      <c r="J396" s="2"/>
      <c r="K396" s="7"/>
      <c r="L396" s="7"/>
      <c r="M396" s="2"/>
      <c r="N396" s="1"/>
      <c r="O396" s="2"/>
      <c r="P396" s="1"/>
      <c r="Q396" s="7"/>
      <c r="R396" s="7"/>
      <c r="S396" s="7"/>
      <c r="T396" s="1"/>
      <c r="U396" s="7"/>
      <c r="V396" s="7"/>
      <c r="W396" s="7"/>
    </row>
    <row r="397" spans="10:23" s="3" customFormat="1">
      <c r="J397" s="2"/>
      <c r="K397" s="7"/>
      <c r="L397" s="7"/>
      <c r="M397" s="2"/>
      <c r="N397" s="1"/>
      <c r="O397" s="2"/>
      <c r="P397" s="1"/>
      <c r="Q397" s="7"/>
      <c r="R397" s="7"/>
      <c r="S397" s="7"/>
      <c r="T397" s="1"/>
      <c r="U397" s="7"/>
      <c r="V397" s="7"/>
      <c r="W397" s="7"/>
    </row>
    <row r="398" spans="10:23" s="3" customFormat="1">
      <c r="J398" s="2"/>
      <c r="K398" s="7"/>
      <c r="L398" s="7"/>
      <c r="M398" s="2"/>
      <c r="N398" s="1"/>
      <c r="O398" s="2"/>
      <c r="P398" s="1"/>
      <c r="Q398" s="7"/>
      <c r="R398" s="7"/>
      <c r="S398" s="7"/>
      <c r="T398" s="1"/>
      <c r="U398" s="7"/>
      <c r="V398" s="7"/>
      <c r="W398" s="7"/>
    </row>
    <row r="399" spans="10:23" s="3" customFormat="1">
      <c r="J399" s="2"/>
      <c r="K399" s="7"/>
      <c r="L399" s="7"/>
      <c r="M399" s="2"/>
      <c r="N399" s="1"/>
      <c r="O399" s="2"/>
      <c r="P399" s="1"/>
      <c r="Q399" s="7"/>
      <c r="R399" s="7"/>
      <c r="S399" s="7"/>
      <c r="T399" s="1"/>
      <c r="U399" s="7"/>
      <c r="V399" s="7"/>
      <c r="W399" s="7"/>
    </row>
    <row r="400" spans="10:23" s="3" customFormat="1">
      <c r="J400" s="2"/>
      <c r="K400" s="7"/>
      <c r="L400" s="7"/>
      <c r="M400" s="2"/>
      <c r="N400" s="1"/>
      <c r="O400" s="2"/>
      <c r="P400" s="1"/>
      <c r="Q400" s="7"/>
      <c r="R400" s="7"/>
      <c r="S400" s="7"/>
      <c r="T400" s="1"/>
      <c r="U400" s="7"/>
      <c r="V400" s="7"/>
      <c r="W400" s="7"/>
    </row>
    <row r="401" spans="10:23" s="3" customFormat="1">
      <c r="J401" s="2"/>
      <c r="K401" s="7"/>
      <c r="L401" s="7"/>
      <c r="M401" s="2"/>
      <c r="N401" s="1"/>
      <c r="O401" s="2"/>
      <c r="P401" s="1"/>
      <c r="Q401" s="7"/>
      <c r="R401" s="7"/>
      <c r="S401" s="7"/>
      <c r="T401" s="1"/>
      <c r="U401" s="7"/>
      <c r="V401" s="7"/>
      <c r="W401" s="7"/>
    </row>
    <row r="402" spans="10:23" s="3" customFormat="1">
      <c r="J402" s="2"/>
      <c r="K402" s="7"/>
      <c r="L402" s="7"/>
      <c r="M402" s="2"/>
      <c r="N402" s="1"/>
      <c r="O402" s="2"/>
      <c r="P402" s="1"/>
      <c r="Q402" s="7"/>
      <c r="R402" s="7"/>
      <c r="S402" s="7"/>
      <c r="T402" s="1"/>
      <c r="U402" s="7"/>
      <c r="V402" s="7"/>
      <c r="W402" s="7"/>
    </row>
    <row r="403" spans="10:23" s="3" customFormat="1">
      <c r="J403" s="2"/>
      <c r="K403" s="7"/>
      <c r="L403" s="7"/>
      <c r="M403" s="2"/>
      <c r="N403" s="1"/>
      <c r="O403" s="2"/>
      <c r="P403" s="1"/>
      <c r="Q403" s="7"/>
      <c r="R403" s="7"/>
      <c r="S403" s="7"/>
      <c r="T403" s="1"/>
      <c r="U403" s="7"/>
      <c r="V403" s="7"/>
      <c r="W403" s="7"/>
    </row>
    <row r="404" spans="10:23" s="3" customFormat="1">
      <c r="J404" s="2"/>
      <c r="K404" s="7"/>
      <c r="L404" s="7"/>
      <c r="M404" s="2"/>
      <c r="N404" s="1"/>
      <c r="O404" s="2"/>
      <c r="P404" s="1"/>
      <c r="Q404" s="7"/>
      <c r="R404" s="7"/>
      <c r="S404" s="7"/>
      <c r="T404" s="1"/>
      <c r="U404" s="7"/>
      <c r="V404" s="7"/>
      <c r="W404" s="7"/>
    </row>
    <row r="405" spans="10:23" s="3" customFormat="1">
      <c r="J405" s="2"/>
      <c r="K405" s="7"/>
      <c r="L405" s="7"/>
      <c r="M405" s="2"/>
      <c r="N405" s="1"/>
      <c r="O405" s="2"/>
      <c r="P405" s="1"/>
      <c r="Q405" s="7"/>
      <c r="R405" s="7"/>
      <c r="S405" s="7"/>
      <c r="T405" s="1"/>
      <c r="U405" s="7"/>
      <c r="V405" s="7"/>
      <c r="W405" s="7"/>
    </row>
    <row r="406" spans="10:23" s="3" customFormat="1">
      <c r="J406" s="2"/>
      <c r="K406" s="7"/>
      <c r="L406" s="7"/>
      <c r="M406" s="2"/>
      <c r="N406" s="1"/>
      <c r="O406" s="2"/>
      <c r="P406" s="1"/>
      <c r="Q406" s="7"/>
      <c r="R406" s="7"/>
      <c r="S406" s="7"/>
      <c r="T406" s="1"/>
      <c r="U406" s="7"/>
      <c r="V406" s="7"/>
      <c r="W406" s="7"/>
    </row>
    <row r="407" spans="10:23" s="3" customFormat="1">
      <c r="J407" s="2"/>
      <c r="K407" s="7"/>
      <c r="L407" s="7"/>
      <c r="M407" s="2"/>
      <c r="N407" s="1"/>
      <c r="O407" s="2"/>
      <c r="P407" s="1"/>
      <c r="Q407" s="7"/>
      <c r="R407" s="7"/>
      <c r="S407" s="7"/>
      <c r="T407" s="1"/>
      <c r="U407" s="7"/>
      <c r="V407" s="7"/>
      <c r="W407" s="7"/>
    </row>
    <row r="408" spans="10:23" s="3" customFormat="1">
      <c r="J408" s="2"/>
      <c r="K408" s="7"/>
      <c r="L408" s="7"/>
      <c r="M408" s="2"/>
      <c r="N408" s="1"/>
      <c r="O408" s="2"/>
      <c r="P408" s="1"/>
      <c r="Q408" s="7"/>
      <c r="R408" s="7"/>
      <c r="S408" s="7"/>
      <c r="T408" s="1"/>
      <c r="U408" s="7"/>
      <c r="V408" s="7"/>
      <c r="W408" s="7"/>
    </row>
    <row r="409" spans="10:23" s="3" customFormat="1">
      <c r="J409" s="2"/>
      <c r="K409" s="7"/>
      <c r="L409" s="7"/>
      <c r="M409" s="2"/>
      <c r="N409" s="1"/>
      <c r="O409" s="2"/>
      <c r="P409" s="1"/>
      <c r="Q409" s="7"/>
      <c r="R409" s="7"/>
      <c r="S409" s="7"/>
      <c r="T409" s="1"/>
      <c r="U409" s="7"/>
      <c r="V409" s="7"/>
      <c r="W409" s="7"/>
    </row>
    <row r="410" spans="10:23" s="3" customFormat="1">
      <c r="J410" s="2"/>
      <c r="K410" s="7"/>
      <c r="L410" s="7"/>
      <c r="M410" s="2"/>
      <c r="N410" s="1"/>
      <c r="O410" s="2"/>
      <c r="P410" s="1"/>
      <c r="Q410" s="7"/>
      <c r="R410" s="7"/>
      <c r="S410" s="7"/>
      <c r="T410" s="1"/>
      <c r="U410" s="7"/>
      <c r="V410" s="7"/>
      <c r="W410" s="7"/>
    </row>
    <row r="411" spans="10:23" s="3" customFormat="1">
      <c r="J411" s="2"/>
      <c r="K411" s="7"/>
      <c r="L411" s="7"/>
      <c r="M411" s="2"/>
      <c r="N411" s="1"/>
      <c r="O411" s="2"/>
      <c r="P411" s="1"/>
      <c r="Q411" s="7"/>
      <c r="R411" s="7"/>
      <c r="S411" s="7"/>
      <c r="T411" s="1"/>
      <c r="U411" s="7"/>
      <c r="V411" s="7"/>
      <c r="W411" s="7"/>
    </row>
    <row r="412" spans="10:23" s="3" customFormat="1">
      <c r="J412" s="2"/>
      <c r="K412" s="7"/>
      <c r="L412" s="7"/>
      <c r="M412" s="2"/>
      <c r="N412" s="1"/>
      <c r="O412" s="2"/>
      <c r="P412" s="1"/>
      <c r="Q412" s="7"/>
      <c r="R412" s="7"/>
      <c r="S412" s="7"/>
      <c r="T412" s="1"/>
      <c r="U412" s="7"/>
      <c r="V412" s="7"/>
      <c r="W412" s="7"/>
    </row>
    <row r="413" spans="10:23" s="3" customFormat="1">
      <c r="J413" s="2"/>
      <c r="K413" s="7"/>
      <c r="L413" s="7"/>
      <c r="M413" s="2"/>
      <c r="N413" s="1"/>
      <c r="O413" s="2"/>
      <c r="P413" s="1"/>
      <c r="Q413" s="7"/>
      <c r="R413" s="7"/>
      <c r="S413" s="7"/>
      <c r="T413" s="1"/>
      <c r="U413" s="7"/>
      <c r="V413" s="7"/>
      <c r="W413" s="7"/>
    </row>
    <row r="414" spans="10:23" s="3" customFormat="1">
      <c r="J414" s="2"/>
      <c r="K414" s="7"/>
      <c r="L414" s="7"/>
      <c r="M414" s="2"/>
      <c r="N414" s="1"/>
      <c r="O414" s="2"/>
      <c r="P414" s="1"/>
      <c r="Q414" s="7"/>
      <c r="R414" s="7"/>
      <c r="S414" s="7"/>
      <c r="T414" s="1"/>
      <c r="U414" s="7"/>
      <c r="V414" s="7"/>
      <c r="W414" s="7"/>
    </row>
    <row r="415" spans="10:23" s="3" customFormat="1">
      <c r="J415" s="2"/>
      <c r="K415" s="7"/>
      <c r="L415" s="7"/>
      <c r="M415" s="2"/>
      <c r="N415" s="1"/>
      <c r="O415" s="2"/>
      <c r="P415" s="1"/>
      <c r="Q415" s="7"/>
      <c r="R415" s="7"/>
      <c r="S415" s="7"/>
      <c r="T415" s="1"/>
      <c r="U415" s="7"/>
      <c r="V415" s="7"/>
      <c r="W415" s="7"/>
    </row>
    <row r="416" spans="10:23" s="3" customFormat="1">
      <c r="J416" s="2"/>
      <c r="K416" s="7"/>
      <c r="L416" s="7"/>
      <c r="M416" s="2"/>
      <c r="N416" s="1"/>
      <c r="O416" s="2"/>
      <c r="P416" s="1"/>
      <c r="Q416" s="7"/>
      <c r="R416" s="7"/>
      <c r="S416" s="7"/>
      <c r="T416" s="1"/>
      <c r="U416" s="7"/>
      <c r="V416" s="7"/>
      <c r="W416" s="7"/>
    </row>
    <row r="417" spans="10:23" s="3" customFormat="1">
      <c r="J417" s="2"/>
      <c r="K417" s="7"/>
      <c r="L417" s="7"/>
      <c r="M417" s="2"/>
      <c r="N417" s="1"/>
      <c r="O417" s="2"/>
      <c r="P417" s="1"/>
      <c r="Q417" s="7"/>
      <c r="R417" s="7"/>
      <c r="S417" s="7"/>
      <c r="T417" s="1"/>
      <c r="U417" s="7"/>
      <c r="V417" s="7"/>
      <c r="W417" s="7"/>
    </row>
    <row r="418" spans="10:23" s="3" customFormat="1">
      <c r="J418" s="2"/>
      <c r="K418" s="7"/>
      <c r="L418" s="7"/>
      <c r="M418" s="2"/>
      <c r="N418" s="1"/>
      <c r="O418" s="2"/>
      <c r="P418" s="1"/>
      <c r="Q418" s="7"/>
      <c r="R418" s="7"/>
      <c r="S418" s="7"/>
      <c r="T418" s="1"/>
      <c r="U418" s="7"/>
      <c r="V418" s="7"/>
      <c r="W418" s="7"/>
    </row>
    <row r="419" spans="10:23" s="3" customFormat="1">
      <c r="J419" s="2"/>
      <c r="K419" s="7"/>
      <c r="L419" s="7"/>
      <c r="M419" s="2"/>
      <c r="N419" s="1"/>
      <c r="O419" s="2"/>
      <c r="P419" s="1"/>
      <c r="Q419" s="7"/>
      <c r="R419" s="7"/>
      <c r="S419" s="7"/>
      <c r="T419" s="1"/>
      <c r="U419" s="7"/>
      <c r="V419" s="7"/>
      <c r="W419" s="7"/>
    </row>
    <row r="420" spans="10:23" s="3" customFormat="1">
      <c r="J420" s="2"/>
      <c r="K420" s="7"/>
      <c r="L420" s="7"/>
      <c r="M420" s="2"/>
      <c r="N420" s="1"/>
      <c r="O420" s="2"/>
      <c r="P420" s="1"/>
      <c r="Q420" s="7"/>
      <c r="R420" s="7"/>
      <c r="S420" s="7"/>
      <c r="T420" s="1"/>
      <c r="U420" s="7"/>
      <c r="V420" s="7"/>
      <c r="W420" s="7"/>
    </row>
    <row r="421" spans="10:23" s="3" customFormat="1">
      <c r="J421" s="2"/>
      <c r="K421" s="7"/>
      <c r="L421" s="7"/>
      <c r="M421" s="2"/>
      <c r="N421" s="1"/>
      <c r="O421" s="2"/>
      <c r="P421" s="1"/>
      <c r="Q421" s="7"/>
      <c r="R421" s="7"/>
      <c r="S421" s="7"/>
      <c r="T421" s="1"/>
      <c r="U421" s="7"/>
      <c r="V421" s="7"/>
      <c r="W421" s="7"/>
    </row>
    <row r="422" spans="10:23" s="3" customFormat="1">
      <c r="J422" s="2"/>
      <c r="K422" s="7"/>
      <c r="L422" s="7"/>
      <c r="M422" s="2"/>
      <c r="N422" s="1"/>
      <c r="O422" s="2"/>
      <c r="P422" s="1"/>
      <c r="Q422" s="7"/>
      <c r="R422" s="7"/>
      <c r="S422" s="7"/>
      <c r="T422" s="1"/>
      <c r="U422" s="7"/>
      <c r="V422" s="7"/>
      <c r="W422" s="7"/>
    </row>
    <row r="423" spans="10:23" s="3" customFormat="1">
      <c r="J423" s="2"/>
      <c r="K423" s="7"/>
      <c r="L423" s="7"/>
      <c r="M423" s="2"/>
      <c r="N423" s="1"/>
      <c r="O423" s="2"/>
      <c r="P423" s="1"/>
      <c r="Q423" s="7"/>
      <c r="R423" s="7"/>
      <c r="S423" s="7"/>
      <c r="T423" s="1"/>
      <c r="U423" s="7"/>
      <c r="V423" s="7"/>
      <c r="W423" s="7"/>
    </row>
    <row r="424" spans="10:23" s="3" customFormat="1">
      <c r="J424" s="2"/>
      <c r="K424" s="7"/>
      <c r="L424" s="7"/>
      <c r="M424" s="2"/>
      <c r="N424" s="1"/>
      <c r="O424" s="2"/>
      <c r="P424" s="1"/>
      <c r="Q424" s="7"/>
      <c r="R424" s="7"/>
      <c r="S424" s="7"/>
      <c r="T424" s="1"/>
      <c r="U424" s="7"/>
      <c r="V424" s="7"/>
      <c r="W424" s="7"/>
    </row>
    <row r="425" spans="10:23" s="3" customFormat="1">
      <c r="J425" s="2"/>
      <c r="K425" s="7"/>
      <c r="L425" s="7"/>
      <c r="M425" s="2"/>
      <c r="N425" s="1"/>
      <c r="O425" s="2"/>
      <c r="P425" s="1"/>
      <c r="Q425" s="7"/>
      <c r="R425" s="7"/>
      <c r="S425" s="7"/>
      <c r="T425" s="1"/>
      <c r="U425" s="7"/>
      <c r="V425" s="7"/>
      <c r="W425" s="7"/>
    </row>
    <row r="426" spans="10:23" s="3" customFormat="1">
      <c r="J426" s="2"/>
      <c r="K426" s="7"/>
      <c r="L426" s="7"/>
      <c r="M426" s="2"/>
      <c r="N426" s="1"/>
      <c r="O426" s="2"/>
      <c r="P426" s="1"/>
      <c r="Q426" s="7"/>
      <c r="R426" s="7"/>
      <c r="S426" s="7"/>
      <c r="T426" s="1"/>
      <c r="U426" s="7"/>
      <c r="V426" s="7"/>
      <c r="W426" s="7"/>
    </row>
    <row r="427" spans="10:23" s="3" customFormat="1">
      <c r="J427" s="2"/>
      <c r="K427" s="7"/>
      <c r="L427" s="7"/>
      <c r="M427" s="2"/>
      <c r="N427" s="1"/>
      <c r="O427" s="2"/>
      <c r="P427" s="1"/>
      <c r="Q427" s="7"/>
      <c r="R427" s="7"/>
      <c r="S427" s="7"/>
      <c r="T427" s="1"/>
      <c r="U427" s="7"/>
      <c r="V427" s="7"/>
      <c r="W427" s="7"/>
    </row>
    <row r="428" spans="10:23" s="3" customFormat="1">
      <c r="J428" s="2"/>
      <c r="K428" s="7"/>
      <c r="L428" s="7"/>
      <c r="M428" s="2"/>
      <c r="N428" s="1"/>
      <c r="O428" s="2"/>
      <c r="P428" s="1"/>
      <c r="Q428" s="7"/>
      <c r="R428" s="7"/>
      <c r="S428" s="7"/>
      <c r="T428" s="1"/>
      <c r="U428" s="7"/>
      <c r="V428" s="7"/>
      <c r="W428" s="7"/>
    </row>
    <row r="429" spans="10:23" s="3" customFormat="1">
      <c r="J429" s="2"/>
      <c r="K429" s="7"/>
      <c r="L429" s="7"/>
      <c r="M429" s="2"/>
      <c r="N429" s="1"/>
      <c r="O429" s="2"/>
      <c r="P429" s="1"/>
      <c r="Q429" s="7"/>
      <c r="R429" s="7"/>
      <c r="S429" s="7"/>
      <c r="T429" s="1"/>
      <c r="U429" s="7"/>
      <c r="V429" s="7"/>
      <c r="W429" s="7"/>
    </row>
    <row r="430" spans="10:23" s="3" customFormat="1">
      <c r="J430" s="2"/>
      <c r="K430" s="7"/>
      <c r="L430" s="7"/>
      <c r="M430" s="2"/>
      <c r="N430" s="1"/>
      <c r="O430" s="2"/>
      <c r="P430" s="1"/>
      <c r="Q430" s="7"/>
      <c r="R430" s="7"/>
      <c r="S430" s="7"/>
      <c r="T430" s="1"/>
      <c r="U430" s="7"/>
      <c r="V430" s="7"/>
      <c r="W430" s="7"/>
    </row>
    <row r="431" spans="10:23" s="3" customFormat="1">
      <c r="J431" s="2"/>
      <c r="K431" s="7"/>
      <c r="L431" s="7"/>
      <c r="M431" s="2"/>
      <c r="N431" s="1"/>
      <c r="O431" s="2"/>
      <c r="P431" s="1"/>
      <c r="Q431" s="7"/>
      <c r="R431" s="7"/>
      <c r="S431" s="7"/>
      <c r="T431" s="1"/>
      <c r="U431" s="7"/>
      <c r="V431" s="7"/>
      <c r="W431" s="7"/>
    </row>
    <row r="432" spans="10:23" s="3" customFormat="1">
      <c r="J432" s="2"/>
      <c r="K432" s="7"/>
      <c r="L432" s="7"/>
      <c r="M432" s="2"/>
      <c r="N432" s="1"/>
      <c r="O432" s="2"/>
      <c r="P432" s="1"/>
      <c r="Q432" s="7"/>
      <c r="R432" s="7"/>
      <c r="S432" s="7"/>
      <c r="T432" s="1"/>
      <c r="U432" s="7"/>
      <c r="V432" s="7"/>
      <c r="W432" s="7"/>
    </row>
    <row r="433" spans="10:23" s="3" customFormat="1">
      <c r="J433" s="2"/>
      <c r="K433" s="7"/>
      <c r="L433" s="7"/>
      <c r="M433" s="2"/>
      <c r="N433" s="1"/>
      <c r="O433" s="2"/>
      <c r="P433" s="1"/>
      <c r="Q433" s="7"/>
      <c r="R433" s="7"/>
      <c r="S433" s="7"/>
      <c r="T433" s="1"/>
      <c r="U433" s="7"/>
      <c r="V433" s="7"/>
      <c r="W433" s="7"/>
    </row>
    <row r="434" spans="10:23" s="3" customFormat="1">
      <c r="J434" s="2"/>
      <c r="K434" s="7"/>
      <c r="L434" s="7"/>
      <c r="M434" s="2"/>
      <c r="N434" s="1"/>
      <c r="O434" s="2"/>
      <c r="P434" s="1"/>
      <c r="Q434" s="7"/>
      <c r="R434" s="7"/>
      <c r="S434" s="7"/>
      <c r="T434" s="1"/>
      <c r="U434" s="7"/>
      <c r="V434" s="7"/>
      <c r="W434" s="7"/>
    </row>
    <row r="435" spans="10:23" s="3" customFormat="1">
      <c r="J435" s="2"/>
      <c r="K435" s="7"/>
      <c r="L435" s="7"/>
      <c r="M435" s="2"/>
      <c r="N435" s="1"/>
      <c r="O435" s="2"/>
      <c r="P435" s="1"/>
      <c r="Q435" s="7"/>
      <c r="R435" s="7"/>
      <c r="S435" s="7"/>
      <c r="T435" s="1"/>
      <c r="U435" s="7"/>
      <c r="V435" s="7"/>
      <c r="W435" s="7"/>
    </row>
    <row r="436" spans="10:23" s="3" customFormat="1">
      <c r="J436" s="2"/>
      <c r="K436" s="7"/>
      <c r="L436" s="7"/>
      <c r="M436" s="2"/>
      <c r="N436" s="1"/>
      <c r="O436" s="2"/>
      <c r="P436" s="1"/>
      <c r="Q436" s="7"/>
      <c r="R436" s="7"/>
      <c r="S436" s="7"/>
      <c r="T436" s="1"/>
      <c r="U436" s="7"/>
      <c r="V436" s="7"/>
      <c r="W436" s="7"/>
    </row>
    <row r="437" spans="10:23" s="3" customFormat="1">
      <c r="J437" s="2"/>
      <c r="K437" s="7"/>
      <c r="L437" s="7"/>
      <c r="M437" s="2"/>
      <c r="N437" s="1"/>
      <c r="O437" s="2"/>
      <c r="P437" s="1"/>
      <c r="Q437" s="7"/>
      <c r="R437" s="7"/>
      <c r="S437" s="7"/>
      <c r="T437" s="1"/>
      <c r="U437" s="7"/>
      <c r="V437" s="7"/>
      <c r="W437" s="7"/>
    </row>
    <row r="438" spans="10:23" s="3" customFormat="1">
      <c r="J438" s="2"/>
      <c r="K438" s="7"/>
      <c r="L438" s="7"/>
      <c r="M438" s="2"/>
      <c r="N438" s="1"/>
      <c r="O438" s="2"/>
      <c r="P438" s="1"/>
      <c r="Q438" s="7"/>
      <c r="R438" s="7"/>
      <c r="S438" s="7"/>
      <c r="T438" s="1"/>
      <c r="U438" s="7"/>
      <c r="V438" s="7"/>
      <c r="W438" s="7"/>
    </row>
    <row r="439" spans="10:23" s="3" customFormat="1">
      <c r="J439" s="2"/>
      <c r="K439" s="7"/>
      <c r="L439" s="7"/>
      <c r="M439" s="2"/>
      <c r="N439" s="1"/>
      <c r="O439" s="2"/>
      <c r="P439" s="1"/>
      <c r="Q439" s="7"/>
      <c r="R439" s="7"/>
      <c r="S439" s="7"/>
      <c r="T439" s="1"/>
      <c r="U439" s="7"/>
      <c r="V439" s="7"/>
      <c r="W439" s="7"/>
    </row>
    <row r="440" spans="10:23" s="3" customFormat="1">
      <c r="J440" s="2"/>
      <c r="K440" s="7"/>
      <c r="L440" s="7"/>
      <c r="M440" s="2"/>
      <c r="N440" s="1"/>
      <c r="O440" s="2"/>
      <c r="P440" s="1"/>
      <c r="Q440" s="7"/>
      <c r="R440" s="7"/>
      <c r="S440" s="7"/>
      <c r="T440" s="1"/>
      <c r="U440" s="7"/>
      <c r="V440" s="7"/>
      <c r="W440" s="7"/>
    </row>
    <row r="441" spans="10:23" s="3" customFormat="1">
      <c r="J441" s="2"/>
      <c r="K441" s="7"/>
      <c r="L441" s="7"/>
      <c r="M441" s="2"/>
      <c r="N441" s="1"/>
      <c r="O441" s="2"/>
      <c r="P441" s="1"/>
      <c r="Q441" s="7"/>
      <c r="R441" s="7"/>
      <c r="S441" s="7"/>
      <c r="T441" s="1"/>
      <c r="U441" s="7"/>
      <c r="V441" s="7"/>
      <c r="W441" s="7"/>
    </row>
    <row r="442" spans="10:23" s="3" customFormat="1">
      <c r="J442" s="2"/>
      <c r="K442" s="7"/>
      <c r="L442" s="7"/>
      <c r="M442" s="2"/>
      <c r="N442" s="1"/>
      <c r="O442" s="2"/>
      <c r="P442" s="1"/>
      <c r="Q442" s="7"/>
      <c r="R442" s="7"/>
      <c r="S442" s="7"/>
      <c r="T442" s="1"/>
      <c r="U442" s="7"/>
      <c r="V442" s="7"/>
      <c r="W442" s="7"/>
    </row>
    <row r="443" spans="10:23" s="3" customFormat="1">
      <c r="J443" s="2"/>
      <c r="K443" s="7"/>
      <c r="L443" s="7"/>
      <c r="M443" s="2"/>
      <c r="N443" s="1"/>
      <c r="O443" s="2"/>
      <c r="P443" s="1"/>
      <c r="Q443" s="7"/>
      <c r="R443" s="7"/>
      <c r="S443" s="7"/>
      <c r="T443" s="1"/>
      <c r="U443" s="7"/>
      <c r="V443" s="7"/>
      <c r="W443" s="7"/>
    </row>
    <row r="444" spans="10:23" s="3" customFormat="1">
      <c r="J444" s="2"/>
      <c r="K444" s="7"/>
      <c r="L444" s="7"/>
      <c r="M444" s="2"/>
      <c r="N444" s="1"/>
      <c r="O444" s="2"/>
      <c r="P444" s="1"/>
      <c r="Q444" s="7"/>
      <c r="R444" s="7"/>
      <c r="S444" s="7"/>
      <c r="T444" s="1"/>
      <c r="U444" s="7"/>
      <c r="V444" s="7"/>
      <c r="W444" s="7"/>
    </row>
    <row r="445" spans="10:23" s="3" customFormat="1">
      <c r="J445" s="2"/>
      <c r="K445" s="7"/>
      <c r="L445" s="7"/>
      <c r="M445" s="2"/>
      <c r="N445" s="1"/>
      <c r="O445" s="2"/>
      <c r="P445" s="1"/>
      <c r="Q445" s="7"/>
      <c r="R445" s="7"/>
      <c r="S445" s="7"/>
      <c r="T445" s="1"/>
      <c r="U445" s="7"/>
      <c r="V445" s="7"/>
      <c r="W445" s="7"/>
    </row>
    <row r="446" spans="10:23" s="3" customFormat="1">
      <c r="J446" s="2"/>
      <c r="K446" s="7"/>
      <c r="L446" s="7"/>
      <c r="M446" s="2"/>
      <c r="N446" s="1"/>
      <c r="O446" s="2"/>
      <c r="P446" s="1"/>
      <c r="Q446" s="7"/>
      <c r="R446" s="7"/>
      <c r="S446" s="7"/>
      <c r="T446" s="1"/>
      <c r="U446" s="7"/>
      <c r="V446" s="7"/>
      <c r="W446" s="7"/>
    </row>
    <row r="447" spans="10:23" s="3" customFormat="1">
      <c r="J447" s="2"/>
      <c r="K447" s="7"/>
      <c r="L447" s="7"/>
      <c r="M447" s="2"/>
      <c r="N447" s="1"/>
      <c r="O447" s="2"/>
      <c r="P447" s="1"/>
      <c r="Q447" s="7"/>
      <c r="R447" s="7"/>
      <c r="S447" s="7"/>
      <c r="T447" s="1"/>
      <c r="U447" s="7"/>
      <c r="V447" s="7"/>
      <c r="W447" s="7"/>
    </row>
    <row r="448" spans="10:23" s="3" customFormat="1">
      <c r="J448" s="2"/>
      <c r="K448" s="7"/>
      <c r="L448" s="7"/>
      <c r="M448" s="2"/>
      <c r="N448" s="1"/>
      <c r="O448" s="2"/>
      <c r="P448" s="1"/>
      <c r="Q448" s="7"/>
      <c r="R448" s="7"/>
      <c r="S448" s="7"/>
      <c r="T448" s="1"/>
      <c r="U448" s="7"/>
      <c r="V448" s="7"/>
      <c r="W448" s="7"/>
    </row>
    <row r="449" spans="10:23" s="3" customFormat="1">
      <c r="J449" s="2"/>
      <c r="K449" s="7"/>
      <c r="L449" s="7"/>
      <c r="M449" s="2"/>
      <c r="N449" s="1"/>
      <c r="O449" s="2"/>
      <c r="P449" s="1"/>
      <c r="Q449" s="7"/>
      <c r="R449" s="7"/>
      <c r="S449" s="7"/>
      <c r="T449" s="1"/>
      <c r="U449" s="7"/>
      <c r="V449" s="7"/>
      <c r="W449" s="7"/>
    </row>
    <row r="450" spans="10:23" s="3" customFormat="1">
      <c r="J450" s="2"/>
      <c r="K450" s="7"/>
      <c r="L450" s="7"/>
      <c r="M450" s="2"/>
      <c r="N450" s="1"/>
      <c r="O450" s="2"/>
      <c r="P450" s="1"/>
      <c r="Q450" s="7"/>
      <c r="R450" s="7"/>
      <c r="S450" s="7"/>
      <c r="T450" s="1"/>
      <c r="U450" s="7"/>
      <c r="V450" s="7"/>
      <c r="W450" s="7"/>
    </row>
    <row r="451" spans="10:23" s="3" customFormat="1">
      <c r="J451" s="2"/>
      <c r="K451" s="7"/>
      <c r="L451" s="7"/>
      <c r="M451" s="2"/>
      <c r="N451" s="1"/>
      <c r="O451" s="2"/>
      <c r="P451" s="1"/>
      <c r="Q451" s="7"/>
      <c r="R451" s="7"/>
      <c r="S451" s="7"/>
      <c r="T451" s="1"/>
      <c r="U451" s="7"/>
      <c r="V451" s="7"/>
      <c r="W451" s="7"/>
    </row>
    <row r="452" spans="10:23" s="3" customFormat="1">
      <c r="J452" s="2"/>
      <c r="K452" s="7"/>
      <c r="L452" s="7"/>
      <c r="M452" s="2"/>
      <c r="N452" s="1"/>
      <c r="O452" s="2"/>
      <c r="P452" s="1"/>
      <c r="Q452" s="7"/>
      <c r="R452" s="7"/>
      <c r="S452" s="7"/>
      <c r="T452" s="1"/>
      <c r="U452" s="7"/>
      <c r="V452" s="7"/>
      <c r="W452" s="7"/>
    </row>
    <row r="453" spans="10:23" s="3" customFormat="1">
      <c r="J453" s="2"/>
      <c r="K453" s="7"/>
      <c r="L453" s="7"/>
      <c r="M453" s="2"/>
      <c r="N453" s="1"/>
      <c r="O453" s="2"/>
      <c r="P453" s="1"/>
      <c r="Q453" s="7"/>
      <c r="R453" s="7"/>
      <c r="S453" s="7"/>
      <c r="T453" s="1"/>
      <c r="U453" s="7"/>
      <c r="V453" s="7"/>
      <c r="W453" s="7"/>
    </row>
    <row r="454" spans="10:23" s="3" customFormat="1">
      <c r="J454" s="2"/>
      <c r="K454" s="7"/>
      <c r="L454" s="7"/>
      <c r="M454" s="2"/>
      <c r="N454" s="1"/>
      <c r="O454" s="2"/>
      <c r="P454" s="1"/>
      <c r="Q454" s="7"/>
      <c r="R454" s="7"/>
      <c r="S454" s="7"/>
      <c r="T454" s="1"/>
      <c r="U454" s="7"/>
      <c r="V454" s="7"/>
      <c r="W454" s="7"/>
    </row>
    <row r="455" spans="10:23" s="3" customFormat="1">
      <c r="J455" s="2"/>
      <c r="K455" s="7"/>
      <c r="L455" s="7"/>
      <c r="M455" s="2"/>
      <c r="N455" s="1"/>
      <c r="O455" s="2"/>
      <c r="P455" s="1"/>
      <c r="Q455" s="7"/>
      <c r="R455" s="7"/>
      <c r="S455" s="7"/>
      <c r="T455" s="1"/>
      <c r="U455" s="7"/>
      <c r="V455" s="7"/>
      <c r="W455" s="7"/>
    </row>
    <row r="456" spans="10:23" s="3" customFormat="1">
      <c r="J456" s="2"/>
      <c r="K456" s="7"/>
      <c r="L456" s="7"/>
      <c r="M456" s="2"/>
      <c r="N456" s="1"/>
      <c r="O456" s="2"/>
      <c r="P456" s="1"/>
      <c r="Q456" s="7"/>
      <c r="R456" s="7"/>
      <c r="S456" s="7"/>
      <c r="T456" s="1"/>
      <c r="U456" s="7"/>
      <c r="V456" s="7"/>
      <c r="W456" s="7"/>
    </row>
    <row r="457" spans="10:23" s="3" customFormat="1">
      <c r="J457" s="2"/>
      <c r="K457" s="7"/>
      <c r="L457" s="7"/>
      <c r="M457" s="2"/>
      <c r="N457" s="1"/>
      <c r="O457" s="2"/>
      <c r="P457" s="1"/>
      <c r="Q457" s="7"/>
      <c r="R457" s="7"/>
      <c r="S457" s="7"/>
      <c r="T457" s="1"/>
      <c r="U457" s="7"/>
      <c r="V457" s="7"/>
      <c r="W457" s="7"/>
    </row>
    <row r="458" spans="10:23" s="3" customFormat="1">
      <c r="J458" s="2"/>
      <c r="K458" s="7"/>
      <c r="L458" s="7"/>
      <c r="M458" s="2"/>
      <c r="N458" s="1"/>
      <c r="O458" s="2"/>
      <c r="P458" s="1"/>
      <c r="Q458" s="7"/>
      <c r="R458" s="7"/>
      <c r="S458" s="7"/>
      <c r="T458" s="1"/>
      <c r="U458" s="7"/>
      <c r="V458" s="7"/>
      <c r="W458" s="7"/>
    </row>
    <row r="459" spans="10:23" s="3" customFormat="1">
      <c r="J459" s="2"/>
      <c r="K459" s="7"/>
      <c r="L459" s="7"/>
      <c r="M459" s="2"/>
      <c r="N459" s="1"/>
      <c r="O459" s="2"/>
      <c r="P459" s="1"/>
      <c r="Q459" s="7"/>
      <c r="R459" s="7"/>
      <c r="S459" s="7"/>
      <c r="T459" s="1"/>
      <c r="U459" s="7"/>
      <c r="V459" s="7"/>
      <c r="W459" s="7"/>
    </row>
    <row r="460" spans="10:23" s="3" customFormat="1">
      <c r="J460" s="2"/>
      <c r="K460" s="7"/>
      <c r="L460" s="7"/>
      <c r="M460" s="2"/>
      <c r="N460" s="1"/>
      <c r="O460" s="2"/>
      <c r="P460" s="1"/>
      <c r="Q460" s="7"/>
      <c r="R460" s="7"/>
      <c r="S460" s="7"/>
      <c r="T460" s="1"/>
      <c r="U460" s="7"/>
      <c r="V460" s="7"/>
      <c r="W460" s="7"/>
    </row>
    <row r="461" spans="10:23" s="3" customFormat="1">
      <c r="J461" s="2"/>
      <c r="K461" s="7"/>
      <c r="L461" s="7"/>
      <c r="M461" s="2"/>
      <c r="N461" s="1"/>
      <c r="O461" s="2"/>
      <c r="P461" s="1"/>
      <c r="Q461" s="7"/>
      <c r="R461" s="7"/>
      <c r="S461" s="7"/>
      <c r="T461" s="1"/>
      <c r="U461" s="7"/>
      <c r="V461" s="7"/>
      <c r="W461" s="7"/>
    </row>
    <row r="462" spans="10:23" s="3" customFormat="1">
      <c r="J462" s="2"/>
      <c r="K462" s="7"/>
      <c r="L462" s="7"/>
      <c r="M462" s="2"/>
      <c r="N462" s="1"/>
      <c r="O462" s="2"/>
      <c r="P462" s="1"/>
      <c r="Q462" s="7"/>
      <c r="R462" s="7"/>
      <c r="S462" s="7"/>
      <c r="T462" s="1"/>
      <c r="U462" s="7"/>
      <c r="V462" s="7"/>
      <c r="W462" s="7"/>
    </row>
    <row r="463" spans="10:23" s="3" customFormat="1">
      <c r="J463" s="2"/>
      <c r="K463" s="7"/>
      <c r="L463" s="7"/>
      <c r="M463" s="2"/>
      <c r="N463" s="1"/>
      <c r="O463" s="2"/>
      <c r="P463" s="1"/>
      <c r="Q463" s="7"/>
      <c r="R463" s="7"/>
      <c r="S463" s="7"/>
      <c r="T463" s="1"/>
      <c r="U463" s="7"/>
      <c r="V463" s="7"/>
      <c r="W463" s="7"/>
    </row>
    <row r="464" spans="10:23" s="3" customFormat="1">
      <c r="J464" s="2"/>
      <c r="K464" s="7"/>
      <c r="L464" s="7"/>
      <c r="M464" s="2"/>
      <c r="N464" s="1"/>
      <c r="O464" s="2"/>
      <c r="P464" s="1"/>
      <c r="Q464" s="7"/>
      <c r="R464" s="7"/>
      <c r="S464" s="7"/>
      <c r="T464" s="1"/>
      <c r="U464" s="7"/>
      <c r="V464" s="7"/>
      <c r="W464" s="7"/>
    </row>
    <row r="465" spans="10:23" s="3" customFormat="1">
      <c r="J465" s="2"/>
      <c r="K465" s="7"/>
      <c r="L465" s="7"/>
      <c r="M465" s="2"/>
      <c r="N465" s="1"/>
      <c r="O465" s="2"/>
      <c r="P465" s="1"/>
      <c r="Q465" s="7"/>
      <c r="R465" s="7"/>
      <c r="S465" s="7"/>
      <c r="T465" s="1"/>
      <c r="U465" s="7"/>
      <c r="V465" s="7"/>
      <c r="W465" s="7"/>
    </row>
    <row r="466" spans="10:23" s="3" customFormat="1">
      <c r="J466" s="2"/>
      <c r="K466" s="7"/>
      <c r="L466" s="7"/>
      <c r="M466" s="2"/>
      <c r="N466" s="1"/>
      <c r="O466" s="2"/>
      <c r="P466" s="1"/>
      <c r="Q466" s="7"/>
      <c r="R466" s="7"/>
      <c r="S466" s="7"/>
      <c r="T466" s="1"/>
      <c r="U466" s="7"/>
      <c r="V466" s="7"/>
      <c r="W466" s="7"/>
    </row>
    <row r="467" spans="10:23" s="3" customFormat="1">
      <c r="J467" s="2"/>
      <c r="K467" s="7"/>
      <c r="L467" s="7"/>
      <c r="M467" s="2"/>
      <c r="N467" s="1"/>
      <c r="O467" s="2"/>
      <c r="P467" s="1"/>
      <c r="Q467" s="7"/>
      <c r="R467" s="7"/>
      <c r="S467" s="7"/>
      <c r="T467" s="1"/>
      <c r="U467" s="7"/>
      <c r="V467" s="7"/>
      <c r="W467" s="7"/>
    </row>
    <row r="468" spans="10:23" s="3" customFormat="1">
      <c r="J468" s="2"/>
      <c r="K468" s="7"/>
      <c r="L468" s="7"/>
      <c r="M468" s="2"/>
      <c r="N468" s="1"/>
      <c r="O468" s="2"/>
      <c r="P468" s="1"/>
      <c r="Q468" s="7"/>
      <c r="R468" s="7"/>
      <c r="S468" s="7"/>
      <c r="T468" s="1"/>
      <c r="U468" s="7"/>
      <c r="V468" s="7"/>
      <c r="W468" s="7"/>
    </row>
    <row r="469" spans="10:23" s="3" customFormat="1">
      <c r="J469" s="2"/>
      <c r="K469" s="7"/>
      <c r="L469" s="7"/>
      <c r="M469" s="2"/>
      <c r="N469" s="1"/>
      <c r="O469" s="2"/>
      <c r="P469" s="1"/>
      <c r="Q469" s="7"/>
      <c r="R469" s="7"/>
      <c r="S469" s="7"/>
      <c r="T469" s="1"/>
      <c r="U469" s="7"/>
      <c r="V469" s="7"/>
      <c r="W469" s="7"/>
    </row>
    <row r="470" spans="10:23" s="3" customFormat="1">
      <c r="J470" s="2"/>
      <c r="K470" s="7"/>
      <c r="L470" s="7"/>
      <c r="M470" s="2"/>
      <c r="N470" s="1"/>
      <c r="O470" s="2"/>
      <c r="P470" s="1"/>
      <c r="Q470" s="7"/>
      <c r="R470" s="7"/>
      <c r="S470" s="7"/>
      <c r="T470" s="1"/>
      <c r="U470" s="7"/>
      <c r="V470" s="7"/>
      <c r="W470" s="7"/>
    </row>
    <row r="471" spans="10:23" s="3" customFormat="1">
      <c r="J471" s="2"/>
      <c r="K471" s="7"/>
      <c r="L471" s="7"/>
      <c r="M471" s="2"/>
      <c r="N471" s="1"/>
      <c r="O471" s="2"/>
      <c r="P471" s="1"/>
      <c r="Q471" s="7"/>
      <c r="R471" s="7"/>
      <c r="S471" s="7"/>
      <c r="T471" s="1"/>
      <c r="U471" s="7"/>
      <c r="V471" s="7"/>
      <c r="W471" s="7"/>
    </row>
    <row r="472" spans="10:23" s="3" customFormat="1">
      <c r="J472" s="2"/>
      <c r="K472" s="7"/>
      <c r="L472" s="7"/>
      <c r="M472" s="2"/>
      <c r="N472" s="1"/>
      <c r="O472" s="2"/>
      <c r="P472" s="1"/>
      <c r="Q472" s="7"/>
      <c r="R472" s="7"/>
      <c r="S472" s="7"/>
      <c r="T472" s="1"/>
      <c r="U472" s="7"/>
      <c r="V472" s="7"/>
      <c r="W472" s="7"/>
    </row>
    <row r="473" spans="10:23" s="3" customFormat="1">
      <c r="J473" s="2"/>
      <c r="K473" s="7"/>
      <c r="L473" s="7"/>
      <c r="M473" s="2"/>
      <c r="N473" s="1"/>
      <c r="O473" s="2"/>
      <c r="P473" s="1"/>
      <c r="Q473" s="7"/>
      <c r="R473" s="7"/>
      <c r="S473" s="7"/>
      <c r="T473" s="1"/>
      <c r="U473" s="7"/>
      <c r="V473" s="7"/>
      <c r="W473" s="7"/>
    </row>
    <row r="474" spans="10:23" s="3" customFormat="1">
      <c r="J474" s="2"/>
      <c r="K474" s="7"/>
      <c r="L474" s="7"/>
      <c r="M474" s="2"/>
      <c r="N474" s="1"/>
      <c r="O474" s="2"/>
      <c r="P474" s="1"/>
      <c r="Q474" s="7"/>
      <c r="R474" s="7"/>
      <c r="S474" s="7"/>
      <c r="T474" s="1"/>
      <c r="U474" s="7"/>
      <c r="V474" s="7"/>
      <c r="W474" s="7"/>
    </row>
    <row r="475" spans="10:23" s="3" customFormat="1">
      <c r="J475" s="2"/>
      <c r="K475" s="7"/>
      <c r="L475" s="7"/>
      <c r="M475" s="2"/>
      <c r="N475" s="1"/>
      <c r="O475" s="2"/>
      <c r="P475" s="1"/>
      <c r="Q475" s="7"/>
      <c r="R475" s="7"/>
      <c r="S475" s="7"/>
      <c r="T475" s="1"/>
      <c r="U475" s="7"/>
      <c r="V475" s="7"/>
      <c r="W475" s="7"/>
    </row>
    <row r="476" spans="10:23" s="3" customFormat="1">
      <c r="J476" s="2"/>
      <c r="K476" s="7"/>
      <c r="L476" s="7"/>
      <c r="M476" s="2"/>
      <c r="N476" s="1"/>
      <c r="O476" s="2"/>
      <c r="P476" s="1"/>
      <c r="Q476" s="7"/>
      <c r="R476" s="7"/>
      <c r="S476" s="7"/>
      <c r="T476" s="1"/>
      <c r="U476" s="7"/>
      <c r="V476" s="7"/>
      <c r="W476" s="7"/>
    </row>
    <row r="477" spans="10:23" s="3" customFormat="1">
      <c r="J477" s="2"/>
      <c r="K477" s="7"/>
      <c r="L477" s="7"/>
      <c r="M477" s="2"/>
      <c r="N477" s="1"/>
      <c r="O477" s="2"/>
      <c r="P477" s="1"/>
      <c r="Q477" s="7"/>
      <c r="R477" s="7"/>
      <c r="S477" s="7"/>
      <c r="T477" s="1"/>
      <c r="U477" s="7"/>
      <c r="V477" s="7"/>
      <c r="W477" s="7"/>
    </row>
    <row r="478" spans="10:23" s="3" customFormat="1">
      <c r="J478" s="2"/>
      <c r="K478" s="7"/>
      <c r="L478" s="7"/>
      <c r="M478" s="2"/>
      <c r="N478" s="1"/>
      <c r="O478" s="2"/>
      <c r="P478" s="1"/>
      <c r="Q478" s="7"/>
      <c r="R478" s="7"/>
      <c r="S478" s="7"/>
      <c r="T478" s="1"/>
      <c r="U478" s="7"/>
      <c r="V478" s="7"/>
      <c r="W478" s="7"/>
    </row>
    <row r="479" spans="10:23" s="3" customFormat="1">
      <c r="J479" s="2"/>
      <c r="K479" s="7"/>
      <c r="L479" s="7"/>
      <c r="M479" s="2"/>
      <c r="N479" s="1"/>
      <c r="O479" s="2"/>
      <c r="P479" s="1"/>
      <c r="Q479" s="7"/>
      <c r="R479" s="7"/>
      <c r="S479" s="7"/>
      <c r="T479" s="1"/>
      <c r="U479" s="7"/>
      <c r="V479" s="7"/>
      <c r="W479" s="7"/>
    </row>
    <row r="480" spans="10:23" s="3" customFormat="1">
      <c r="J480" s="2"/>
      <c r="K480" s="7"/>
      <c r="L480" s="7"/>
      <c r="M480" s="2"/>
      <c r="N480" s="1"/>
      <c r="O480" s="2"/>
      <c r="P480" s="1"/>
      <c r="Q480" s="7"/>
      <c r="R480" s="7"/>
      <c r="S480" s="7"/>
      <c r="T480" s="1"/>
      <c r="U480" s="7"/>
      <c r="V480" s="7"/>
      <c r="W480" s="7"/>
    </row>
    <row r="481" spans="10:23" s="3" customFormat="1">
      <c r="J481" s="2"/>
      <c r="K481" s="7"/>
      <c r="L481" s="7"/>
      <c r="M481" s="2"/>
      <c r="N481" s="1"/>
      <c r="O481" s="2"/>
      <c r="P481" s="1"/>
      <c r="Q481" s="7"/>
      <c r="R481" s="7"/>
      <c r="S481" s="7"/>
      <c r="T481" s="1"/>
      <c r="U481" s="7"/>
      <c r="V481" s="7"/>
      <c r="W481" s="7"/>
    </row>
    <row r="482" spans="10:23" s="3" customFormat="1">
      <c r="J482" s="2"/>
      <c r="K482" s="7"/>
      <c r="L482" s="7"/>
      <c r="M482" s="2"/>
      <c r="N482" s="1"/>
      <c r="O482" s="2"/>
      <c r="P482" s="1"/>
      <c r="Q482" s="7"/>
      <c r="R482" s="7"/>
      <c r="S482" s="7"/>
      <c r="T482" s="1"/>
      <c r="U482" s="7"/>
      <c r="V482" s="7"/>
      <c r="W482" s="7"/>
    </row>
    <row r="483" spans="10:23" s="3" customFormat="1">
      <c r="J483" s="2"/>
      <c r="K483" s="7"/>
      <c r="L483" s="7"/>
      <c r="M483" s="2"/>
      <c r="N483" s="1"/>
      <c r="O483" s="2"/>
      <c r="P483" s="1"/>
      <c r="Q483" s="7"/>
      <c r="R483" s="7"/>
      <c r="S483" s="7"/>
      <c r="T483" s="1"/>
      <c r="U483" s="7"/>
      <c r="V483" s="7"/>
      <c r="W483" s="7"/>
    </row>
    <row r="484" spans="10:23" s="3" customFormat="1">
      <c r="J484" s="2"/>
      <c r="K484" s="7"/>
      <c r="L484" s="7"/>
      <c r="M484" s="2"/>
      <c r="N484" s="1"/>
      <c r="O484" s="2"/>
      <c r="P484" s="1"/>
      <c r="Q484" s="7"/>
      <c r="R484" s="7"/>
      <c r="S484" s="7"/>
      <c r="T484" s="1"/>
      <c r="U484" s="7"/>
      <c r="V484" s="7"/>
      <c r="W484" s="7"/>
    </row>
    <row r="485" spans="10:23" s="3" customFormat="1">
      <c r="J485" s="2"/>
      <c r="K485" s="7"/>
      <c r="L485" s="7"/>
      <c r="M485" s="2"/>
      <c r="N485" s="1"/>
      <c r="O485" s="2"/>
      <c r="P485" s="1"/>
      <c r="Q485" s="7"/>
      <c r="R485" s="7"/>
      <c r="S485" s="7"/>
      <c r="T485" s="1"/>
      <c r="U485" s="7"/>
      <c r="V485" s="7"/>
      <c r="W485" s="7"/>
    </row>
    <row r="486" spans="10:23" s="3" customFormat="1">
      <c r="J486" s="2"/>
      <c r="K486" s="7"/>
      <c r="L486" s="7"/>
      <c r="M486" s="2"/>
      <c r="N486" s="1"/>
      <c r="O486" s="2"/>
      <c r="P486" s="1"/>
      <c r="Q486" s="7"/>
      <c r="R486" s="7"/>
      <c r="S486" s="7"/>
      <c r="T486" s="1"/>
      <c r="U486" s="7"/>
      <c r="V486" s="7"/>
      <c r="W486" s="7"/>
    </row>
    <row r="487" spans="10:23" s="3" customFormat="1">
      <c r="J487" s="2"/>
      <c r="K487" s="7"/>
      <c r="L487" s="7"/>
      <c r="M487" s="2"/>
      <c r="N487" s="1"/>
      <c r="O487" s="2"/>
      <c r="P487" s="1"/>
      <c r="Q487" s="7"/>
      <c r="R487" s="7"/>
      <c r="S487" s="7"/>
      <c r="T487" s="1"/>
      <c r="U487" s="7"/>
      <c r="V487" s="7"/>
      <c r="W487" s="7"/>
    </row>
    <row r="488" spans="10:23" s="3" customFormat="1">
      <c r="J488" s="2"/>
      <c r="K488" s="7"/>
      <c r="L488" s="7"/>
      <c r="M488" s="2"/>
      <c r="N488" s="1"/>
      <c r="O488" s="2"/>
      <c r="P488" s="1"/>
      <c r="Q488" s="7"/>
      <c r="R488" s="7"/>
      <c r="S488" s="7"/>
      <c r="T488" s="1"/>
      <c r="U488" s="7"/>
      <c r="V488" s="7"/>
      <c r="W488" s="7"/>
    </row>
    <row r="489" spans="10:23" s="3" customFormat="1">
      <c r="J489" s="2"/>
      <c r="K489" s="7"/>
      <c r="L489" s="7"/>
      <c r="M489" s="2"/>
      <c r="N489" s="1"/>
      <c r="O489" s="2"/>
      <c r="P489" s="1"/>
      <c r="Q489" s="7"/>
      <c r="R489" s="7"/>
      <c r="S489" s="7"/>
      <c r="T489" s="1"/>
      <c r="U489" s="7"/>
      <c r="V489" s="7"/>
      <c r="W489" s="7"/>
    </row>
    <row r="490" spans="10:23" s="3" customFormat="1">
      <c r="J490" s="2"/>
      <c r="K490" s="7"/>
      <c r="L490" s="7"/>
      <c r="M490" s="2"/>
      <c r="N490" s="1"/>
      <c r="O490" s="2"/>
      <c r="P490" s="1"/>
      <c r="Q490" s="7"/>
      <c r="R490" s="7"/>
      <c r="S490" s="7"/>
      <c r="T490" s="1"/>
      <c r="U490" s="7"/>
      <c r="V490" s="7"/>
      <c r="W490" s="7"/>
    </row>
    <row r="491" spans="10:23" s="3" customFormat="1">
      <c r="J491" s="2"/>
      <c r="K491" s="7"/>
      <c r="L491" s="7"/>
      <c r="M491" s="2"/>
      <c r="N491" s="1"/>
      <c r="O491" s="2"/>
      <c r="P491" s="1"/>
      <c r="Q491" s="7"/>
      <c r="R491" s="7"/>
      <c r="S491" s="7"/>
      <c r="T491" s="1"/>
      <c r="U491" s="7"/>
      <c r="V491" s="7"/>
      <c r="W491" s="7"/>
    </row>
    <row r="492" spans="10:23" s="3" customFormat="1">
      <c r="J492" s="2"/>
      <c r="K492" s="7"/>
      <c r="L492" s="7"/>
      <c r="M492" s="2"/>
      <c r="N492" s="1"/>
      <c r="O492" s="2"/>
      <c r="P492" s="1"/>
      <c r="Q492" s="7"/>
      <c r="R492" s="7"/>
      <c r="S492" s="7"/>
      <c r="T492" s="1"/>
      <c r="U492" s="7"/>
      <c r="V492" s="7"/>
      <c r="W492" s="7"/>
    </row>
    <row r="493" spans="10:23" s="3" customFormat="1">
      <c r="J493" s="2"/>
      <c r="K493" s="7"/>
      <c r="L493" s="7"/>
      <c r="M493" s="2"/>
      <c r="N493" s="1"/>
      <c r="O493" s="2"/>
      <c r="P493" s="1"/>
      <c r="Q493" s="7"/>
      <c r="R493" s="7"/>
      <c r="S493" s="7"/>
      <c r="T493" s="1"/>
      <c r="U493" s="7"/>
      <c r="V493" s="7"/>
      <c r="W493" s="7"/>
    </row>
    <row r="494" spans="10:23" s="3" customFormat="1">
      <c r="J494" s="2"/>
      <c r="K494" s="7"/>
      <c r="L494" s="7"/>
      <c r="M494" s="2"/>
      <c r="N494" s="1"/>
      <c r="O494" s="2"/>
      <c r="P494" s="1"/>
      <c r="Q494" s="7"/>
      <c r="R494" s="7"/>
      <c r="S494" s="7"/>
      <c r="T494" s="1"/>
      <c r="U494" s="7"/>
      <c r="V494" s="7"/>
      <c r="W494" s="7"/>
    </row>
    <row r="495" spans="10:23" s="3" customFormat="1">
      <c r="J495" s="2"/>
      <c r="K495" s="7"/>
      <c r="L495" s="7"/>
      <c r="M495" s="2"/>
      <c r="N495" s="1"/>
      <c r="O495" s="2"/>
      <c r="P495" s="1"/>
      <c r="Q495" s="7"/>
      <c r="R495" s="7"/>
      <c r="S495" s="7"/>
      <c r="T495" s="1"/>
      <c r="U495" s="7"/>
      <c r="V495" s="7"/>
      <c r="W495" s="7"/>
    </row>
    <row r="496" spans="10:23" s="3" customFormat="1">
      <c r="J496" s="2"/>
      <c r="K496" s="7"/>
      <c r="L496" s="7"/>
      <c r="M496" s="2"/>
      <c r="N496" s="1"/>
      <c r="O496" s="2"/>
      <c r="P496" s="1"/>
      <c r="Q496" s="7"/>
      <c r="R496" s="7"/>
      <c r="S496" s="7"/>
      <c r="T496" s="1"/>
      <c r="U496" s="7"/>
      <c r="V496" s="7"/>
      <c r="W496" s="7"/>
    </row>
    <row r="497" spans="10:23" s="3" customFormat="1">
      <c r="J497" s="2"/>
      <c r="K497" s="7"/>
      <c r="L497" s="7"/>
      <c r="M497" s="2"/>
      <c r="N497" s="1"/>
      <c r="O497" s="2"/>
      <c r="P497" s="1"/>
      <c r="Q497" s="7"/>
      <c r="R497" s="7"/>
      <c r="S497" s="7"/>
      <c r="T497" s="1"/>
      <c r="U497" s="7"/>
      <c r="V497" s="7"/>
      <c r="W497" s="7"/>
    </row>
    <row r="498" spans="10:23" s="3" customFormat="1">
      <c r="J498" s="2"/>
      <c r="K498" s="7"/>
      <c r="L498" s="7"/>
      <c r="M498" s="2"/>
      <c r="N498" s="1"/>
      <c r="O498" s="2"/>
      <c r="P498" s="1"/>
      <c r="Q498" s="7"/>
      <c r="R498" s="7"/>
      <c r="S498" s="7"/>
      <c r="T498" s="1"/>
      <c r="U498" s="7"/>
      <c r="V498" s="7"/>
      <c r="W498" s="7"/>
    </row>
    <row r="499" spans="10:23" s="3" customFormat="1">
      <c r="J499" s="2"/>
      <c r="K499" s="7"/>
      <c r="L499" s="7"/>
      <c r="M499" s="2"/>
      <c r="N499" s="1"/>
      <c r="O499" s="2"/>
      <c r="P499" s="1"/>
      <c r="Q499" s="7"/>
      <c r="R499" s="7"/>
      <c r="S499" s="7"/>
      <c r="T499" s="1"/>
      <c r="U499" s="7"/>
      <c r="V499" s="7"/>
      <c r="W499" s="7"/>
    </row>
    <row r="500" spans="10:23" s="3" customFormat="1">
      <c r="J500" s="2"/>
      <c r="K500" s="7"/>
      <c r="L500" s="7"/>
      <c r="M500" s="2"/>
      <c r="N500" s="1"/>
      <c r="O500" s="2"/>
      <c r="P500" s="1"/>
      <c r="Q500" s="7"/>
      <c r="R500" s="7"/>
      <c r="S500" s="7"/>
      <c r="T500" s="1"/>
      <c r="U500" s="7"/>
      <c r="V500" s="7"/>
      <c r="W500" s="7"/>
    </row>
    <row r="501" spans="10:23" s="3" customFormat="1">
      <c r="J501" s="2"/>
      <c r="K501" s="7"/>
      <c r="L501" s="7"/>
      <c r="M501" s="2"/>
      <c r="N501" s="1"/>
      <c r="O501" s="2"/>
      <c r="P501" s="1"/>
      <c r="Q501" s="7"/>
      <c r="R501" s="7"/>
      <c r="S501" s="7"/>
      <c r="T501" s="1"/>
      <c r="U501" s="7"/>
      <c r="V501" s="7"/>
      <c r="W501" s="7"/>
    </row>
    <row r="502" spans="10:23" s="3" customFormat="1">
      <c r="J502" s="2"/>
      <c r="K502" s="7"/>
      <c r="L502" s="7"/>
      <c r="M502" s="2"/>
      <c r="N502" s="1"/>
      <c r="O502" s="2"/>
      <c r="P502" s="1"/>
      <c r="Q502" s="7"/>
      <c r="R502" s="7"/>
      <c r="S502" s="7"/>
      <c r="T502" s="1"/>
      <c r="U502" s="7"/>
      <c r="V502" s="7"/>
      <c r="W502" s="7"/>
    </row>
    <row r="503" spans="10:23" s="3" customFormat="1">
      <c r="J503" s="2"/>
      <c r="K503" s="7"/>
      <c r="L503" s="7"/>
      <c r="M503" s="2"/>
      <c r="N503" s="1"/>
      <c r="O503" s="2"/>
      <c r="P503" s="1"/>
      <c r="Q503" s="7"/>
      <c r="R503" s="7"/>
      <c r="S503" s="7"/>
      <c r="T503" s="1"/>
      <c r="U503" s="7"/>
      <c r="V503" s="7"/>
      <c r="W503" s="7"/>
    </row>
    <row r="504" spans="10:23" s="3" customFormat="1">
      <c r="J504" s="2"/>
      <c r="K504" s="7"/>
      <c r="L504" s="7"/>
      <c r="M504" s="2"/>
      <c r="N504" s="1"/>
      <c r="O504" s="2"/>
      <c r="P504" s="1"/>
      <c r="Q504" s="7"/>
      <c r="R504" s="7"/>
      <c r="S504" s="7"/>
      <c r="T504" s="1"/>
      <c r="U504" s="7"/>
      <c r="V504" s="7"/>
      <c r="W504" s="7"/>
    </row>
    <row r="505" spans="10:23" s="3" customFormat="1">
      <c r="J505" s="2"/>
      <c r="K505" s="7"/>
      <c r="L505" s="7"/>
      <c r="M505" s="2"/>
      <c r="N505" s="1"/>
      <c r="O505" s="2"/>
      <c r="P505" s="1"/>
      <c r="Q505" s="7"/>
      <c r="R505" s="7"/>
      <c r="S505" s="7"/>
      <c r="T505" s="1"/>
      <c r="U505" s="7"/>
      <c r="V505" s="7"/>
      <c r="W505" s="7"/>
    </row>
    <row r="506" spans="10:23" s="3" customFormat="1">
      <c r="J506" s="2"/>
      <c r="K506" s="7"/>
      <c r="L506" s="7"/>
      <c r="M506" s="2"/>
      <c r="N506" s="1"/>
      <c r="O506" s="2"/>
      <c r="P506" s="1"/>
      <c r="Q506" s="7"/>
      <c r="R506" s="7"/>
      <c r="S506" s="7"/>
      <c r="T506" s="1"/>
      <c r="U506" s="7"/>
      <c r="V506" s="7"/>
      <c r="W506" s="7"/>
    </row>
    <row r="507" spans="10:23" s="3" customFormat="1">
      <c r="J507" s="2"/>
      <c r="K507" s="7"/>
      <c r="L507" s="7"/>
      <c r="M507" s="2"/>
      <c r="N507" s="1"/>
      <c r="O507" s="2"/>
      <c r="P507" s="1"/>
      <c r="Q507" s="7"/>
      <c r="R507" s="7"/>
      <c r="S507" s="7"/>
      <c r="T507" s="1"/>
      <c r="U507" s="7"/>
      <c r="V507" s="7"/>
      <c r="W507" s="7"/>
    </row>
    <row r="508" spans="10:23" s="3" customFormat="1">
      <c r="J508" s="2"/>
      <c r="K508" s="7"/>
      <c r="L508" s="7"/>
      <c r="M508" s="2"/>
      <c r="N508" s="1"/>
      <c r="O508" s="2"/>
      <c r="P508" s="1"/>
      <c r="Q508" s="7"/>
      <c r="R508" s="7"/>
      <c r="S508" s="7"/>
      <c r="T508" s="1"/>
      <c r="U508" s="7"/>
      <c r="V508" s="7"/>
      <c r="W508" s="7"/>
    </row>
    <row r="509" spans="10:23" s="3" customFormat="1">
      <c r="J509" s="2"/>
      <c r="K509" s="7"/>
      <c r="L509" s="7"/>
      <c r="M509" s="2"/>
      <c r="N509" s="1"/>
      <c r="O509" s="2"/>
      <c r="P509" s="1"/>
      <c r="Q509" s="7"/>
      <c r="R509" s="7"/>
      <c r="S509" s="7"/>
      <c r="T509" s="1"/>
      <c r="U509" s="7"/>
      <c r="V509" s="7"/>
      <c r="W509" s="7"/>
    </row>
    <row r="510" spans="10:23" s="3" customFormat="1">
      <c r="J510" s="2"/>
      <c r="K510" s="7"/>
      <c r="L510" s="7"/>
      <c r="M510" s="2"/>
      <c r="N510" s="1"/>
      <c r="O510" s="2"/>
      <c r="P510" s="1"/>
      <c r="Q510" s="7"/>
      <c r="R510" s="7"/>
      <c r="S510" s="7"/>
      <c r="T510" s="1"/>
      <c r="U510" s="7"/>
      <c r="V510" s="7"/>
      <c r="W510" s="7"/>
    </row>
    <row r="511" spans="10:23" s="3" customFormat="1">
      <c r="J511" s="2"/>
      <c r="K511" s="7"/>
      <c r="L511" s="7"/>
      <c r="M511" s="2"/>
      <c r="N511" s="1"/>
      <c r="O511" s="2"/>
      <c r="P511" s="1"/>
      <c r="Q511" s="7"/>
      <c r="R511" s="7"/>
      <c r="S511" s="7"/>
      <c r="T511" s="1"/>
      <c r="U511" s="7"/>
      <c r="V511" s="7"/>
      <c r="W511" s="7"/>
    </row>
    <row r="512" spans="10:23" s="3" customFormat="1">
      <c r="J512" s="2"/>
      <c r="K512" s="7"/>
      <c r="L512" s="7"/>
      <c r="M512" s="2"/>
      <c r="N512" s="1"/>
      <c r="O512" s="2"/>
      <c r="P512" s="1"/>
      <c r="Q512" s="7"/>
      <c r="R512" s="7"/>
      <c r="S512" s="7"/>
      <c r="T512" s="1"/>
      <c r="U512" s="7"/>
      <c r="V512" s="7"/>
      <c r="W512" s="7"/>
    </row>
    <row r="513" spans="10:23" s="3" customFormat="1">
      <c r="J513" s="2"/>
      <c r="K513" s="7"/>
      <c r="L513" s="7"/>
      <c r="M513" s="2"/>
      <c r="N513" s="1"/>
      <c r="O513" s="2"/>
      <c r="P513" s="1"/>
      <c r="Q513" s="7"/>
      <c r="R513" s="7"/>
      <c r="S513" s="7"/>
      <c r="T513" s="1"/>
      <c r="U513" s="7"/>
      <c r="V513" s="7"/>
      <c r="W513" s="7"/>
    </row>
    <row r="514" spans="10:23" s="3" customFormat="1">
      <c r="J514" s="2"/>
      <c r="K514" s="7"/>
      <c r="L514" s="7"/>
      <c r="M514" s="2"/>
      <c r="N514" s="1"/>
      <c r="O514" s="2"/>
      <c r="P514" s="1"/>
      <c r="Q514" s="7"/>
      <c r="R514" s="7"/>
      <c r="S514" s="7"/>
      <c r="T514" s="1"/>
      <c r="U514" s="7"/>
      <c r="V514" s="7"/>
      <c r="W514" s="7"/>
    </row>
    <row r="515" spans="10:23" s="3" customFormat="1">
      <c r="J515" s="2"/>
      <c r="K515" s="7"/>
      <c r="L515" s="7"/>
      <c r="M515" s="2"/>
      <c r="N515" s="1"/>
      <c r="O515" s="2"/>
      <c r="P515" s="1"/>
      <c r="Q515" s="7"/>
      <c r="R515" s="7"/>
      <c r="S515" s="7"/>
      <c r="T515" s="1"/>
      <c r="U515" s="7"/>
      <c r="V515" s="7"/>
      <c r="W515" s="7"/>
    </row>
    <row r="516" spans="10:23" s="3" customFormat="1">
      <c r="J516" s="2"/>
      <c r="K516" s="7"/>
      <c r="L516" s="7"/>
      <c r="M516" s="2"/>
      <c r="N516" s="1"/>
      <c r="O516" s="2"/>
      <c r="P516" s="1"/>
      <c r="Q516" s="7"/>
      <c r="R516" s="7"/>
      <c r="S516" s="7"/>
      <c r="T516" s="1"/>
      <c r="U516" s="7"/>
      <c r="V516" s="7"/>
      <c r="W516" s="7"/>
    </row>
    <row r="517" spans="10:23" s="3" customFormat="1">
      <c r="J517" s="2"/>
      <c r="K517" s="7"/>
      <c r="L517" s="7"/>
      <c r="M517" s="2"/>
      <c r="N517" s="1"/>
      <c r="O517" s="2"/>
      <c r="P517" s="1"/>
      <c r="Q517" s="7"/>
      <c r="R517" s="7"/>
      <c r="S517" s="7"/>
      <c r="T517" s="1"/>
      <c r="U517" s="7"/>
      <c r="V517" s="7"/>
      <c r="W517" s="7"/>
    </row>
    <row r="518" spans="10:23" s="3" customFormat="1">
      <c r="J518" s="2"/>
      <c r="K518" s="7"/>
      <c r="L518" s="7"/>
      <c r="M518" s="2"/>
      <c r="N518" s="1"/>
      <c r="O518" s="2"/>
      <c r="P518" s="1"/>
      <c r="Q518" s="7"/>
      <c r="R518" s="7"/>
      <c r="S518" s="7"/>
      <c r="T518" s="1"/>
      <c r="U518" s="7"/>
      <c r="V518" s="7"/>
      <c r="W518" s="7"/>
    </row>
    <row r="519" spans="10:23" s="3" customFormat="1">
      <c r="J519" s="2"/>
      <c r="K519" s="7"/>
      <c r="L519" s="7"/>
      <c r="M519" s="2"/>
      <c r="N519" s="1"/>
      <c r="O519" s="2"/>
      <c r="P519" s="1"/>
      <c r="Q519" s="7"/>
      <c r="R519" s="7"/>
      <c r="S519" s="7"/>
      <c r="T519" s="1"/>
      <c r="U519" s="7"/>
      <c r="V519" s="7"/>
      <c r="W519" s="7"/>
    </row>
    <row r="520" spans="10:23" s="3" customFormat="1">
      <c r="J520" s="2"/>
      <c r="K520" s="7"/>
      <c r="L520" s="7"/>
      <c r="M520" s="2"/>
      <c r="N520" s="1"/>
      <c r="O520" s="2"/>
      <c r="P520" s="1"/>
      <c r="Q520" s="7"/>
      <c r="R520" s="7"/>
      <c r="S520" s="7"/>
      <c r="T520" s="1"/>
      <c r="U520" s="7"/>
      <c r="V520" s="7"/>
      <c r="W520" s="7"/>
    </row>
    <row r="521" spans="10:23" s="3" customFormat="1">
      <c r="J521" s="2"/>
      <c r="K521" s="7"/>
      <c r="L521" s="7"/>
      <c r="M521" s="2"/>
      <c r="N521" s="1"/>
      <c r="O521" s="2"/>
      <c r="P521" s="1"/>
      <c r="Q521" s="7"/>
      <c r="R521" s="7"/>
      <c r="S521" s="7"/>
      <c r="T521" s="1"/>
      <c r="U521" s="7"/>
      <c r="V521" s="7"/>
      <c r="W521" s="7"/>
    </row>
    <row r="522" spans="10:23" s="3" customFormat="1">
      <c r="J522" s="2"/>
      <c r="K522" s="7"/>
      <c r="L522" s="7"/>
      <c r="M522" s="2"/>
      <c r="N522" s="1"/>
      <c r="O522" s="2"/>
      <c r="P522" s="1"/>
      <c r="Q522" s="7"/>
      <c r="R522" s="7"/>
      <c r="S522" s="7"/>
      <c r="T522" s="1"/>
      <c r="U522" s="7"/>
      <c r="V522" s="7"/>
      <c r="W522" s="7"/>
    </row>
    <row r="523" spans="10:23" s="3" customFormat="1">
      <c r="J523" s="2"/>
      <c r="K523" s="7"/>
      <c r="L523" s="7"/>
      <c r="M523" s="2"/>
      <c r="N523" s="1"/>
      <c r="O523" s="2"/>
      <c r="P523" s="1"/>
      <c r="Q523" s="7"/>
      <c r="R523" s="7"/>
      <c r="S523" s="7"/>
      <c r="T523" s="1"/>
      <c r="U523" s="7"/>
      <c r="V523" s="7"/>
      <c r="W523" s="7"/>
    </row>
    <row r="524" spans="10:23" s="3" customFormat="1">
      <c r="J524" s="2"/>
      <c r="K524" s="7"/>
      <c r="L524" s="7"/>
      <c r="M524" s="2"/>
      <c r="N524" s="1"/>
      <c r="O524" s="2"/>
      <c r="P524" s="1"/>
      <c r="Q524" s="7"/>
      <c r="R524" s="7"/>
      <c r="S524" s="7"/>
      <c r="T524" s="1"/>
      <c r="U524" s="7"/>
      <c r="V524" s="7"/>
      <c r="W524" s="7"/>
    </row>
    <row r="525" spans="10:23" s="3" customFormat="1">
      <c r="J525" s="2"/>
      <c r="K525" s="7"/>
      <c r="L525" s="7"/>
      <c r="M525" s="2"/>
      <c r="N525" s="1"/>
      <c r="O525" s="2"/>
      <c r="P525" s="1"/>
      <c r="Q525" s="7"/>
      <c r="R525" s="7"/>
      <c r="S525" s="7"/>
      <c r="T525" s="1"/>
      <c r="U525" s="7"/>
      <c r="V525" s="7"/>
      <c r="W525" s="7"/>
    </row>
    <row r="526" spans="10:23" s="3" customFormat="1">
      <c r="J526" s="2"/>
      <c r="K526" s="7"/>
      <c r="L526" s="7"/>
      <c r="M526" s="2"/>
      <c r="N526" s="1"/>
      <c r="O526" s="2"/>
      <c r="P526" s="1"/>
      <c r="Q526" s="7"/>
      <c r="R526" s="7"/>
      <c r="S526" s="7"/>
      <c r="T526" s="1"/>
      <c r="U526" s="7"/>
      <c r="V526" s="7"/>
      <c r="W526" s="7"/>
    </row>
    <row r="527" spans="10:23" s="3" customFormat="1">
      <c r="J527" s="2"/>
      <c r="K527" s="7"/>
      <c r="L527" s="7"/>
      <c r="M527" s="2"/>
      <c r="N527" s="1"/>
      <c r="O527" s="2"/>
      <c r="P527" s="1"/>
      <c r="Q527" s="7"/>
      <c r="R527" s="7"/>
      <c r="S527" s="7"/>
      <c r="T527" s="1"/>
      <c r="U527" s="7"/>
      <c r="V527" s="7"/>
      <c r="W527" s="7"/>
    </row>
    <row r="528" spans="10:23" s="3" customFormat="1">
      <c r="J528" s="2"/>
      <c r="K528" s="7"/>
      <c r="L528" s="7"/>
      <c r="M528" s="2"/>
      <c r="N528" s="1"/>
      <c r="O528" s="2"/>
      <c r="P528" s="1"/>
      <c r="Q528" s="7"/>
      <c r="R528" s="7"/>
      <c r="S528" s="7"/>
      <c r="T528" s="1"/>
      <c r="U528" s="7"/>
      <c r="V528" s="7"/>
      <c r="W528" s="7"/>
    </row>
    <row r="529" spans="10:23" s="3" customFormat="1">
      <c r="J529" s="2"/>
      <c r="K529" s="7"/>
      <c r="L529" s="7"/>
      <c r="M529" s="2"/>
      <c r="N529" s="1"/>
      <c r="O529" s="2"/>
      <c r="P529" s="1"/>
      <c r="Q529" s="7"/>
      <c r="R529" s="7"/>
      <c r="S529" s="7"/>
      <c r="T529" s="1"/>
      <c r="U529" s="7"/>
      <c r="V529" s="7"/>
      <c r="W529" s="7"/>
    </row>
    <row r="530" spans="10:23" s="3" customFormat="1">
      <c r="J530" s="2"/>
      <c r="K530" s="7"/>
      <c r="L530" s="7"/>
      <c r="M530" s="2"/>
      <c r="N530" s="1"/>
      <c r="O530" s="2"/>
      <c r="P530" s="1"/>
      <c r="Q530" s="7"/>
      <c r="R530" s="7"/>
      <c r="S530" s="7"/>
      <c r="T530" s="1"/>
      <c r="U530" s="7"/>
      <c r="V530" s="7"/>
      <c r="W530" s="7"/>
    </row>
  </sheetData>
  <mergeCells count="1">
    <mergeCell ref="A11:A12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A28" sqref="A28"/>
    </sheetView>
  </sheetViews>
  <sheetFormatPr baseColWidth="10" defaultRowHeight="15"/>
  <cols>
    <col min="11" max="11" width="26.5703125" bestFit="1" customWidth="1"/>
  </cols>
  <sheetData>
    <row r="1" spans="1:14">
      <c r="A1" t="s">
        <v>0</v>
      </c>
      <c r="B1" s="1">
        <v>0.155</v>
      </c>
      <c r="C1" s="1">
        <v>8.2000000000000003E-2</v>
      </c>
      <c r="D1" s="1">
        <v>7.2999999999999995E-2</v>
      </c>
      <c r="F1" s="1">
        <f>C1*96%</f>
        <v>7.8719999999999998E-2</v>
      </c>
      <c r="K1" t="s">
        <v>23</v>
      </c>
      <c r="L1" s="6">
        <v>3937.5</v>
      </c>
      <c r="M1" t="s">
        <v>24</v>
      </c>
      <c r="N1" t="s">
        <v>25</v>
      </c>
    </row>
    <row r="2" spans="1:14">
      <c r="A2" t="s">
        <v>1</v>
      </c>
      <c r="B2" s="1">
        <v>2.0500000000000001E-2</v>
      </c>
      <c r="C2" s="1">
        <f>B2/2</f>
        <v>1.025E-2</v>
      </c>
      <c r="D2" s="1">
        <f>B2/2</f>
        <v>1.025E-2</v>
      </c>
      <c r="F2" s="1">
        <f>C2</f>
        <v>1.025E-2</v>
      </c>
    </row>
    <row r="3" spans="1:14">
      <c r="A3" t="s">
        <v>2</v>
      </c>
      <c r="B3" s="1">
        <v>0.2</v>
      </c>
      <c r="C3">
        <f>B3/2</f>
        <v>0.1</v>
      </c>
      <c r="D3">
        <f>B3/2</f>
        <v>0.1</v>
      </c>
      <c r="F3">
        <f>C3*I3</f>
        <v>0</v>
      </c>
      <c r="I3" s="2"/>
      <c r="K3" t="s">
        <v>23</v>
      </c>
      <c r="L3">
        <v>5800</v>
      </c>
      <c r="M3" t="s">
        <v>24</v>
      </c>
    </row>
    <row r="4" spans="1:14">
      <c r="A4" t="s">
        <v>3</v>
      </c>
      <c r="B4" s="1">
        <v>0.09</v>
      </c>
      <c r="C4" t="s">
        <v>4</v>
      </c>
      <c r="F4" t="s">
        <v>5</v>
      </c>
      <c r="I4" s="2"/>
    </row>
    <row r="5" spans="1:14">
      <c r="A5" t="s">
        <v>6</v>
      </c>
      <c r="B5" s="1">
        <v>5.5E-2</v>
      </c>
      <c r="C5" t="s">
        <v>4</v>
      </c>
      <c r="F5" t="s">
        <v>7</v>
      </c>
      <c r="I5" s="2"/>
    </row>
    <row r="6" spans="1:14">
      <c r="A6" t="s">
        <v>8</v>
      </c>
      <c r="B6" s="1">
        <v>0.03</v>
      </c>
      <c r="C6" s="1">
        <f>B6/2</f>
        <v>1.4999999999999999E-2</v>
      </c>
      <c r="D6" s="1">
        <f>B6/2</f>
        <v>1.4999999999999999E-2</v>
      </c>
      <c r="F6" t="s">
        <v>9</v>
      </c>
      <c r="I6" s="2"/>
    </row>
    <row r="7" spans="1:14">
      <c r="F7" s="1">
        <f>SUM(F1:F3)</f>
        <v>8.8969999999999994E-2</v>
      </c>
    </row>
    <row r="9" spans="1:14">
      <c r="A9">
        <v>43000</v>
      </c>
      <c r="F9">
        <f>A9*(1-F7)</f>
        <v>39174.29</v>
      </c>
    </row>
    <row r="12" spans="1:14">
      <c r="A12" t="s">
        <v>10</v>
      </c>
      <c r="B12" t="s">
        <v>11</v>
      </c>
    </row>
    <row r="13" spans="1:14">
      <c r="A13" t="s">
        <v>12</v>
      </c>
      <c r="B13" t="s">
        <v>13</v>
      </c>
    </row>
    <row r="22" spans="1:4">
      <c r="A22">
        <f>3*12*31.82</f>
        <v>1145.52</v>
      </c>
      <c r="B22">
        <f>A22*24.12%+3*114.6</f>
        <v>620.099424</v>
      </c>
      <c r="C22">
        <f>(A22-B22)*0.504%</f>
        <v>2.6481197030399999</v>
      </c>
      <c r="D22">
        <f>A22-B22-C22</f>
        <v>522.77245629695994</v>
      </c>
    </row>
    <row r="24" spans="1:4">
      <c r="A24">
        <v>60</v>
      </c>
      <c r="B24">
        <f>35.54*37</f>
        <v>1314.98</v>
      </c>
    </row>
    <row r="27" spans="1:4">
      <c r="A27">
        <f>(476.7-26.42-17.24-21.45)*(1+4.5%-0.65%)</f>
        <v>427.43621499999995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J28" sqref="J28"/>
    </sheetView>
  </sheetViews>
  <sheetFormatPr baseColWidth="10" defaultRowHeight="15"/>
  <cols>
    <col min="1" max="1" width="25.42578125" bestFit="1" customWidth="1"/>
    <col min="5" max="5" width="25.42578125" bestFit="1" customWidth="1"/>
    <col min="9" max="9" width="25.42578125" bestFit="1" customWidth="1"/>
  </cols>
  <sheetData>
    <row r="1" spans="1:10">
      <c r="A1" t="s">
        <v>52</v>
      </c>
      <c r="E1" t="s">
        <v>74</v>
      </c>
      <c r="I1" t="s">
        <v>80</v>
      </c>
    </row>
    <row r="3" spans="1:10">
      <c r="A3" t="s">
        <v>53</v>
      </c>
      <c r="B3">
        <f>1910.4</f>
        <v>1910.4</v>
      </c>
      <c r="E3" t="s">
        <v>53</v>
      </c>
      <c r="F3">
        <f>F12*F9</f>
        <v>1926.8797246872978</v>
      </c>
      <c r="I3" t="s">
        <v>53</v>
      </c>
      <c r="J3">
        <v>3860.08</v>
      </c>
    </row>
    <row r="4" spans="1:10">
      <c r="A4" t="s">
        <v>57</v>
      </c>
      <c r="B4">
        <f>B3/(3*12*31.82+40*12*106.07)</f>
        <v>3.6696740167717019E-2</v>
      </c>
      <c r="E4" t="s">
        <v>57</v>
      </c>
      <c r="F4" s="2">
        <v>0.04</v>
      </c>
      <c r="I4" t="s">
        <v>57</v>
      </c>
      <c r="J4">
        <f>J3/(4*12*50+38*12*166.67)</f>
        <v>4.9234759734250053E-2</v>
      </c>
    </row>
    <row r="5" spans="1:10">
      <c r="A5" t="s">
        <v>54</v>
      </c>
      <c r="B5">
        <v>8</v>
      </c>
      <c r="E5" t="s">
        <v>54</v>
      </c>
      <c r="F5">
        <v>5</v>
      </c>
      <c r="I5" t="s">
        <v>54</v>
      </c>
      <c r="J5">
        <v>10</v>
      </c>
    </row>
    <row r="6" spans="1:10">
      <c r="A6" t="s">
        <v>55</v>
      </c>
      <c r="B6">
        <v>43</v>
      </c>
      <c r="E6" t="s">
        <v>55</v>
      </c>
      <c r="F6">
        <v>46</v>
      </c>
      <c r="I6" t="s">
        <v>55</v>
      </c>
      <c r="J6">
        <v>42</v>
      </c>
    </row>
    <row r="7" spans="1:10">
      <c r="A7" t="s">
        <v>56</v>
      </c>
      <c r="B7" s="1">
        <v>4.4999999999999998E-2</v>
      </c>
      <c r="E7" t="s">
        <v>56</v>
      </c>
      <c r="F7" s="1">
        <v>4.1000000000000002E-2</v>
      </c>
      <c r="I7" t="s">
        <v>56</v>
      </c>
      <c r="J7" s="1">
        <v>0.05</v>
      </c>
    </row>
    <row r="9" spans="1:10">
      <c r="A9" t="s">
        <v>58</v>
      </c>
      <c r="B9">
        <f xml:space="preserve"> 1 / (1 - (B4 * (B6/B5) * (((1+B7)^B5 - 1) / ((1+B7)^B6 - 1) ) * ((1+B7)^(B6-B5)) ) ) - 1</f>
        <v>7.403347387813719E-2</v>
      </c>
      <c r="E9" t="s">
        <v>58</v>
      </c>
      <c r="F9">
        <f xml:space="preserve"> 1 / (1 - (F4 * (F6/F5) * (((1+F7)^F5 - 1) / ((1+F7)^F6 - 1) ) * ((1+F7)^(F6-F5)) ) ) - 1</f>
        <v>8.6368432303330245E-2</v>
      </c>
      <c r="I9" t="s">
        <v>58</v>
      </c>
      <c r="J9">
        <f xml:space="preserve"> 1 / (1 - (J4 * (J6/J5) * (((1+J7)^J5 - 1) / ((1+J7)^J6 - 1) ) * ((1+J7)^(J6-J5)) ) ) - 1</f>
        <v>0.10089094535015275</v>
      </c>
    </row>
    <row r="10" spans="1:10">
      <c r="A10" t="s">
        <v>59</v>
      </c>
      <c r="B10">
        <v>301.32</v>
      </c>
      <c r="E10" t="s">
        <v>59</v>
      </c>
      <c r="F10">
        <v>301.32</v>
      </c>
      <c r="I10" t="s">
        <v>59</v>
      </c>
      <c r="J10">
        <v>301.32</v>
      </c>
    </row>
    <row r="11" spans="1:10">
      <c r="A11" t="s">
        <v>60</v>
      </c>
      <c r="B11" s="1">
        <v>5.0400000000000002E-3</v>
      </c>
      <c r="F11" s="1"/>
      <c r="I11" t="s">
        <v>60</v>
      </c>
      <c r="J11" s="1">
        <v>5.0400000000000002E-3</v>
      </c>
    </row>
    <row r="12" spans="1:10">
      <c r="F12">
        <f>F6*485</f>
        <v>22310</v>
      </c>
    </row>
    <row r="14" spans="1:10">
      <c r="I14" t="s">
        <v>83</v>
      </c>
    </row>
    <row r="16" spans="1:10">
      <c r="I16" t="s">
        <v>53</v>
      </c>
      <c r="J16">
        <v>836.39</v>
      </c>
    </row>
    <row r="17" spans="9:10">
      <c r="I17" t="s">
        <v>57</v>
      </c>
      <c r="J17">
        <f>J16/(42*12*45+431.7)</f>
        <v>3.6189029798759931E-2</v>
      </c>
    </row>
    <row r="18" spans="9:10">
      <c r="I18" t="s">
        <v>54</v>
      </c>
      <c r="J18">
        <v>5</v>
      </c>
    </row>
    <row r="19" spans="9:10">
      <c r="I19" t="s">
        <v>55</v>
      </c>
      <c r="J19">
        <v>42</v>
      </c>
    </row>
    <row r="20" spans="9:10">
      <c r="I20" t="s">
        <v>56</v>
      </c>
      <c r="J20" s="1">
        <v>4.4999999999999998E-2</v>
      </c>
    </row>
    <row r="22" spans="9:10">
      <c r="I22" t="s">
        <v>58</v>
      </c>
      <c r="J22">
        <f xml:space="preserve"> 1 / (1 - (J17 * (J19/J18) * (((1+J20)^J18 - 1) / ((1+J20)^J19 - 1) ) * ((1+J20)^(J19-J18)) ) ) - 1</f>
        <v>7.6743673812828428E-2</v>
      </c>
    </row>
    <row r="23" spans="9:10">
      <c r="I23" t="s">
        <v>59</v>
      </c>
      <c r="J23">
        <v>301.32</v>
      </c>
    </row>
    <row r="24" spans="9:10">
      <c r="I24" t="s">
        <v>60</v>
      </c>
      <c r="J24" s="1">
        <v>5.0400000000000002E-3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Christoph Mihaljevic</cp:lastModifiedBy>
  <dcterms:created xsi:type="dcterms:W3CDTF">2013-11-18T09:03:54Z</dcterms:created>
  <dcterms:modified xsi:type="dcterms:W3CDTF">2013-11-18T23:45:56Z</dcterms:modified>
</cp:coreProperties>
</file>