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9705" yWindow="-15" windowWidth="9510" windowHeight="12210"/>
  </bookViews>
  <sheets>
    <sheet name="Grenzgänger" sheetId="1" r:id="rId1"/>
    <sheet name="Tabelle3" sheetId="3" r:id="rId2"/>
  </sheets>
  <calcPr calcId="125725"/>
</workbook>
</file>

<file path=xl/calcChain.xml><?xml version="1.0" encoding="utf-8"?>
<calcChain xmlns="http://schemas.openxmlformats.org/spreadsheetml/2006/main">
  <c r="F15" i="1"/>
  <c r="F9"/>
  <c r="F10"/>
  <c r="F11"/>
  <c r="F12"/>
  <c r="F8"/>
  <c r="E17" l="1"/>
  <c r="D36" s="1"/>
  <c r="F13"/>
  <c r="F20" s="1"/>
  <c r="I8"/>
  <c r="I9"/>
  <c r="I10"/>
  <c r="I11"/>
  <c r="I12"/>
  <c r="I15"/>
  <c r="I26" s="1"/>
  <c r="I17"/>
  <c r="I6"/>
  <c r="G17"/>
  <c r="J17" s="1"/>
  <c r="G7"/>
  <c r="G8"/>
  <c r="J8" s="1"/>
  <c r="G9"/>
  <c r="J9" s="1"/>
  <c r="G10"/>
  <c r="J10" s="1"/>
  <c r="G11"/>
  <c r="J11" s="1"/>
  <c r="G12"/>
  <c r="J12" s="1"/>
  <c r="G15"/>
  <c r="J15" s="1"/>
  <c r="G6"/>
  <c r="D35"/>
  <c r="J13" l="1"/>
  <c r="I13"/>
  <c r="I20" s="1"/>
  <c r="M28" s="1"/>
  <c r="N37" s="1"/>
  <c r="J6"/>
  <c r="D38" s="1"/>
  <c r="G13"/>
  <c r="G20" s="1"/>
  <c r="J20" l="1"/>
  <c r="N28" l="1"/>
  <c r="E45"/>
  <c r="E46"/>
  <c r="C44"/>
  <c r="E43" s="1"/>
  <c r="C42"/>
  <c r="E41" s="1"/>
  <c r="I25" l="1"/>
  <c r="I28" s="1"/>
  <c r="J37" s="1"/>
  <c r="J28"/>
</calcChain>
</file>

<file path=xl/sharedStrings.xml><?xml version="1.0" encoding="utf-8"?>
<sst xmlns="http://schemas.openxmlformats.org/spreadsheetml/2006/main" count="73" uniqueCount="63">
  <si>
    <t>ALV</t>
  </si>
  <si>
    <t>NBU</t>
  </si>
  <si>
    <t>KTG</t>
  </si>
  <si>
    <t>Pensionskasse</t>
  </si>
  <si>
    <t>Krankentagegeld-V.</t>
  </si>
  <si>
    <t>Nichtbetriebsunfall-V.</t>
  </si>
  <si>
    <t>Arbeitslosen-V.</t>
  </si>
  <si>
    <t xml:space="preserve">AHV / IV </t>
  </si>
  <si>
    <t>insgesamt 10,3% (hälfte von Arbeitgeber)</t>
  </si>
  <si>
    <t>insgesamt 2,2% (hälfte von Arbeitgeber)</t>
  </si>
  <si>
    <t>geschätzt</t>
  </si>
  <si>
    <t>bis 8.354 Euro</t>
  </si>
  <si>
    <t>(Grundfreibetrag): 0</t>
  </si>
  <si>
    <t>8.355 Euro bis 13.469 Euro:</t>
  </si>
  <si>
    <t>ESt = (974,58 · Y + 1.400) · Y</t>
  </si>
  <si>
    <t>Y = (zvE - 8.354) / 10.000</t>
  </si>
  <si>
    <t>13.470 Euro bis 52.881 Euro:</t>
  </si>
  <si>
    <t>ESt = (228,74 × Z + 2.397) × Z + 971</t>
  </si>
  <si>
    <t>Z = (zvE - 13.469) / 10.000</t>
  </si>
  <si>
    <t>52.882 Euro bis 250.730 Euro:</t>
  </si>
  <si>
    <t>ESt = 0,42 × zvE - 8.239</t>
  </si>
  <si>
    <t>ab 250.731 Euro:</t>
  </si>
  <si>
    <t>ESt = 0,45 × zvE - 15 761</t>
  </si>
  <si>
    <t>Est</t>
  </si>
  <si>
    <t>http://www.parmentier.de/steuer/steuer.htm?steuersatz.htm</t>
  </si>
  <si>
    <t>Krankenversicherung</t>
  </si>
  <si>
    <t>Vorsorgepauschale</t>
  </si>
  <si>
    <t>Freibetrag</t>
  </si>
  <si>
    <t>Rentenanrechnung</t>
  </si>
  <si>
    <t>Krankenkasse Anrechnung</t>
  </si>
  <si>
    <t>Faktor  Lebenshaltung</t>
  </si>
  <si>
    <t>Alters-,Hinterlassenen-/Invaliden-V.</t>
  </si>
  <si>
    <t>zu versteuerndes Einkommen</t>
  </si>
  <si>
    <t>monatl.</t>
  </si>
  <si>
    <t>SFR</t>
  </si>
  <si>
    <t>EUR</t>
  </si>
  <si>
    <t>http://www.lohncomputer.ch/</t>
  </si>
  <si>
    <t>Deutsche Einkommensteuerberechnung:</t>
  </si>
  <si>
    <t>1.Säule</t>
  </si>
  <si>
    <t>2.Säule</t>
  </si>
  <si>
    <t>schon an Schweiz gezahlt</t>
  </si>
  <si>
    <t>Jahr*</t>
  </si>
  <si>
    <t>* 13 Monatsgehälter</t>
  </si>
  <si>
    <t>schweizer Netto</t>
  </si>
  <si>
    <t>Unterschied:</t>
  </si>
  <si>
    <t>alter Nettolohn</t>
  </si>
  <si>
    <t>Schweizer Abzüge vom Brutto</t>
  </si>
  <si>
    <t>Angebot auf "lohncomputer.ch"</t>
  </si>
  <si>
    <t>Quellensteuer von Schweiz einbehalten</t>
  </si>
  <si>
    <t>Grenzgänger</t>
  </si>
  <si>
    <t>Auswanderer</t>
  </si>
  <si>
    <t>in Deutschland fällige Lohnsteuer insgesamt:</t>
  </si>
  <si>
    <t>unklar ob das angerechnet werden kann:</t>
  </si>
  <si>
    <t>Wohnort Schweiz</t>
  </si>
  <si>
    <t>==&gt;</t>
  </si>
  <si>
    <t>Miete Mehrkosten*</t>
  </si>
  <si>
    <t xml:space="preserve">* aktuell mittlere Aufwendung </t>
  </si>
  <si>
    <t>variabel</t>
  </si>
  <si>
    <t>Versicherungsbeiträge</t>
  </si>
  <si>
    <t>Steuer</t>
  </si>
  <si>
    <t>unklar</t>
  </si>
  <si>
    <t>netto</t>
  </si>
  <si>
    <t>* aktuell 630 warm inkl. Netz/TV</t>
  </si>
</sst>
</file>

<file path=xl/styles.xml><?xml version="1.0" encoding="utf-8"?>
<styleSheet xmlns="http://schemas.openxmlformats.org/spreadsheetml/2006/main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Tahoma"/>
      <family val="2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u/>
      <sz val="7.7"/>
      <color theme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10" fontId="0" fillId="0" borderId="0" xfId="2" applyNumberFormat="1" applyFont="1"/>
    <xf numFmtId="0" fontId="0" fillId="2" borderId="0" xfId="0" applyFill="1"/>
    <xf numFmtId="0" fontId="0" fillId="3" borderId="0" xfId="0" applyFill="1"/>
    <xf numFmtId="10" fontId="0" fillId="3" borderId="0" xfId="2" applyNumberFormat="1" applyFont="1" applyFill="1"/>
    <xf numFmtId="0" fontId="0" fillId="4" borderId="0" xfId="0" applyFill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0" xfId="0" applyAlignment="1"/>
    <xf numFmtId="0" fontId="0" fillId="3" borderId="0" xfId="0" applyFill="1" applyAlignment="1"/>
    <xf numFmtId="0" fontId="0" fillId="0" borderId="3" xfId="0" applyBorder="1"/>
    <xf numFmtId="0" fontId="0" fillId="0" borderId="7" xfId="0" applyBorder="1" applyAlignment="1"/>
    <xf numFmtId="0" fontId="0" fillId="0" borderId="0" xfId="0" applyBorder="1" applyAlignment="1"/>
    <xf numFmtId="0" fontId="0" fillId="0" borderId="0" xfId="0" applyBorder="1"/>
    <xf numFmtId="0" fontId="0" fillId="0" borderId="7" xfId="0" applyBorder="1" applyAlignment="1">
      <alignment vertical="center"/>
    </xf>
    <xf numFmtId="0" fontId="0" fillId="0" borderId="8" xfId="0" applyBorder="1"/>
    <xf numFmtId="0" fontId="0" fillId="2" borderId="7" xfId="0" applyFill="1" applyBorder="1" applyAlignment="1">
      <alignment vertical="center"/>
    </xf>
    <xf numFmtId="0" fontId="0" fillId="2" borderId="0" xfId="0" applyFill="1" applyBorder="1"/>
    <xf numFmtId="0" fontId="0" fillId="2" borderId="8" xfId="0" applyFill="1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right"/>
    </xf>
    <xf numFmtId="0" fontId="0" fillId="2" borderId="0" xfId="0" applyFill="1" applyAlignment="1"/>
    <xf numFmtId="10" fontId="0" fillId="2" borderId="0" xfId="2" applyNumberFormat="1" applyFont="1" applyFill="1"/>
    <xf numFmtId="0" fontId="0" fillId="7" borderId="0" xfId="0" applyFill="1"/>
    <xf numFmtId="44" fontId="0" fillId="0" borderId="7" xfId="1" applyFont="1" applyBorder="1"/>
    <xf numFmtId="44" fontId="0" fillId="3" borderId="7" xfId="1" applyFont="1" applyFill="1" applyBorder="1"/>
    <xf numFmtId="44" fontId="0" fillId="3" borderId="9" xfId="1" applyFont="1" applyFill="1" applyBorder="1"/>
    <xf numFmtId="0" fontId="0" fillId="0" borderId="7" xfId="0" applyBorder="1"/>
    <xf numFmtId="44" fontId="0" fillId="0" borderId="8" xfId="1" applyFont="1" applyBorder="1"/>
    <xf numFmtId="44" fontId="0" fillId="3" borderId="8" xfId="1" applyFont="1" applyFill="1" applyBorder="1"/>
    <xf numFmtId="44" fontId="0" fillId="3" borderId="10" xfId="1" applyFont="1" applyFill="1" applyBorder="1"/>
    <xf numFmtId="0" fontId="0" fillId="3" borderId="8" xfId="0" applyFill="1" applyBorder="1"/>
    <xf numFmtId="0" fontId="0" fillId="3" borderId="7" xfId="0" applyFill="1" applyBorder="1"/>
    <xf numFmtId="0" fontId="0" fillId="8" borderId="7" xfId="0" applyFill="1" applyBorder="1" applyAlignment="1"/>
    <xf numFmtId="0" fontId="0" fillId="8" borderId="0" xfId="0" applyFill="1" applyBorder="1"/>
    <xf numFmtId="0" fontId="0" fillId="8" borderId="1" xfId="0" applyFill="1" applyBorder="1" applyAlignment="1"/>
    <xf numFmtId="0" fontId="0" fillId="8" borderId="2" xfId="0" applyFill="1" applyBorder="1"/>
    <xf numFmtId="0" fontId="0" fillId="8" borderId="0" xfId="0" applyFill="1" applyAlignment="1"/>
    <xf numFmtId="0" fontId="0" fillId="8" borderId="0" xfId="0" applyFill="1"/>
    <xf numFmtId="0" fontId="0" fillId="2" borderId="7" xfId="0" applyFill="1" applyBorder="1"/>
    <xf numFmtId="44" fontId="0" fillId="2" borderId="7" xfId="1" applyFont="1" applyFill="1" applyBorder="1"/>
    <xf numFmtId="44" fontId="0" fillId="2" borderId="8" xfId="1" applyFont="1" applyFill="1" applyBorder="1"/>
    <xf numFmtId="10" fontId="5" fillId="7" borderId="0" xfId="2" applyNumberFormat="1" applyFont="1" applyFill="1"/>
    <xf numFmtId="0" fontId="0" fillId="7" borderId="8" xfId="0" applyFill="1" applyBorder="1"/>
    <xf numFmtId="44" fontId="0" fillId="7" borderId="7" xfId="1" applyFont="1" applyFill="1" applyBorder="1"/>
    <xf numFmtId="44" fontId="0" fillId="7" borderId="8" xfId="1" applyFont="1" applyFill="1" applyBorder="1"/>
    <xf numFmtId="0" fontId="0" fillId="5" borderId="0" xfId="0" applyFill="1"/>
    <xf numFmtId="0" fontId="6" fillId="5" borderId="0" xfId="0" applyFont="1" applyFill="1"/>
    <xf numFmtId="0" fontId="6" fillId="5" borderId="0" xfId="0" applyFont="1" applyFill="1" applyAlignment="1">
      <alignment horizontal="right"/>
    </xf>
    <xf numFmtId="0" fontId="2" fillId="5" borderId="9" xfId="0" applyFont="1" applyFill="1" applyBorder="1"/>
    <xf numFmtId="0" fontId="2" fillId="5" borderId="10" xfId="0" applyFont="1" applyFill="1" applyBorder="1"/>
    <xf numFmtId="44" fontId="2" fillId="5" borderId="9" xfId="1" applyFont="1" applyFill="1" applyBorder="1"/>
    <xf numFmtId="44" fontId="2" fillId="5" borderId="10" xfId="1" applyFon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8" borderId="1" xfId="0" applyFont="1" applyFill="1" applyBorder="1" applyAlignment="1"/>
    <xf numFmtId="0" fontId="7" fillId="8" borderId="0" xfId="0" applyFont="1" applyFill="1" applyAlignment="1"/>
    <xf numFmtId="0" fontId="2" fillId="2" borderId="7" xfId="0" applyFont="1" applyFill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0" fillId="10" borderId="0" xfId="0" applyFill="1" applyBorder="1" applyAlignment="1">
      <alignment horizontal="right"/>
    </xf>
    <xf numFmtId="0" fontId="0" fillId="10" borderId="0" xfId="0" applyFill="1" applyBorder="1"/>
    <xf numFmtId="0" fontId="2" fillId="7" borderId="7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0" fillId="9" borderId="0" xfId="0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44" fontId="3" fillId="5" borderId="12" xfId="0" applyNumberFormat="1" applyFont="1" applyFill="1" applyBorder="1"/>
    <xf numFmtId="44" fontId="3" fillId="5" borderId="13" xfId="0" applyNumberFormat="1" applyFont="1" applyFill="1" applyBorder="1"/>
    <xf numFmtId="44" fontId="0" fillId="2" borderId="0" xfId="1" applyFont="1" applyFill="1" applyBorder="1" applyAlignment="1">
      <alignment vertical="center"/>
    </xf>
    <xf numFmtId="0" fontId="0" fillId="0" borderId="18" xfId="0" applyBorder="1"/>
    <xf numFmtId="0" fontId="0" fillId="0" borderId="17" xfId="0" applyBorder="1"/>
    <xf numFmtId="0" fontId="2" fillId="4" borderId="17" xfId="0" applyFont="1" applyFill="1" applyBorder="1"/>
    <xf numFmtId="0" fontId="2" fillId="4" borderId="0" xfId="0" applyFont="1" applyFill="1" applyBorder="1"/>
    <xf numFmtId="0" fontId="6" fillId="4" borderId="0" xfId="0" applyFont="1" applyFill="1" applyBorder="1" applyAlignment="1">
      <alignment horizontal="right"/>
    </xf>
    <xf numFmtId="0" fontId="0" fillId="6" borderId="19" xfId="0" applyFill="1" applyBorder="1"/>
    <xf numFmtId="0" fontId="0" fillId="6" borderId="20" xfId="0" applyFill="1" applyBorder="1"/>
    <xf numFmtId="0" fontId="4" fillId="6" borderId="20" xfId="0" applyFont="1" applyFill="1" applyBorder="1" applyAlignment="1">
      <alignment horizontal="right"/>
    </xf>
    <xf numFmtId="0" fontId="2" fillId="4" borderId="18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8" fontId="4" fillId="6" borderId="21" xfId="0" applyNumberFormat="1" applyFont="1" applyFill="1" applyBorder="1" applyAlignment="1">
      <alignment horizontal="right"/>
    </xf>
    <xf numFmtId="0" fontId="10" fillId="0" borderId="0" xfId="0" applyFont="1" applyAlignment="1"/>
    <xf numFmtId="0" fontId="10" fillId="0" borderId="0" xfId="0" applyFont="1"/>
    <xf numFmtId="0" fontId="2" fillId="9" borderId="8" xfId="0" applyFont="1" applyFill="1" applyBorder="1" applyAlignment="1">
      <alignment horizontal="center"/>
    </xf>
    <xf numFmtId="0" fontId="0" fillId="9" borderId="8" xfId="0" applyFill="1" applyBorder="1"/>
    <xf numFmtId="0" fontId="9" fillId="4" borderId="7" xfId="0" applyFont="1" applyFill="1" applyBorder="1"/>
    <xf numFmtId="0" fontId="2" fillId="4" borderId="23" xfId="0" applyFont="1" applyFill="1" applyBorder="1" applyAlignment="1">
      <alignment horizontal="center"/>
    </xf>
    <xf numFmtId="9" fontId="2" fillId="4" borderId="23" xfId="2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18" xfId="0" applyFill="1" applyBorder="1" applyAlignment="1">
      <alignment horizontal="center"/>
    </xf>
    <xf numFmtId="0" fontId="0" fillId="11" borderId="0" xfId="0" applyFill="1" applyBorder="1" applyAlignment="1">
      <alignment horizontal="left"/>
    </xf>
    <xf numFmtId="0" fontId="0" fillId="11" borderId="0" xfId="0" applyFill="1"/>
    <xf numFmtId="164" fontId="0" fillId="11" borderId="0" xfId="1" applyNumberFormat="1" applyFont="1" applyFill="1"/>
    <xf numFmtId="0" fontId="0" fillId="9" borderId="0" xfId="0" applyFill="1"/>
    <xf numFmtId="0" fontId="2" fillId="12" borderId="12" xfId="0" applyFont="1" applyFill="1" applyBorder="1"/>
    <xf numFmtId="0" fontId="2" fillId="12" borderId="22" xfId="0" applyFont="1" applyFill="1" applyBorder="1"/>
    <xf numFmtId="0" fontId="2" fillId="12" borderId="22" xfId="0" applyFont="1" applyFill="1" applyBorder="1" applyAlignment="1">
      <alignment horizontal="right"/>
    </xf>
    <xf numFmtId="0" fontId="12" fillId="8" borderId="7" xfId="3" applyFill="1" applyBorder="1" applyAlignment="1" applyProtection="1"/>
    <xf numFmtId="0" fontId="0" fillId="2" borderId="17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6" borderId="17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44" fontId="2" fillId="0" borderId="0" xfId="0" applyNumberFormat="1" applyFont="1" applyBorder="1" applyAlignment="1">
      <alignment horizontal="center"/>
    </xf>
    <xf numFmtId="44" fontId="2" fillId="0" borderId="8" xfId="0" applyNumberFormat="1" applyFont="1" applyBorder="1" applyAlignment="1">
      <alignment horizontal="center"/>
    </xf>
    <xf numFmtId="0" fontId="10" fillId="0" borderId="11" xfId="0" quotePrefix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17" xfId="0" applyFont="1" applyFill="1" applyBorder="1" applyAlignment="1">
      <alignment horizontal="center"/>
    </xf>
    <xf numFmtId="0" fontId="7" fillId="6" borderId="0" xfId="0" applyFont="1" applyFill="1" applyBorder="1" applyAlignment="1">
      <alignment horizontal="center"/>
    </xf>
    <xf numFmtId="0" fontId="7" fillId="6" borderId="18" xfId="0" applyFont="1" applyFill="1" applyBorder="1" applyAlignment="1">
      <alignment horizontal="center"/>
    </xf>
  </cellXfs>
  <cellStyles count="4">
    <cellStyle name="Hyperlink" xfId="3" builtinId="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mentier.de/steuer/steuer.htm?steuersatz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"/>
  <sheetViews>
    <sheetView tabSelected="1" zoomScale="70" zoomScaleNormal="70" workbookViewId="0">
      <pane ySplit="3" topLeftCell="A4" activePane="bottomLeft" state="frozen"/>
      <selection pane="bottomLeft" activeCell="C26" sqref="C26"/>
    </sheetView>
  </sheetViews>
  <sheetFormatPr baseColWidth="10" defaultRowHeight="15"/>
  <cols>
    <col min="1" max="1" width="27.42578125" style="9" customWidth="1"/>
    <col min="2" max="2" width="16.42578125" style="9" customWidth="1"/>
    <col min="3" max="3" width="34.140625" customWidth="1"/>
    <col min="4" max="4" width="26.5703125" customWidth="1"/>
    <col min="6" max="6" width="13.42578125" customWidth="1"/>
    <col min="7" max="7" width="12" bestFit="1" customWidth="1"/>
    <col min="8" max="8" width="15.7109375" customWidth="1"/>
    <col min="9" max="9" width="15" bestFit="1" customWidth="1"/>
    <col min="10" max="10" width="20.7109375" customWidth="1"/>
    <col min="13" max="13" width="15" bestFit="1" customWidth="1"/>
    <col min="14" max="14" width="17.85546875" bestFit="1" customWidth="1"/>
  </cols>
  <sheetData>
    <row r="1" spans="1:11">
      <c r="C1" s="5" t="s">
        <v>57</v>
      </c>
      <c r="D1" s="3" t="s">
        <v>58</v>
      </c>
      <c r="E1" s="95" t="s">
        <v>60</v>
      </c>
    </row>
    <row r="2" spans="1:11">
      <c r="D2" s="2" t="s">
        <v>59</v>
      </c>
      <c r="E2" s="47" t="s">
        <v>61</v>
      </c>
    </row>
    <row r="4" spans="1:11" s="82" customFormat="1" ht="33.75">
      <c r="A4" s="81"/>
      <c r="B4" s="81"/>
      <c r="F4" s="111" t="s">
        <v>34</v>
      </c>
      <c r="G4" s="112"/>
      <c r="H4" s="109" t="s">
        <v>54</v>
      </c>
      <c r="I4" s="111" t="s">
        <v>35</v>
      </c>
      <c r="J4" s="112"/>
    </row>
    <row r="5" spans="1:11" ht="26.25">
      <c r="A5" s="57" t="s">
        <v>46</v>
      </c>
      <c r="B5" s="38"/>
      <c r="C5" s="39"/>
      <c r="F5" s="54" t="s">
        <v>33</v>
      </c>
      <c r="G5" s="55" t="s">
        <v>41</v>
      </c>
      <c r="H5" s="110"/>
      <c r="I5" s="54" t="s">
        <v>33</v>
      </c>
      <c r="J5" s="55" t="s">
        <v>41</v>
      </c>
      <c r="K5" s="66" t="s">
        <v>42</v>
      </c>
    </row>
    <row r="6" spans="1:11" ht="28.5">
      <c r="A6" s="38" t="s">
        <v>36</v>
      </c>
      <c r="B6" s="38"/>
      <c r="C6" s="39"/>
      <c r="F6" s="85">
        <v>6000</v>
      </c>
      <c r="G6" s="16">
        <f>F6*13</f>
        <v>78000</v>
      </c>
      <c r="H6" s="110"/>
      <c r="I6" s="25">
        <f>F6/1.2</f>
        <v>5000</v>
      </c>
      <c r="J6" s="29">
        <f>G6/1.2</f>
        <v>65000</v>
      </c>
    </row>
    <row r="7" spans="1:11">
      <c r="F7" s="28"/>
      <c r="G7" s="16">
        <f t="shared" ref="G7:G15" si="0">F7*13</f>
        <v>0</v>
      </c>
      <c r="H7" s="110"/>
      <c r="I7" s="25"/>
      <c r="J7" s="29"/>
    </row>
    <row r="8" spans="1:11">
      <c r="A8" s="9" t="s">
        <v>38</v>
      </c>
      <c r="B8" s="10" t="s">
        <v>7</v>
      </c>
      <c r="C8" s="3" t="s">
        <v>31</v>
      </c>
      <c r="D8" s="3" t="s">
        <v>8</v>
      </c>
      <c r="E8" s="4">
        <v>5.1499999999999997E-2</v>
      </c>
      <c r="F8" s="33">
        <f>E8*F$6</f>
        <v>309</v>
      </c>
      <c r="G8" s="32">
        <f t="shared" si="0"/>
        <v>4017</v>
      </c>
      <c r="H8" s="110"/>
      <c r="I8" s="26">
        <f t="shared" ref="I8:I17" si="1">F8/1.2</f>
        <v>257.5</v>
      </c>
      <c r="J8" s="30">
        <f t="shared" ref="J8:J17" si="2">G8/1.2</f>
        <v>3347.5</v>
      </c>
    </row>
    <row r="9" spans="1:11">
      <c r="B9" s="10" t="s">
        <v>0</v>
      </c>
      <c r="C9" s="3" t="s">
        <v>6</v>
      </c>
      <c r="D9" s="3" t="s">
        <v>9</v>
      </c>
      <c r="E9" s="4">
        <v>1.0999999999999999E-2</v>
      </c>
      <c r="F9" s="33">
        <f t="shared" ref="F9:F12" si="3">E9*F$6</f>
        <v>66</v>
      </c>
      <c r="G9" s="32">
        <f t="shared" si="0"/>
        <v>858</v>
      </c>
      <c r="H9" s="110"/>
      <c r="I9" s="26">
        <f t="shared" si="1"/>
        <v>55</v>
      </c>
      <c r="J9" s="30">
        <f t="shared" si="2"/>
        <v>715</v>
      </c>
    </row>
    <row r="10" spans="1:11">
      <c r="B10" s="10" t="s">
        <v>1</v>
      </c>
      <c r="C10" s="3" t="s">
        <v>5</v>
      </c>
      <c r="D10" s="3" t="s">
        <v>10</v>
      </c>
      <c r="E10" s="4">
        <v>1.4400000000000001E-2</v>
      </c>
      <c r="F10" s="33">
        <f t="shared" si="3"/>
        <v>86.4</v>
      </c>
      <c r="G10" s="32">
        <f t="shared" si="0"/>
        <v>1123.2</v>
      </c>
      <c r="H10" s="110"/>
      <c r="I10" s="26">
        <f t="shared" si="1"/>
        <v>72.000000000000014</v>
      </c>
      <c r="J10" s="30">
        <f t="shared" si="2"/>
        <v>936.00000000000011</v>
      </c>
    </row>
    <row r="11" spans="1:11">
      <c r="B11" s="10" t="s">
        <v>2</v>
      </c>
      <c r="C11" s="3" t="s">
        <v>4</v>
      </c>
      <c r="D11" s="3" t="s">
        <v>10</v>
      </c>
      <c r="E11" s="4">
        <v>4.4999999999999997E-3</v>
      </c>
      <c r="F11" s="33">
        <f t="shared" si="3"/>
        <v>26.999999999999996</v>
      </c>
      <c r="G11" s="32">
        <f t="shared" si="0"/>
        <v>350.99999999999994</v>
      </c>
      <c r="H11" s="110"/>
      <c r="I11" s="26">
        <f t="shared" si="1"/>
        <v>22.499999999999996</v>
      </c>
      <c r="J11" s="30">
        <f t="shared" si="2"/>
        <v>292.49999999999994</v>
      </c>
    </row>
    <row r="12" spans="1:11">
      <c r="A12" s="9" t="s">
        <v>39</v>
      </c>
      <c r="B12" s="10" t="s">
        <v>3</v>
      </c>
      <c r="C12" s="3"/>
      <c r="D12" s="3"/>
      <c r="E12" s="4">
        <v>5.1866666666666665E-2</v>
      </c>
      <c r="F12" s="33">
        <f t="shared" si="3"/>
        <v>311.2</v>
      </c>
      <c r="G12" s="32">
        <f t="shared" si="0"/>
        <v>4045.6</v>
      </c>
      <c r="H12" s="110"/>
      <c r="I12" s="26">
        <f t="shared" si="1"/>
        <v>259.33333333333331</v>
      </c>
      <c r="J12" s="30">
        <f t="shared" si="2"/>
        <v>3371.3333333333335</v>
      </c>
    </row>
    <row r="13" spans="1:11" ht="15.75" thickBot="1">
      <c r="B13" s="10"/>
      <c r="C13" s="3"/>
      <c r="D13" s="3"/>
      <c r="E13" s="4"/>
      <c r="F13" s="63">
        <f>SUM(F8:F12)</f>
        <v>799.59999999999991</v>
      </c>
      <c r="G13" s="64">
        <f>SUM(G8:G12)</f>
        <v>10394.799999999999</v>
      </c>
      <c r="H13" s="110"/>
      <c r="I13" s="27">
        <f>SUM(I8:I12)</f>
        <v>666.33333333333326</v>
      </c>
      <c r="J13" s="31">
        <f>SUM(J8:J12)</f>
        <v>8662.3333333333339</v>
      </c>
    </row>
    <row r="14" spans="1:11" ht="15.75" thickTop="1">
      <c r="E14" s="1"/>
      <c r="F14" s="28"/>
      <c r="G14" s="16"/>
      <c r="H14" s="110"/>
      <c r="I14" s="25"/>
      <c r="J14" s="29"/>
    </row>
    <row r="15" spans="1:11">
      <c r="B15" s="22" t="s">
        <v>48</v>
      </c>
      <c r="C15" s="2"/>
      <c r="D15" s="2"/>
      <c r="E15" s="23">
        <v>4.4999999999999998E-2</v>
      </c>
      <c r="F15" s="40">
        <f t="shared" ref="F15" si="4">E15*F$6</f>
        <v>270</v>
      </c>
      <c r="G15" s="19">
        <f t="shared" si="0"/>
        <v>3510</v>
      </c>
      <c r="H15" s="110"/>
      <c r="I15" s="41">
        <f t="shared" si="1"/>
        <v>225</v>
      </c>
      <c r="J15" s="42">
        <f t="shared" si="2"/>
        <v>2925</v>
      </c>
    </row>
    <row r="16" spans="1:11">
      <c r="F16" s="28"/>
      <c r="G16" s="16"/>
      <c r="H16" s="110"/>
      <c r="I16" s="25"/>
      <c r="J16" s="29"/>
    </row>
    <row r="17" spans="1:18">
      <c r="C17" s="24" t="s">
        <v>25</v>
      </c>
      <c r="D17" s="24" t="s">
        <v>47</v>
      </c>
      <c r="E17" s="43">
        <f>F17/F6</f>
        <v>6.3333333333333339E-2</v>
      </c>
      <c r="F17" s="62">
        <v>380</v>
      </c>
      <c r="G17" s="44">
        <f>F17*12</f>
        <v>4560</v>
      </c>
      <c r="H17" s="110"/>
      <c r="I17" s="45">
        <f t="shared" si="1"/>
        <v>316.66666666666669</v>
      </c>
      <c r="J17" s="46">
        <f t="shared" si="2"/>
        <v>3800</v>
      </c>
    </row>
    <row r="18" spans="1:18">
      <c r="F18" s="28"/>
      <c r="G18" s="16"/>
      <c r="H18" s="110"/>
      <c r="I18" s="28"/>
      <c r="J18" s="16"/>
    </row>
    <row r="19" spans="1:18">
      <c r="F19" s="28"/>
      <c r="G19" s="16"/>
      <c r="H19" s="110"/>
      <c r="I19" s="28"/>
      <c r="J19" s="16"/>
    </row>
    <row r="20" spans="1:18" ht="16.5" thickBot="1">
      <c r="D20" s="48"/>
      <c r="E20" s="49" t="s">
        <v>43</v>
      </c>
      <c r="F20" s="50">
        <f>F6-F13-F15-F17</f>
        <v>4550.3999999999996</v>
      </c>
      <c r="G20" s="51">
        <f>G6-G13-G15-G17</f>
        <v>59535.199999999997</v>
      </c>
      <c r="H20" s="110"/>
      <c r="I20" s="52">
        <f>I6-I13-I15-I17</f>
        <v>3792.0000000000005</v>
      </c>
      <c r="J20" s="53">
        <f>J6-J13-J15-J17</f>
        <v>49612.666666666664</v>
      </c>
    </row>
    <row r="21" spans="1:18" ht="15.75" thickTop="1"/>
    <row r="22" spans="1:18" ht="15.75" thickBot="1"/>
    <row r="23" spans="1:18" ht="15" customHeight="1">
      <c r="G23" s="113" t="s">
        <v>49</v>
      </c>
      <c r="H23" s="114"/>
      <c r="I23" s="114"/>
      <c r="J23" s="115"/>
      <c r="L23" s="113" t="s">
        <v>50</v>
      </c>
      <c r="M23" s="114"/>
      <c r="N23" s="115"/>
    </row>
    <row r="24" spans="1:18" ht="15" customHeight="1">
      <c r="G24" s="116"/>
      <c r="H24" s="117"/>
      <c r="I24" s="117"/>
      <c r="J24" s="118"/>
      <c r="L24" s="116"/>
      <c r="M24" s="117"/>
      <c r="N24" s="118"/>
    </row>
    <row r="25" spans="1:18" ht="35.25" customHeight="1">
      <c r="G25" s="102" t="s">
        <v>51</v>
      </c>
      <c r="H25" s="103"/>
      <c r="I25" s="69">
        <f>IF(D38&gt;250731,E46/13,IF(D38&gt;52882,E45/13,E43/13))</f>
        <v>1371.3753846153845</v>
      </c>
      <c r="J25" s="70"/>
      <c r="L25" s="104" t="s">
        <v>53</v>
      </c>
      <c r="M25" s="105"/>
      <c r="N25" s="106"/>
    </row>
    <row r="26" spans="1:18" ht="32.25" customHeight="1">
      <c r="G26" s="100" t="s">
        <v>40</v>
      </c>
      <c r="H26" s="101"/>
      <c r="I26" s="69">
        <f>-I15</f>
        <v>-225</v>
      </c>
      <c r="J26" s="70"/>
      <c r="L26" s="71"/>
      <c r="M26" s="14"/>
      <c r="N26" s="70"/>
    </row>
    <row r="27" spans="1:18" ht="15.75" thickBot="1">
      <c r="G27" s="71"/>
      <c r="H27" s="14"/>
      <c r="I27" s="14"/>
      <c r="J27" s="70"/>
      <c r="L27" s="71"/>
      <c r="M27" s="14"/>
      <c r="N27" s="70"/>
    </row>
    <row r="28" spans="1:18" ht="19.5" thickBot="1">
      <c r="G28" s="71"/>
      <c r="H28" s="14"/>
      <c r="I28" s="67">
        <f>I20-I25-I26</f>
        <v>2645.6246153846159</v>
      </c>
      <c r="J28" s="68">
        <f>J20-E45+G15</f>
        <v>35294.786666666667</v>
      </c>
      <c r="L28" s="71"/>
      <c r="M28" s="67">
        <f>I20-J45/13-M26</f>
        <v>3792.0000000000005</v>
      </c>
      <c r="N28" s="68">
        <f>J20-J45+K15</f>
        <v>49612.666666666664</v>
      </c>
    </row>
    <row r="29" spans="1:18">
      <c r="G29" s="71"/>
      <c r="H29" s="14"/>
      <c r="I29" s="14"/>
      <c r="J29" s="70"/>
      <c r="L29" s="71"/>
      <c r="M29" s="14"/>
      <c r="N29" s="70"/>
    </row>
    <row r="30" spans="1:18">
      <c r="G30" s="71"/>
      <c r="H30" s="14"/>
      <c r="I30" s="14"/>
      <c r="J30" s="70"/>
      <c r="L30" s="71"/>
      <c r="M30" s="14"/>
      <c r="N30" s="70"/>
    </row>
    <row r="31" spans="1:18" ht="27" thickBot="1">
      <c r="A31" s="56" t="s">
        <v>37</v>
      </c>
      <c r="B31" s="36"/>
      <c r="C31" s="37"/>
      <c r="D31" s="6"/>
      <c r="E31" s="11"/>
      <c r="G31" s="71"/>
      <c r="H31" s="14"/>
      <c r="I31" s="14"/>
      <c r="J31" s="70"/>
      <c r="L31" s="71"/>
      <c r="M31" s="14"/>
      <c r="N31" s="70"/>
    </row>
    <row r="32" spans="1:18" ht="15.75" thickBot="1">
      <c r="A32" s="99" t="s">
        <v>24</v>
      </c>
      <c r="B32" s="34"/>
      <c r="C32" s="35"/>
      <c r="D32" s="14"/>
      <c r="E32" s="16"/>
      <c r="G32" s="96"/>
      <c r="H32" s="97"/>
      <c r="I32" s="98" t="s">
        <v>55</v>
      </c>
      <c r="J32" s="86">
        <v>500</v>
      </c>
      <c r="L32" s="96"/>
      <c r="M32" s="98" t="s">
        <v>55</v>
      </c>
      <c r="N32" s="86">
        <v>1000</v>
      </c>
      <c r="O32" s="92" t="s">
        <v>62</v>
      </c>
      <c r="P32" s="92"/>
      <c r="Q32" s="93"/>
      <c r="R32" s="93"/>
    </row>
    <row r="33" spans="1:18" ht="15.75" thickBot="1">
      <c r="A33" s="12"/>
      <c r="B33" s="13"/>
      <c r="C33" s="21" t="s">
        <v>26</v>
      </c>
      <c r="D33" s="14">
        <v>1900</v>
      </c>
      <c r="E33" s="16"/>
      <c r="G33" s="88"/>
      <c r="H33" s="89"/>
      <c r="I33" s="90"/>
      <c r="J33" s="91"/>
      <c r="L33" s="88"/>
      <c r="M33" s="90"/>
      <c r="N33" s="91"/>
    </row>
    <row r="34" spans="1:18" ht="15.75" thickBot="1">
      <c r="A34" s="12"/>
      <c r="B34" s="14"/>
      <c r="C34" s="21" t="s">
        <v>27</v>
      </c>
      <c r="D34" s="14">
        <v>1036</v>
      </c>
      <c r="E34" s="16"/>
      <c r="G34" s="96"/>
      <c r="H34" s="97"/>
      <c r="I34" s="98" t="s">
        <v>30</v>
      </c>
      <c r="J34" s="87">
        <v>1.3</v>
      </c>
      <c r="L34" s="96"/>
      <c r="M34" s="98" t="s">
        <v>30</v>
      </c>
      <c r="N34" s="87">
        <v>1.7</v>
      </c>
      <c r="O34" s="93" t="s">
        <v>56</v>
      </c>
      <c r="P34" s="93"/>
      <c r="Q34" s="93"/>
      <c r="R34" s="94">
        <v>850</v>
      </c>
    </row>
    <row r="35" spans="1:18" ht="45">
      <c r="A35" s="12"/>
      <c r="B35" s="65" t="s">
        <v>52</v>
      </c>
      <c r="C35" s="60" t="s">
        <v>28</v>
      </c>
      <c r="D35" s="61">
        <f>56%*E8*G6</f>
        <v>2249.52</v>
      </c>
      <c r="E35" s="83" t="b">
        <v>0</v>
      </c>
      <c r="G35" s="71"/>
      <c r="H35" s="14"/>
      <c r="I35" s="14"/>
      <c r="J35" s="70"/>
      <c r="L35" s="71"/>
      <c r="M35" s="14"/>
      <c r="N35" s="79"/>
    </row>
    <row r="36" spans="1:18" ht="15.75">
      <c r="A36" s="12"/>
      <c r="B36" s="65"/>
      <c r="C36" s="60" t="s">
        <v>29</v>
      </c>
      <c r="D36" s="61">
        <f>E17*48600</f>
        <v>3078.0000000000005</v>
      </c>
      <c r="E36" s="84"/>
      <c r="G36" s="72"/>
      <c r="H36" s="73"/>
      <c r="I36" s="74" t="s">
        <v>45</v>
      </c>
      <c r="J36" s="78">
        <v>2200</v>
      </c>
      <c r="L36" s="72"/>
      <c r="M36" s="74" t="s">
        <v>45</v>
      </c>
      <c r="N36" s="78">
        <v>2200</v>
      </c>
    </row>
    <row r="37" spans="1:18" ht="24" thickBot="1">
      <c r="A37" s="12"/>
      <c r="B37" s="12"/>
      <c r="C37" s="14"/>
      <c r="D37" s="14"/>
      <c r="E37" s="16"/>
      <c r="G37" s="75"/>
      <c r="H37" s="76"/>
      <c r="I37" s="77" t="s">
        <v>44</v>
      </c>
      <c r="J37" s="80">
        <f>I28-J32-(J34-1)*R34-J36</f>
        <v>-309.37538461538406</v>
      </c>
      <c r="L37" s="75"/>
      <c r="M37" s="77" t="s">
        <v>44</v>
      </c>
      <c r="N37" s="80">
        <f>M28-N32-(N34-1)*R34-N36</f>
        <v>-2.9999999999995453</v>
      </c>
    </row>
    <row r="38" spans="1:18">
      <c r="A38" s="12"/>
      <c r="B38" s="12"/>
      <c r="C38" s="59" t="s">
        <v>32</v>
      </c>
      <c r="D38" s="107">
        <f>J6-IF(E35,SUM(D34:D36),SUM(D33:D34))</f>
        <v>62064</v>
      </c>
      <c r="E38" s="108"/>
    </row>
    <row r="39" spans="1:18">
      <c r="A39" s="12"/>
      <c r="B39" s="12"/>
      <c r="C39" s="14"/>
      <c r="D39" s="14"/>
      <c r="E39" s="16"/>
    </row>
    <row r="40" spans="1:18">
      <c r="A40" s="15" t="s">
        <v>11</v>
      </c>
      <c r="B40" s="15" t="s">
        <v>12</v>
      </c>
      <c r="C40" s="14"/>
      <c r="D40" s="14"/>
      <c r="E40" s="16"/>
    </row>
    <row r="41" spans="1:18">
      <c r="A41" s="15" t="s">
        <v>13</v>
      </c>
      <c r="B41" s="15" t="s">
        <v>14</v>
      </c>
      <c r="C41" s="14"/>
      <c r="D41" s="14" t="s">
        <v>23</v>
      </c>
      <c r="E41" s="16">
        <f>(228.74*C42+2397)*C42+971</f>
        <v>20443.89640234</v>
      </c>
    </row>
    <row r="42" spans="1:18">
      <c r="A42" s="15"/>
      <c r="B42" s="15" t="s">
        <v>15</v>
      </c>
      <c r="C42" s="14">
        <f>(D38-8354)/10000</f>
        <v>5.3710000000000004</v>
      </c>
      <c r="D42" s="14"/>
      <c r="E42" s="16"/>
    </row>
    <row r="43" spans="1:18">
      <c r="A43" s="15" t="s">
        <v>16</v>
      </c>
      <c r="B43" s="15" t="s">
        <v>17</v>
      </c>
      <c r="C43" s="14"/>
      <c r="D43" s="14" t="s">
        <v>23</v>
      </c>
      <c r="E43" s="16">
        <f>(228.74*C44+2397)*C44+971</f>
        <v>18020.857184785</v>
      </c>
    </row>
    <row r="44" spans="1:18">
      <c r="A44" s="15"/>
      <c r="B44" s="15" t="s">
        <v>18</v>
      </c>
      <c r="C44" s="14">
        <f>(D38-13469)/10000</f>
        <v>4.8594999999999997</v>
      </c>
      <c r="D44" s="14"/>
      <c r="E44" s="16"/>
    </row>
    <row r="45" spans="1:18">
      <c r="A45" s="17" t="s">
        <v>19</v>
      </c>
      <c r="B45" s="58" t="s">
        <v>20</v>
      </c>
      <c r="C45" s="18"/>
      <c r="D45" s="18" t="s">
        <v>23</v>
      </c>
      <c r="E45" s="19">
        <f>0.42*D38-8239</f>
        <v>17827.879999999997</v>
      </c>
    </row>
    <row r="46" spans="1:18">
      <c r="A46" s="20" t="s">
        <v>21</v>
      </c>
      <c r="B46" s="20" t="s">
        <v>22</v>
      </c>
      <c r="C46" s="7"/>
      <c r="D46" s="7" t="s">
        <v>23</v>
      </c>
      <c r="E46" s="8">
        <f>0.42*D38-15761</f>
        <v>10305.879999999997</v>
      </c>
    </row>
  </sheetData>
  <mergeCells count="9">
    <mergeCell ref="G26:H26"/>
    <mergeCell ref="G25:H25"/>
    <mergeCell ref="L25:N25"/>
    <mergeCell ref="D38:E38"/>
    <mergeCell ref="H4:H20"/>
    <mergeCell ref="F4:G4"/>
    <mergeCell ref="I4:J4"/>
    <mergeCell ref="G23:J24"/>
    <mergeCell ref="L23:N24"/>
  </mergeCells>
  <hyperlinks>
    <hyperlink ref="A32" r:id="rId1"/>
  </hyperlinks>
  <pageMargins left="0.7" right="0.7" top="0.78740157499999996" bottom="0.78740157499999996" header="0.3" footer="0.3"/>
  <pageSetup paperSize="9" orientation="portrait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4" sqref="D4"/>
    </sheetView>
  </sheetViews>
  <sheetFormatPr baseColWidth="10" defaultRowHeight="1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Grenzgänger</vt:lpstr>
      <vt:lpstr>Tabelle3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2014-04-18T13:17:02Z</dcterms:created>
  <dcterms:modified xsi:type="dcterms:W3CDTF">2014-04-18T13:17:45Z</dcterms:modified>
</cp:coreProperties>
</file>