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chartsheets/sheet1.xml" ContentType="application/vnd.openxmlformats-officedocument.spreadsheetml.chart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o.strunk\Desktop\"/>
    </mc:Choice>
  </mc:AlternateContent>
  <bookViews>
    <workbookView xWindow="0" yWindow="0" windowWidth="21570" windowHeight="9510"/>
  </bookViews>
  <sheets>
    <sheet name="Übersicht" sheetId="3" r:id="rId1"/>
    <sheet name="Beta" sheetId="1" r:id="rId2"/>
    <sheet name="Regression" sheetId="6" r:id="rId3"/>
    <sheet name="Diagramm" sheetId="4" r:id="rId4"/>
    <sheet name="Iteration1" sheetId="7" r:id="rId5"/>
    <sheet name="Iteration2" sheetId="8" r:id="rId6"/>
    <sheet name="Iteration3" sheetId="9" r:id="rId7"/>
    <sheet name="Iteration4" sheetId="10" r:id="rId8"/>
    <sheet name="Iteration5" sheetId="11" r:id="rId9"/>
    <sheet name="Iteration6" sheetId="12" r:id="rId10"/>
    <sheet name="Ergebnis" sheetId="13" r:id="rId11"/>
  </sheets>
  <definedNames>
    <definedName name="beta">0.914</definedName>
    <definedName name="beta_berechnet">Beta!$F$2</definedName>
    <definedName name="ek">Übersicht!$D$35</definedName>
    <definedName name="entityvalue">Übersicht!$I$22</definedName>
    <definedName name="ev">Übersicht!$I$22</definedName>
    <definedName name="fcf_1">Übersicht!$D$24</definedName>
    <definedName name="fcf_2">Übersicht!$D$25</definedName>
    <definedName name="fcf_3">Übersicht!$D$26</definedName>
    <definedName name="fcf_tv">Übersicht!$D$27</definedName>
    <definedName name="fk">Übersicht!$D$32</definedName>
    <definedName name="gk">Übersicht!$D$38</definedName>
    <definedName name="irf">Übersicht!$D$7</definedName>
    <definedName name="liquidassets">Übersicht!$D$29</definedName>
    <definedName name="mrp">Übersicht!$D$10</definedName>
    <definedName name="rek">Übersicht!$I$9</definedName>
    <definedName name="rfkns">Übersicht!$I$12</definedName>
    <definedName name="rfkvs">Übersicht!$D$16</definedName>
    <definedName name="shareholdervalue">Übersicht!$I$23</definedName>
    <definedName name="t">Übersicht!$D$19</definedName>
    <definedName name="taxshield">Übersicht!$I$7</definedName>
    <definedName name="wacc">Übersicht!$I$14</definedName>
    <definedName name="wacc_i1">Übersicht!$I$15</definedName>
    <definedName name="wacc_i2">Übersicht!$I$16</definedName>
    <definedName name="wacc_i3">Übersicht!$I$17</definedName>
    <definedName name="wacc_i4">Übersicht!$I$18</definedName>
    <definedName name="wacc_i5">Übersicht!$I$19</definedName>
    <definedName name="wacc_i6">Übersicht!$I$20</definedName>
    <definedName name="zins_ergebnis" localSheetId="10">Ergebnis!$B$8</definedName>
    <definedName name="zins_i1" localSheetId="4">Iteration1!$B$8</definedName>
    <definedName name="zins_i2" localSheetId="5">Iteration2!$B$8</definedName>
    <definedName name="zins_i3" localSheetId="6">Iteration3!$B$8</definedName>
    <definedName name="zins_i4" localSheetId="7">Iteration4!$B$8</definedName>
    <definedName name="zins_i5" localSheetId="8">Iteration5!$B$8</definedName>
    <definedName name="zins_i6" localSheetId="9">Iteration6!$B$8</definedName>
  </definedNames>
  <calcPr calcId="152511" iterate="1"/>
  <fileRecoveryPr repairLoad="1"/>
</workbook>
</file>

<file path=xl/calcChain.xml><?xml version="1.0" encoding="utf-8"?>
<calcChain xmlns="http://schemas.openxmlformats.org/spreadsheetml/2006/main">
  <c r="I22" i="3" l="1"/>
  <c r="I9" i="3"/>
  <c r="F2" i="1"/>
  <c r="D13" i="3" s="1"/>
  <c r="I12" i="3"/>
  <c r="E2" i="7"/>
  <c r="E2" i="8"/>
  <c r="E2" i="9"/>
  <c r="E2" i="10"/>
  <c r="E2" i="11"/>
  <c r="E2" i="12"/>
  <c r="E2" i="13"/>
  <c r="D2" i="13"/>
  <c r="D2" i="12"/>
  <c r="D2" i="11"/>
  <c r="D2" i="10"/>
  <c r="D2" i="9"/>
  <c r="D2" i="8"/>
  <c r="D2" i="7"/>
  <c r="C2" i="7"/>
  <c r="C2" i="8"/>
  <c r="C2" i="9"/>
  <c r="C2" i="10"/>
  <c r="C2" i="11"/>
  <c r="C2" i="12"/>
  <c r="C2" i="13"/>
  <c r="B2" i="7"/>
  <c r="B2" i="8"/>
  <c r="B2" i="9"/>
  <c r="B2" i="10"/>
  <c r="B2" i="11"/>
  <c r="B2" i="13"/>
  <c r="B2" i="12"/>
  <c r="E209" i="1" l="1"/>
  <c r="D209" i="1"/>
  <c r="E208" i="1"/>
  <c r="D208" i="1"/>
  <c r="E207" i="1"/>
  <c r="D207" i="1"/>
  <c r="E206" i="1"/>
  <c r="D206" i="1"/>
  <c r="E205" i="1"/>
  <c r="D205" i="1"/>
  <c r="E204" i="1"/>
  <c r="D204" i="1"/>
  <c r="E203" i="1"/>
  <c r="D203" i="1"/>
  <c r="E202" i="1"/>
  <c r="D202" i="1"/>
  <c r="E201" i="1"/>
  <c r="D201" i="1"/>
  <c r="E200" i="1"/>
  <c r="D200" i="1"/>
  <c r="E199" i="1"/>
  <c r="D199" i="1"/>
  <c r="E198" i="1"/>
  <c r="D198" i="1"/>
  <c r="E197" i="1"/>
  <c r="D197" i="1"/>
  <c r="E196" i="1"/>
  <c r="D196" i="1"/>
  <c r="E195" i="1"/>
  <c r="D195" i="1"/>
  <c r="E194" i="1"/>
  <c r="D194" i="1"/>
  <c r="E193" i="1"/>
  <c r="D193" i="1"/>
  <c r="E192" i="1"/>
  <c r="D192" i="1"/>
  <c r="E191" i="1"/>
  <c r="D191" i="1"/>
  <c r="E190" i="1"/>
  <c r="D190" i="1"/>
  <c r="E189" i="1"/>
  <c r="D189" i="1"/>
  <c r="E188" i="1"/>
  <c r="D188" i="1"/>
  <c r="E187" i="1"/>
  <c r="D187" i="1"/>
  <c r="E186" i="1"/>
  <c r="D186" i="1"/>
  <c r="E185" i="1"/>
  <c r="D185" i="1"/>
  <c r="E184" i="1"/>
  <c r="D184" i="1"/>
  <c r="E183" i="1"/>
  <c r="D183" i="1"/>
  <c r="E182" i="1"/>
  <c r="D182" i="1"/>
  <c r="E181" i="1"/>
  <c r="D181" i="1"/>
  <c r="E180" i="1"/>
  <c r="D180" i="1"/>
  <c r="E179" i="1"/>
  <c r="D179" i="1"/>
  <c r="E178" i="1"/>
  <c r="D178" i="1"/>
  <c r="E177" i="1"/>
  <c r="D177" i="1"/>
  <c r="E176" i="1"/>
  <c r="D176" i="1"/>
  <c r="E175" i="1"/>
  <c r="D175" i="1"/>
  <c r="E174" i="1"/>
  <c r="D174" i="1"/>
  <c r="E173" i="1"/>
  <c r="D173" i="1"/>
  <c r="E172" i="1"/>
  <c r="D172" i="1"/>
  <c r="E171" i="1"/>
  <c r="D171" i="1"/>
  <c r="E170" i="1"/>
  <c r="D170" i="1"/>
  <c r="E169" i="1"/>
  <c r="D169" i="1"/>
  <c r="E168" i="1"/>
  <c r="D168" i="1"/>
  <c r="E167" i="1"/>
  <c r="D167" i="1"/>
  <c r="E166" i="1"/>
  <c r="D166" i="1"/>
  <c r="E165" i="1"/>
  <c r="D165" i="1"/>
  <c r="E164" i="1"/>
  <c r="D164" i="1"/>
  <c r="E163" i="1"/>
  <c r="D163" i="1"/>
  <c r="E162" i="1"/>
  <c r="D162" i="1"/>
  <c r="E161" i="1"/>
  <c r="D161" i="1"/>
  <c r="E160" i="1"/>
  <c r="D160" i="1"/>
  <c r="E159" i="1"/>
  <c r="D159" i="1"/>
  <c r="E158" i="1"/>
  <c r="D158" i="1"/>
  <c r="E157" i="1"/>
  <c r="D157" i="1"/>
  <c r="E156" i="1"/>
  <c r="D156" i="1"/>
  <c r="E155" i="1"/>
  <c r="D155" i="1"/>
  <c r="E154" i="1"/>
  <c r="D154" i="1"/>
  <c r="E153" i="1"/>
  <c r="D153" i="1"/>
  <c r="E152" i="1"/>
  <c r="D152" i="1"/>
  <c r="E151" i="1"/>
  <c r="D151" i="1"/>
  <c r="E150" i="1"/>
  <c r="D150" i="1"/>
  <c r="E149" i="1"/>
  <c r="D149" i="1"/>
  <c r="E148" i="1"/>
  <c r="D148" i="1"/>
  <c r="E147" i="1"/>
  <c r="D147" i="1"/>
  <c r="E146" i="1"/>
  <c r="D146" i="1"/>
  <c r="E145" i="1"/>
  <c r="D145" i="1"/>
  <c r="E144" i="1"/>
  <c r="D144" i="1"/>
  <c r="E143" i="1"/>
  <c r="D143" i="1"/>
  <c r="E142" i="1"/>
  <c r="D142" i="1"/>
  <c r="E141" i="1"/>
  <c r="D141" i="1"/>
  <c r="E140" i="1"/>
  <c r="D140" i="1"/>
  <c r="E139" i="1"/>
  <c r="D139" i="1"/>
  <c r="E138" i="1"/>
  <c r="D138" i="1"/>
  <c r="E137" i="1"/>
  <c r="D137" i="1"/>
  <c r="E136" i="1"/>
  <c r="D136" i="1"/>
  <c r="E135" i="1"/>
  <c r="D135" i="1"/>
  <c r="E134" i="1"/>
  <c r="D134" i="1"/>
  <c r="E133" i="1"/>
  <c r="D133" i="1"/>
  <c r="E132" i="1"/>
  <c r="D132" i="1"/>
  <c r="E131" i="1"/>
  <c r="D131" i="1"/>
  <c r="E130" i="1"/>
  <c r="D130" i="1"/>
  <c r="E129" i="1"/>
  <c r="D129" i="1"/>
  <c r="E128" i="1"/>
  <c r="D128" i="1"/>
  <c r="E127" i="1"/>
  <c r="D127" i="1"/>
  <c r="E126" i="1"/>
  <c r="D126" i="1"/>
  <c r="E125" i="1"/>
  <c r="D125" i="1"/>
  <c r="E124" i="1"/>
  <c r="D124" i="1"/>
  <c r="E123" i="1"/>
  <c r="D123" i="1"/>
  <c r="E122" i="1"/>
  <c r="D122" i="1"/>
  <c r="E121" i="1"/>
  <c r="D121" i="1"/>
  <c r="E120" i="1"/>
  <c r="D120" i="1"/>
  <c r="E119" i="1"/>
  <c r="D119" i="1"/>
  <c r="E118" i="1"/>
  <c r="D118" i="1"/>
  <c r="E117" i="1"/>
  <c r="D117" i="1"/>
  <c r="E116" i="1"/>
  <c r="D116" i="1"/>
  <c r="E115" i="1"/>
  <c r="D115" i="1"/>
  <c r="E114" i="1"/>
  <c r="D114" i="1"/>
  <c r="E113" i="1"/>
  <c r="D113" i="1"/>
  <c r="E112" i="1"/>
  <c r="D112" i="1"/>
  <c r="E111" i="1"/>
  <c r="D111" i="1"/>
  <c r="E110" i="1"/>
  <c r="D110" i="1"/>
  <c r="E109" i="1"/>
  <c r="D109" i="1"/>
  <c r="E108" i="1"/>
  <c r="D108" i="1"/>
  <c r="E107" i="1"/>
  <c r="D107" i="1"/>
  <c r="E106" i="1"/>
  <c r="D106" i="1"/>
  <c r="E105" i="1"/>
  <c r="D105" i="1"/>
  <c r="E104" i="1"/>
  <c r="D104" i="1"/>
  <c r="E103" i="1"/>
  <c r="D103" i="1"/>
  <c r="E102" i="1"/>
  <c r="D102" i="1"/>
  <c r="E101" i="1"/>
  <c r="D101" i="1"/>
  <c r="E100" i="1"/>
  <c r="D100" i="1"/>
  <c r="E99" i="1"/>
  <c r="D99" i="1"/>
  <c r="E98" i="1"/>
  <c r="D98" i="1"/>
  <c r="E97" i="1"/>
  <c r="D97" i="1"/>
  <c r="E96" i="1"/>
  <c r="D96" i="1"/>
  <c r="E95" i="1"/>
  <c r="D95" i="1"/>
  <c r="E94" i="1"/>
  <c r="D94" i="1"/>
  <c r="E93" i="1"/>
  <c r="D93" i="1"/>
  <c r="E92" i="1"/>
  <c r="D92" i="1"/>
  <c r="E91" i="1"/>
  <c r="D91" i="1"/>
  <c r="E90" i="1"/>
  <c r="D90" i="1"/>
  <c r="E89" i="1"/>
  <c r="D89" i="1"/>
  <c r="E88" i="1"/>
  <c r="D88" i="1"/>
  <c r="E87" i="1"/>
  <c r="D87" i="1"/>
  <c r="E86" i="1"/>
  <c r="D86" i="1"/>
  <c r="E85" i="1"/>
  <c r="D85" i="1"/>
  <c r="E84" i="1"/>
  <c r="D84" i="1"/>
  <c r="E83" i="1"/>
  <c r="D83" i="1"/>
  <c r="E82" i="1"/>
  <c r="D82" i="1"/>
  <c r="E81" i="1"/>
  <c r="D81" i="1"/>
  <c r="E80" i="1"/>
  <c r="D80" i="1"/>
  <c r="E79" i="1"/>
  <c r="D79" i="1"/>
  <c r="E78" i="1"/>
  <c r="D78" i="1"/>
  <c r="E77" i="1"/>
  <c r="D77" i="1"/>
  <c r="E76" i="1"/>
  <c r="D76" i="1"/>
  <c r="E75" i="1"/>
  <c r="D75" i="1"/>
  <c r="E74" i="1"/>
  <c r="D74" i="1"/>
  <c r="E73" i="1"/>
  <c r="D73" i="1"/>
  <c r="E72" i="1"/>
  <c r="D72" i="1"/>
  <c r="E71" i="1"/>
  <c r="D71" i="1"/>
  <c r="E70" i="1"/>
  <c r="D70" i="1"/>
  <c r="E69" i="1"/>
  <c r="D69" i="1"/>
  <c r="E68" i="1"/>
  <c r="D68" i="1"/>
  <c r="E67" i="1"/>
  <c r="D67" i="1"/>
  <c r="E66" i="1"/>
  <c r="D66" i="1"/>
  <c r="E65" i="1"/>
  <c r="D65" i="1"/>
  <c r="E64" i="1"/>
  <c r="D64" i="1"/>
  <c r="E63" i="1"/>
  <c r="D63" i="1"/>
  <c r="E62" i="1"/>
  <c r="D62" i="1"/>
  <c r="E61" i="1"/>
  <c r="D61" i="1"/>
  <c r="E60" i="1"/>
  <c r="D60" i="1"/>
  <c r="E59" i="1"/>
  <c r="D59" i="1"/>
  <c r="E58" i="1"/>
  <c r="D58" i="1"/>
  <c r="E57" i="1"/>
  <c r="D57" i="1"/>
  <c r="E56" i="1"/>
  <c r="D56" i="1"/>
  <c r="E55" i="1"/>
  <c r="D55" i="1"/>
  <c r="E54" i="1"/>
  <c r="D54" i="1"/>
  <c r="E53" i="1"/>
  <c r="D53" i="1"/>
  <c r="E52" i="1"/>
  <c r="D52" i="1"/>
  <c r="E51" i="1"/>
  <c r="D51" i="1"/>
  <c r="E50" i="1"/>
  <c r="D50" i="1"/>
  <c r="E49" i="1"/>
  <c r="D49" i="1"/>
  <c r="E48" i="1"/>
  <c r="D48" i="1"/>
  <c r="E47" i="1"/>
  <c r="D47" i="1"/>
  <c r="E46" i="1"/>
  <c r="D46" i="1"/>
  <c r="E45" i="1"/>
  <c r="D45" i="1"/>
  <c r="E44" i="1"/>
  <c r="D44" i="1"/>
  <c r="E43" i="1"/>
  <c r="D43" i="1"/>
  <c r="E42" i="1"/>
  <c r="D42" i="1"/>
  <c r="E41" i="1"/>
  <c r="D41" i="1"/>
  <c r="E40" i="1"/>
  <c r="D40" i="1"/>
  <c r="E39" i="1"/>
  <c r="D39" i="1"/>
  <c r="E38" i="1"/>
  <c r="D38" i="1"/>
  <c r="E37" i="1"/>
  <c r="D37" i="1"/>
  <c r="E36" i="1"/>
  <c r="D36" i="1"/>
  <c r="E35" i="1"/>
  <c r="D35" i="1"/>
  <c r="E34" i="1"/>
  <c r="D34" i="1"/>
  <c r="E33" i="1"/>
  <c r="D33" i="1"/>
  <c r="E32" i="1"/>
  <c r="D32" i="1"/>
  <c r="E31" i="1"/>
  <c r="D31" i="1"/>
  <c r="E30" i="1"/>
  <c r="D30" i="1"/>
  <c r="E29" i="1"/>
  <c r="D29" i="1"/>
  <c r="E28" i="1"/>
  <c r="D28" i="1"/>
  <c r="E27" i="1"/>
  <c r="D27" i="1"/>
  <c r="E26" i="1"/>
  <c r="D26" i="1"/>
  <c r="E25" i="1"/>
  <c r="D25" i="1"/>
  <c r="E24" i="1"/>
  <c r="D24" i="1"/>
  <c r="E23" i="1"/>
  <c r="D23" i="1"/>
  <c r="E22" i="1"/>
  <c r="D22" i="1"/>
  <c r="E21" i="1"/>
  <c r="D21" i="1"/>
  <c r="E20" i="1"/>
  <c r="D20" i="1"/>
  <c r="E19" i="1"/>
  <c r="D19" i="1"/>
  <c r="E18" i="1"/>
  <c r="D18" i="1"/>
  <c r="E17" i="1"/>
  <c r="D17" i="1"/>
  <c r="E16" i="1"/>
  <c r="D16" i="1"/>
  <c r="E15" i="1"/>
  <c r="D15" i="1"/>
  <c r="E14" i="1"/>
  <c r="D14" i="1"/>
  <c r="E13" i="1"/>
  <c r="D13" i="1"/>
  <c r="E12" i="1"/>
  <c r="D12" i="1"/>
  <c r="E11" i="1"/>
  <c r="D11" i="1"/>
  <c r="E10" i="1"/>
  <c r="D10" i="1"/>
  <c r="E9" i="1"/>
  <c r="D9" i="1"/>
  <c r="E8" i="1"/>
  <c r="D8" i="1"/>
  <c r="E7" i="1"/>
  <c r="D7" i="1"/>
  <c r="E6" i="1"/>
  <c r="D6" i="1"/>
  <c r="E5" i="1"/>
  <c r="D5" i="1"/>
  <c r="E4" i="1"/>
  <c r="D4" i="1"/>
  <c r="E3" i="1"/>
  <c r="D3" i="1"/>
  <c r="E2" i="1"/>
  <c r="D2" i="1"/>
  <c r="D38" i="3"/>
  <c r="I7" i="3"/>
  <c r="I15" i="3" l="1"/>
  <c r="B8" i="7" s="1"/>
  <c r="E8" i="7" l="1"/>
  <c r="D3" i="7"/>
  <c r="D4" i="7" s="1"/>
  <c r="C3" i="7"/>
  <c r="C4" i="7" s="1"/>
  <c r="B3" i="7"/>
  <c r="B4" i="7" s="1"/>
  <c r="E3" i="7" l="1"/>
  <c r="E4" i="7" s="1"/>
  <c r="B5" i="7" s="1"/>
  <c r="B6" i="7" s="1"/>
  <c r="I16" i="3" s="1"/>
  <c r="B8" i="8" s="1"/>
  <c r="E8" i="8" s="1"/>
  <c r="B3" i="8" l="1"/>
  <c r="B4" i="8" s="1"/>
  <c r="C3" i="8"/>
  <c r="C4" i="8" s="1"/>
  <c r="D3" i="8"/>
  <c r="E3" i="8" s="1"/>
  <c r="E4" i="8" s="1"/>
  <c r="E6" i="7"/>
  <c r="D4" i="8" l="1"/>
  <c r="B5" i="8" s="1"/>
  <c r="B6" i="8" s="1"/>
  <c r="I17" i="3" s="1"/>
  <c r="B8" i="9" s="1"/>
  <c r="E8" i="9" l="1"/>
  <c r="D3" i="9"/>
  <c r="C3" i="9"/>
  <c r="C4" i="9" s="1"/>
  <c r="B3" i="9"/>
  <c r="B4" i="9" s="1"/>
  <c r="E6" i="8"/>
  <c r="E3" i="9" l="1"/>
  <c r="E4" i="9" s="1"/>
  <c r="D4" i="9"/>
  <c r="B5" i="9" l="1"/>
  <c r="B6" i="9" s="1"/>
  <c r="I18" i="3" s="1"/>
  <c r="B8" i="10" s="1"/>
  <c r="E6" i="9" l="1"/>
  <c r="E8" i="10"/>
  <c r="D3" i="10"/>
  <c r="C3" i="10"/>
  <c r="C4" i="10" s="1"/>
  <c r="B3" i="10"/>
  <c r="B4" i="10" s="1"/>
  <c r="E3" i="10" l="1"/>
  <c r="E4" i="10" s="1"/>
  <c r="D4" i="10"/>
  <c r="B5" i="10" l="1"/>
  <c r="B6" i="10" s="1"/>
  <c r="I19" i="3" s="1"/>
  <c r="B8" i="11" s="1"/>
  <c r="E6" i="10" l="1"/>
  <c r="C3" i="11"/>
  <c r="C4" i="11" s="1"/>
  <c r="D3" i="11"/>
  <c r="B3" i="11"/>
  <c r="B4" i="11" s="1"/>
  <c r="E8" i="11"/>
  <c r="E3" i="11" l="1"/>
  <c r="E4" i="11" s="1"/>
  <c r="D4" i="11"/>
  <c r="B5" i="11" l="1"/>
  <c r="B6" i="11" s="1"/>
  <c r="I20" i="3" s="1"/>
  <c r="B8" i="12" s="1"/>
  <c r="E6" i="11" l="1"/>
  <c r="C3" i="12"/>
  <c r="C4" i="12" s="1"/>
  <c r="B3" i="12"/>
  <c r="B4" i="12" s="1"/>
  <c r="E8" i="12"/>
  <c r="D3" i="12"/>
  <c r="E3" i="12" l="1"/>
  <c r="E4" i="12" s="1"/>
  <c r="D4" i="12"/>
  <c r="B5" i="12" l="1"/>
  <c r="B6" i="12" s="1"/>
  <c r="I14" i="3" s="1"/>
  <c r="E6" i="12" l="1"/>
  <c r="I23" i="3"/>
  <c r="B8" i="13"/>
  <c r="I25" i="3" l="1"/>
  <c r="I27" i="3"/>
  <c r="B3" i="13"/>
  <c r="B4" i="13" s="1"/>
  <c r="C3" i="13"/>
  <c r="C4" i="13" s="1"/>
  <c r="E8" i="13"/>
  <c r="D3" i="13"/>
  <c r="E3" i="13" l="1"/>
  <c r="E4" i="13" s="1"/>
  <c r="D4" i="13"/>
  <c r="B5" i="13" l="1"/>
  <c r="B6" i="13" s="1"/>
  <c r="E6" i="13" l="1"/>
</calcChain>
</file>

<file path=xl/sharedStrings.xml><?xml version="1.0" encoding="utf-8"?>
<sst xmlns="http://schemas.openxmlformats.org/spreadsheetml/2006/main" count="132" uniqueCount="81">
  <si>
    <t>Date</t>
  </si>
  <si>
    <t>Adj Close DTE</t>
  </si>
  <si>
    <t>Adj Close DAX</t>
  </si>
  <si>
    <t>Return DTE</t>
  </si>
  <si>
    <t>Return DAX</t>
  </si>
  <si>
    <t>Beta</t>
  </si>
  <si>
    <t>AUSGABE: ZUSAMMENFASSUNG</t>
  </si>
  <si>
    <t>Regressions-Statistik</t>
  </si>
  <si>
    <t>Multipler Korrelationskoeffizient</t>
  </si>
  <si>
    <t>Bestimmtheitsmaß</t>
  </si>
  <si>
    <t>Adjustiertes Bestimmtheitsmaß</t>
  </si>
  <si>
    <t>Standardfehler</t>
  </si>
  <si>
    <t>Beobachtungen</t>
  </si>
  <si>
    <t>ANOVA</t>
  </si>
  <si>
    <t>Regression</t>
  </si>
  <si>
    <t>Residue</t>
  </si>
  <si>
    <t>Gesamt</t>
  </si>
  <si>
    <t>Schnittpunkt</t>
  </si>
  <si>
    <t>Freiheitsgrade (df)</t>
  </si>
  <si>
    <t>Quadratsummen (SS)</t>
  </si>
  <si>
    <t>Mittlere Quadratsumme (MS)</t>
  </si>
  <si>
    <t>Prüfgröße (F)</t>
  </si>
  <si>
    <t>F krit</t>
  </si>
  <si>
    <t>Koeffizienten</t>
  </si>
  <si>
    <t>t-Statistik</t>
  </si>
  <si>
    <t>P-Wert</t>
  </si>
  <si>
    <t>Untere 95%</t>
  </si>
  <si>
    <t>Obere 95%</t>
  </si>
  <si>
    <t>Untere 95,0%</t>
  </si>
  <si>
    <t>Obere 95,0%</t>
  </si>
  <si>
    <t>X Variable 1</t>
  </si>
  <si>
    <t>Basiszinsatz</t>
  </si>
  <si>
    <t>Marktrisikoprämie</t>
  </si>
  <si>
    <t>Levered Beta DTE</t>
  </si>
  <si>
    <t>Eigenkapitalkosten</t>
  </si>
  <si>
    <t>Ertragsteuersatz</t>
  </si>
  <si>
    <t>Geschäftsbericht; S. 84</t>
  </si>
  <si>
    <t>Geschäftsbericht; S. 213</t>
  </si>
  <si>
    <t>Laut IDW-Empfehlung (5,5-7,0%); entspricht KPMG-Ansatz</t>
  </si>
  <si>
    <t>Nettoverschuldung (Mrd.)</t>
  </si>
  <si>
    <t>Eigenkapital (Mrd.)</t>
  </si>
  <si>
    <t>Geschäftsbericht; S. 85</t>
  </si>
  <si>
    <t>Geschäftsbericht; S. 161</t>
  </si>
  <si>
    <t>Gesamtkapital (Mrd.)</t>
  </si>
  <si>
    <t>CAPM</t>
  </si>
  <si>
    <t>Steuervorteil/Tax Shield</t>
  </si>
  <si>
    <t>WACC</t>
  </si>
  <si>
    <t>1. Iteration</t>
  </si>
  <si>
    <t>2. Iteration</t>
  </si>
  <si>
    <t>3. Iteration</t>
  </si>
  <si>
    <t>4. Iteration</t>
  </si>
  <si>
    <t>TV</t>
  </si>
  <si>
    <t>CF</t>
  </si>
  <si>
    <t>ABZF</t>
  </si>
  <si>
    <t>Barwert</t>
  </si>
  <si>
    <t>U'Wert</t>
  </si>
  <si>
    <t>U'Wert ca.</t>
  </si>
  <si>
    <t>MW EK</t>
  </si>
  <si>
    <t>5. Iteration</t>
  </si>
  <si>
    <t>6. Iteration</t>
  </si>
  <si>
    <t>Unternehmensgesamtwert</t>
  </si>
  <si>
    <t>Unternehmenswert</t>
  </si>
  <si>
    <t>Geschäftsbericht; S. 230</t>
  </si>
  <si>
    <t>Liquid Assets (Mrd.)</t>
  </si>
  <si>
    <t>Basisdaten</t>
  </si>
  <si>
    <t>Berechnungen</t>
  </si>
  <si>
    <t>Alternative: FinanzNachrichten.de (250 Tage): 0,914</t>
  </si>
  <si>
    <t>Perpetuität</t>
  </si>
  <si>
    <t>Free Cashflow (Mrd.)</t>
  </si>
  <si>
    <t>Geschäftsbericht; S. 129; Prognose</t>
  </si>
  <si>
    <t>Fremdkapitalquote</t>
  </si>
  <si>
    <t>Eigenkapitalquote</t>
  </si>
  <si>
    <t>Wird zur Berechnung der Eigenkapitalkosten (Zelle I9) via CAPM nicht der "offizielle" 250-Tage-Betafaktor, zum Beispiel von FinanzNachrichten.de, benutzt, sondern der aus den historischen Kursen selbst errechnete (siehe Arbeitsblatt "Beta" bzw. "Regression"), erscheint der resultierende Entity bzw. Shareholder Value plausibler (Vergleich mit Marktkapitalisierung zum Stichtag).
Zur Probe in der Formel in Zelle I9 "beta_berechnet" durch "beta" ersetzen.</t>
  </si>
  <si>
    <t>3-Monats-Ø Zinsstrukturkurve 30j. Bundesanleihe; gerundet auf 0,25</t>
  </si>
  <si>
    <t>Fremdkapitalkosten n. S.</t>
  </si>
  <si>
    <t>Bewertungsstichtag: 31.12.2013</t>
  </si>
  <si>
    <t>Fremdkapitalkosten v. S.</t>
  </si>
  <si>
    <t>Erhebungsstichstag: 30.06.2014</t>
  </si>
  <si>
    <t>Quelle: Yahoo Finance (Historische Kurse)</t>
  </si>
  <si>
    <t>-</t>
  </si>
  <si>
    <t>Unternehmensbewertung Deutsche Telekom AG (DTE)</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</si>
</sst>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0.000%"/>
    <numFmt numFmtId="165" formatCode="0.0000%"/>
    <numFmt numFmtId="166" formatCode="0.0000"/>
    <numFmt numFmtId="173" formatCode="0.000"/>
  </numFmts>
  <fonts count="24"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i/>
      <sz val="11"/>
      <color theme="1"/>
      <name val="Calibri"/>
      <family val="2"/>
      <scheme val="minor"/>
    </font>
    <font>
      <sz val="10"/>
      <color theme="1"/>
      <name val="Calibri"/>
      <family val="2"/>
      <scheme val="minor"/>
    </font>
    <font>
      <b/>
      <sz val="11"/>
      <color rgb="FFFF0000"/>
      <name val="Calibri"/>
      <family val="2"/>
      <scheme val="minor"/>
    </font>
    <font>
      <b/>
      <sz val="11"/>
      <color theme="0" tint="-4.9989318521683403E-2"/>
      <name val="Calibri"/>
      <family val="2"/>
      <scheme val="minor"/>
    </font>
    <font>
      <i/>
      <sz val="10"/>
      <color theme="1"/>
      <name val="Calibri"/>
      <family val="2"/>
      <scheme val="minor"/>
    </font>
    <font>
      <b/>
      <sz val="11"/>
      <color theme="9" tint="-0.249977111117893"/>
      <name val="Calibri"/>
      <family val="2"/>
      <scheme val="minor"/>
    </font>
  </fonts>
  <fills count="39">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7" tint="0.39997558519241921"/>
        <bgColor indexed="64"/>
      </patternFill>
    </fill>
    <fill>
      <patternFill patternType="solid">
        <fgColor theme="8" tint="0.39997558519241921"/>
        <bgColor indexed="64"/>
      </patternFill>
    </fill>
    <fill>
      <patternFill patternType="solid">
        <fgColor theme="4" tint="0.79998168889431442"/>
        <bgColor indexed="64"/>
      </patternFill>
    </fill>
    <fill>
      <patternFill patternType="solid">
        <fgColor theme="2"/>
        <bgColor indexed="64"/>
      </patternFill>
    </fill>
    <fill>
      <patternFill patternType="solid">
        <fgColor rgb="FFE20074"/>
        <bgColor indexed="64"/>
      </patternFill>
    </fill>
    <fill>
      <patternFill patternType="solid">
        <fgColor theme="0" tint="-4.9989318521683403E-2"/>
        <bgColor indexed="64"/>
      </patternFill>
    </fill>
  </fills>
  <borders count="2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indexed="64"/>
      </bottom>
      <diagonal/>
    </border>
    <border>
      <left/>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43">
    <xf numFmtId="0" fontId="0" fillId="0" borderId="0"/>
    <xf numFmtId="9" fontId="1" fillId="0" borderId="0" applyFont="0" applyFill="0" applyBorder="0" applyAlignment="0" applyProtection="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73">
    <xf numFmtId="0" fontId="0" fillId="0" borderId="0" xfId="0"/>
    <xf numFmtId="0" fontId="0" fillId="0" borderId="0" xfId="0" applyFill="1" applyBorder="1" applyAlignment="1"/>
    <xf numFmtId="0" fontId="0" fillId="0" borderId="10" xfId="0" applyFill="1" applyBorder="1" applyAlignment="1"/>
    <xf numFmtId="0" fontId="18" fillId="0" borderId="11" xfId="0" applyFont="1" applyFill="1" applyBorder="1" applyAlignment="1">
      <alignment horizontal="center"/>
    </xf>
    <xf numFmtId="0" fontId="18" fillId="0" borderId="11" xfId="0" applyFont="1" applyFill="1" applyBorder="1" applyAlignment="1">
      <alignment horizontal="centerContinuous"/>
    </xf>
    <xf numFmtId="165" fontId="0" fillId="0" borderId="0" xfId="1" applyNumberFormat="1" applyFont="1"/>
    <xf numFmtId="0" fontId="0" fillId="35" borderId="12" xfId="0" applyFill="1" applyBorder="1"/>
    <xf numFmtId="0" fontId="0" fillId="35" borderId="12" xfId="0" applyFill="1" applyBorder="1" applyAlignment="1">
      <alignment horizontal="center"/>
    </xf>
    <xf numFmtId="2" fontId="0" fillId="0" borderId="12" xfId="0" applyNumberFormat="1" applyBorder="1"/>
    <xf numFmtId="166" fontId="0" fillId="0" borderId="12" xfId="0" applyNumberFormat="1" applyBorder="1"/>
    <xf numFmtId="2" fontId="20" fillId="0" borderId="12" xfId="0" applyNumberFormat="1" applyFont="1" applyBorder="1"/>
    <xf numFmtId="9" fontId="18" fillId="0" borderId="0" xfId="1" applyFont="1"/>
    <xf numFmtId="10" fontId="0" fillId="8" borderId="8" xfId="16" applyNumberFormat="1" applyFont="1"/>
    <xf numFmtId="0" fontId="19" fillId="0" borderId="0" xfId="0" applyFont="1" applyAlignment="1">
      <alignment horizontal="left"/>
    </xf>
    <xf numFmtId="0" fontId="0" fillId="0" borderId="0" xfId="0" applyAlignment="1">
      <alignment horizontal="center"/>
    </xf>
    <xf numFmtId="0" fontId="19" fillId="0" borderId="0" xfId="0" applyFont="1" applyAlignment="1">
      <alignment horizontal="center"/>
    </xf>
    <xf numFmtId="0" fontId="18" fillId="0" borderId="0" xfId="0" applyFont="1"/>
    <xf numFmtId="2" fontId="0" fillId="0" borderId="0" xfId="0" applyNumberFormat="1"/>
    <xf numFmtId="0" fontId="0" fillId="0" borderId="13" xfId="0" applyBorder="1" applyAlignment="1">
      <alignment horizontal="center"/>
    </xf>
    <xf numFmtId="0" fontId="0" fillId="0" borderId="0" xfId="0" applyBorder="1" applyAlignment="1">
      <alignment horizontal="center"/>
    </xf>
    <xf numFmtId="0" fontId="0" fillId="0" borderId="14" xfId="0" applyBorder="1" applyAlignment="1">
      <alignment horizontal="center"/>
    </xf>
    <xf numFmtId="0" fontId="0" fillId="33" borderId="13" xfId="0" applyFill="1" applyBorder="1"/>
    <xf numFmtId="10" fontId="0" fillId="0" borderId="14" xfId="1" applyNumberFormat="1" applyFont="1" applyBorder="1"/>
    <xf numFmtId="0" fontId="19" fillId="0" borderId="13" xfId="0" applyFont="1" applyBorder="1" applyAlignment="1">
      <alignment horizontal="left"/>
    </xf>
    <xf numFmtId="0" fontId="19" fillId="0" borderId="0" xfId="0" applyFont="1" applyBorder="1" applyAlignment="1">
      <alignment horizontal="left"/>
    </xf>
    <xf numFmtId="0" fontId="19" fillId="0" borderId="14" xfId="0" applyFont="1" applyBorder="1" applyAlignment="1">
      <alignment horizontal="left"/>
    </xf>
    <xf numFmtId="173" fontId="0" fillId="0" borderId="14" xfId="0" applyNumberFormat="1" applyBorder="1"/>
    <xf numFmtId="10" fontId="0" fillId="0" borderId="14" xfId="0" applyNumberFormat="1" applyBorder="1"/>
    <xf numFmtId="0" fontId="19" fillId="0" borderId="13" xfId="0" applyFont="1" applyBorder="1" applyAlignment="1">
      <alignment horizontal="center"/>
    </xf>
    <xf numFmtId="0" fontId="19" fillId="0" borderId="0" xfId="0" applyFont="1" applyBorder="1" applyAlignment="1">
      <alignment horizontal="center"/>
    </xf>
    <xf numFmtId="0" fontId="19" fillId="0" borderId="14" xfId="0" applyFont="1" applyBorder="1" applyAlignment="1">
      <alignment horizontal="center"/>
    </xf>
    <xf numFmtId="0" fontId="19" fillId="0" borderId="13" xfId="0" applyFont="1" applyFill="1" applyBorder="1" applyAlignment="1"/>
    <xf numFmtId="0" fontId="19" fillId="0" borderId="0" xfId="0" applyFont="1" applyFill="1" applyBorder="1" applyAlignment="1"/>
    <xf numFmtId="0" fontId="19" fillId="0" borderId="14" xfId="0" applyFont="1" applyFill="1" applyBorder="1" applyAlignment="1"/>
    <xf numFmtId="0" fontId="18" fillId="0" borderId="13" xfId="0" applyFont="1" applyBorder="1" applyAlignment="1">
      <alignment horizontal="left"/>
    </xf>
    <xf numFmtId="0" fontId="0" fillId="0" borderId="14" xfId="0" applyFont="1" applyBorder="1" applyAlignment="1"/>
    <xf numFmtId="0" fontId="0" fillId="0" borderId="13" xfId="0" applyFont="1" applyBorder="1" applyAlignment="1">
      <alignment horizontal="center"/>
    </xf>
    <xf numFmtId="0" fontId="0" fillId="0" borderId="0" xfId="0" applyFont="1" applyBorder="1" applyAlignment="1">
      <alignment horizontal="center"/>
    </xf>
    <xf numFmtId="0" fontId="0" fillId="0" borderId="14" xfId="0" applyFont="1" applyBorder="1" applyAlignment="1">
      <alignment horizontal="center"/>
    </xf>
    <xf numFmtId="0" fontId="0" fillId="0" borderId="14" xfId="0" applyBorder="1"/>
    <xf numFmtId="0" fontId="0" fillId="33" borderId="15" xfId="0" applyFill="1" applyBorder="1"/>
    <xf numFmtId="0" fontId="0" fillId="0" borderId="10" xfId="0" applyBorder="1" applyAlignment="1">
      <alignment horizontal="center"/>
    </xf>
    <xf numFmtId="0" fontId="0" fillId="0" borderId="16" xfId="0" applyBorder="1"/>
    <xf numFmtId="0" fontId="0" fillId="34" borderId="13" xfId="0" applyFill="1" applyBorder="1"/>
    <xf numFmtId="0" fontId="16" fillId="34" borderId="13" xfId="0" applyFont="1" applyFill="1" applyBorder="1"/>
    <xf numFmtId="164" fontId="16" fillId="0" borderId="14" xfId="0" applyNumberFormat="1" applyFont="1" applyBorder="1"/>
    <xf numFmtId="0" fontId="22" fillId="0" borderId="13" xfId="0" applyFont="1" applyBorder="1"/>
    <xf numFmtId="164" fontId="22" fillId="0" borderId="14" xfId="0" applyNumberFormat="1" applyFont="1" applyBorder="1"/>
    <xf numFmtId="2" fontId="16" fillId="0" borderId="14" xfId="0" applyNumberFormat="1" applyFont="1" applyBorder="1"/>
    <xf numFmtId="10" fontId="0" fillId="0" borderId="14" xfId="1" applyNumberFormat="1" applyFont="1" applyBorder="1" applyAlignment="1"/>
    <xf numFmtId="0" fontId="19" fillId="0" borderId="0" xfId="0" applyFont="1" applyFill="1" applyBorder="1" applyAlignment="1">
      <alignment horizontal="center" vertical="top" wrapText="1"/>
    </xf>
    <xf numFmtId="10" fontId="1" fillId="0" borderId="14" xfId="1" applyNumberFormat="1" applyFont="1" applyFill="1" applyBorder="1" applyAlignment="1">
      <alignment vertical="top" wrapText="1"/>
    </xf>
    <xf numFmtId="0" fontId="19" fillId="0" borderId="13" xfId="0" applyFont="1" applyFill="1" applyBorder="1" applyAlignment="1">
      <alignment horizontal="center" vertical="top" wrapText="1"/>
    </xf>
    <xf numFmtId="0" fontId="19" fillId="0" borderId="14" xfId="0" applyFont="1" applyFill="1" applyBorder="1" applyAlignment="1">
      <alignment horizontal="center" vertical="top" wrapText="1"/>
    </xf>
    <xf numFmtId="0" fontId="19" fillId="38" borderId="13" xfId="0" applyFont="1" applyFill="1" applyBorder="1" applyAlignment="1">
      <alignment horizontal="left" vertical="top" wrapText="1"/>
    </xf>
    <xf numFmtId="0" fontId="19" fillId="38" borderId="0" xfId="0" applyFont="1" applyFill="1" applyBorder="1" applyAlignment="1">
      <alignment horizontal="left" vertical="top" wrapText="1"/>
    </xf>
    <xf numFmtId="0" fontId="19" fillId="38" borderId="14" xfId="0" applyFont="1" applyFill="1" applyBorder="1" applyAlignment="1">
      <alignment horizontal="left" vertical="top" wrapText="1"/>
    </xf>
    <xf numFmtId="0" fontId="19" fillId="38" borderId="15" xfId="0" applyFont="1" applyFill="1" applyBorder="1" applyAlignment="1">
      <alignment horizontal="left" vertical="top" wrapText="1"/>
    </xf>
    <xf numFmtId="0" fontId="19" fillId="38" borderId="10" xfId="0" applyFont="1" applyFill="1" applyBorder="1" applyAlignment="1">
      <alignment horizontal="left" vertical="top" wrapText="1"/>
    </xf>
    <xf numFmtId="0" fontId="19" fillId="38" borderId="16" xfId="0" applyFont="1" applyFill="1" applyBorder="1" applyAlignment="1">
      <alignment horizontal="left" vertical="top" wrapText="1"/>
    </xf>
    <xf numFmtId="0" fontId="21" fillId="37" borderId="17" xfId="0" applyFont="1" applyFill="1" applyBorder="1" applyAlignment="1">
      <alignment horizontal="center"/>
    </xf>
    <xf numFmtId="0" fontId="21" fillId="37" borderId="18" xfId="0" applyFont="1" applyFill="1" applyBorder="1" applyAlignment="1">
      <alignment horizontal="center"/>
    </xf>
    <xf numFmtId="0" fontId="21" fillId="37" borderId="19" xfId="0" applyFont="1" applyFill="1" applyBorder="1" applyAlignment="1">
      <alignment horizontal="center"/>
    </xf>
    <xf numFmtId="0" fontId="16" fillId="36" borderId="17" xfId="0" applyFont="1" applyFill="1" applyBorder="1" applyAlignment="1">
      <alignment horizontal="center"/>
    </xf>
    <xf numFmtId="0" fontId="16" fillId="36" borderId="18" xfId="0" applyFont="1" applyFill="1" applyBorder="1" applyAlignment="1">
      <alignment horizontal="center"/>
    </xf>
    <xf numFmtId="0" fontId="16" fillId="36" borderId="19" xfId="0" applyFont="1" applyFill="1" applyBorder="1" applyAlignment="1">
      <alignment horizontal="center"/>
    </xf>
    <xf numFmtId="0" fontId="16" fillId="0" borderId="12" xfId="0" applyFont="1" applyBorder="1"/>
    <xf numFmtId="14" fontId="0" fillId="0" borderId="12" xfId="0" applyNumberFormat="1" applyBorder="1"/>
    <xf numFmtId="0" fontId="0" fillId="0" borderId="12" xfId="0" applyBorder="1"/>
    <xf numFmtId="164" fontId="0" fillId="0" borderId="12" xfId="1" applyNumberFormat="1" applyFont="1" applyBorder="1"/>
    <xf numFmtId="173" fontId="16" fillId="0" borderId="12" xfId="0" applyNumberFormat="1" applyFont="1" applyBorder="1"/>
    <xf numFmtId="2" fontId="0" fillId="0" borderId="0" xfId="0" applyNumberFormat="1" applyFill="1" applyBorder="1"/>
    <xf numFmtId="2" fontId="23" fillId="0" borderId="12" xfId="0" applyNumberFormat="1" applyFont="1" applyBorder="1"/>
  </cellXfs>
  <cellStyles count="43">
    <cellStyle name="20 % - Akzent1" xfId="20" builtinId="30" customBuiltin="1"/>
    <cellStyle name="20 % - Akzent2" xfId="24" builtinId="34" customBuiltin="1"/>
    <cellStyle name="20 % - Akzent3" xfId="28" builtinId="38" customBuiltin="1"/>
    <cellStyle name="20 % - Akzent4" xfId="32" builtinId="42" customBuiltin="1"/>
    <cellStyle name="20 % - Akzent5" xfId="36" builtinId="46" customBuiltin="1"/>
    <cellStyle name="20 % - Akzent6" xfId="40" builtinId="50" customBuiltin="1"/>
    <cellStyle name="40 % - Akzent1" xfId="21" builtinId="31" customBuiltin="1"/>
    <cellStyle name="40 % - Akzent2" xfId="25" builtinId="35" customBuiltin="1"/>
    <cellStyle name="40 % - Akzent3" xfId="29" builtinId="39" customBuiltin="1"/>
    <cellStyle name="40 % - Akzent4" xfId="33" builtinId="43" customBuiltin="1"/>
    <cellStyle name="40 % - Akzent5" xfId="37" builtinId="47" customBuiltin="1"/>
    <cellStyle name="40 % - Akzent6" xfId="41" builtinId="51" customBuiltin="1"/>
    <cellStyle name="60 % - Akzent1" xfId="22" builtinId="32" customBuiltin="1"/>
    <cellStyle name="60 % - Akzent2" xfId="26" builtinId="36" customBuiltin="1"/>
    <cellStyle name="60 % - Akzent3" xfId="30" builtinId="40" customBuiltin="1"/>
    <cellStyle name="60 % - Akzent4" xfId="34" builtinId="44" customBuiltin="1"/>
    <cellStyle name="60 % - Akzent5" xfId="38" builtinId="48" customBuiltin="1"/>
    <cellStyle name="60 % - Akzent6" xfId="42" builtinId="52" customBuiltin="1"/>
    <cellStyle name="Akzent1" xfId="19" builtinId="29" customBuiltin="1"/>
    <cellStyle name="Akzent2" xfId="23" builtinId="33" customBuiltin="1"/>
    <cellStyle name="Akzent3" xfId="27" builtinId="37" customBuiltin="1"/>
    <cellStyle name="Akzent4" xfId="31" builtinId="41" customBuiltin="1"/>
    <cellStyle name="Akzent5" xfId="35" builtinId="45" customBuiltin="1"/>
    <cellStyle name="Akzent6" xfId="39" builtinId="49" customBuiltin="1"/>
    <cellStyle name="Ausgabe" xfId="11" builtinId="21" customBuiltin="1"/>
    <cellStyle name="Berechnung" xfId="12" builtinId="22" customBuiltin="1"/>
    <cellStyle name="Eingabe" xfId="10" builtinId="20" customBuiltin="1"/>
    <cellStyle name="Ergebnis" xfId="18" builtinId="25" customBuiltin="1"/>
    <cellStyle name="Erklärender Text" xfId="17" builtinId="53" customBuiltin="1"/>
    <cellStyle name="Gut" xfId="7" builtinId="26" customBuiltin="1"/>
    <cellStyle name="Neutral" xfId="9" builtinId="28" customBuiltin="1"/>
    <cellStyle name="Notiz" xfId="16" builtinId="10" customBuiltin="1"/>
    <cellStyle name="Prozent" xfId="1" builtinId="5"/>
    <cellStyle name="Schlecht" xfId="8" builtinId="27" customBuiltin="1"/>
    <cellStyle name="Standard" xfId="0" builtinId="0"/>
    <cellStyle name="Überschrift" xfId="2" builtinId="15" customBuiltin="1"/>
    <cellStyle name="Überschrift 1" xfId="3" builtinId="16" customBuiltin="1"/>
    <cellStyle name="Überschrift 2" xfId="4" builtinId="17" customBuiltin="1"/>
    <cellStyle name="Überschrift 3" xfId="5" builtinId="18" customBuiltin="1"/>
    <cellStyle name="Überschrift 4" xfId="6" builtinId="19" customBuiltin="1"/>
    <cellStyle name="Verknüpfte Zelle" xfId="13" builtinId="24" customBuiltin="1"/>
    <cellStyle name="Warnender Text" xfId="15" builtinId="11" customBuiltin="1"/>
    <cellStyle name="Zelle überprüfen" xfId="14" builtinId="23" customBuiltin="1"/>
  </cellStyles>
  <dxfs count="0"/>
  <tableStyles count="0" defaultTableStyle="TableStyleMedium2" defaultPivotStyle="PivotStyleLight16"/>
  <colors>
    <mruColors>
      <color rgb="FFE2007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7.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6.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5.xml"/><Relationship Id="rId11" Type="http://schemas.openxmlformats.org/officeDocument/2006/relationships/worksheet" Target="worksheets/sheet10.xml"/><Relationship Id="rId5" Type="http://schemas.openxmlformats.org/officeDocument/2006/relationships/worksheet" Target="worksheets/sheet4.xml"/><Relationship Id="rId15" Type="http://schemas.openxmlformats.org/officeDocument/2006/relationships/calcChain" Target="calcChain.xml"/><Relationship Id="rId10" Type="http://schemas.openxmlformats.org/officeDocument/2006/relationships/worksheet" Target="worksheets/sheet9.xml"/><Relationship Id="rId4" Type="http://schemas.openxmlformats.org/officeDocument/2006/relationships/chartsheet" Target="chartsheets/sheet1.xml"/><Relationship Id="rId9" Type="http://schemas.openxmlformats.org/officeDocument/2006/relationships/worksheet" Target="worksheets/sheet8.xml"/><Relationship Id="rId1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scatterChart>
        <c:scatterStyle val="lineMarker"/>
        <c:varyColors val="0"/>
        <c:ser>
          <c:idx val="0"/>
          <c:order val="0"/>
          <c:tx>
            <c:v>DTE</c:v>
          </c:tx>
          <c:spPr>
            <a:ln w="25400" cap="rnd">
              <a:noFill/>
              <a:round/>
            </a:ln>
            <a:effectLst/>
          </c:spPr>
          <c:marker>
            <c:symbol val="circle"/>
            <c:size val="5"/>
            <c:spPr>
              <a:solidFill>
                <a:schemeClr val="accent1"/>
              </a:solidFill>
              <a:ln w="9525">
                <a:solidFill>
                  <a:schemeClr val="accent1"/>
                </a:solidFill>
              </a:ln>
              <a:effectLst/>
            </c:spPr>
          </c:marker>
          <c:trendline>
            <c:spPr>
              <a:ln w="19050" cap="rnd">
                <a:solidFill>
                  <a:schemeClr val="accent1"/>
                </a:solidFill>
                <a:prstDash val="sysDot"/>
              </a:ln>
              <a:effectLst/>
            </c:spPr>
            <c:trendlineType val="linear"/>
            <c:dispRSqr val="1"/>
            <c:dispEq val="1"/>
            <c:trendlineLbl>
              <c:layout>
                <c:manualLayout>
                  <c:x val="0.10487904636920385"/>
                  <c:y val="-0.22312846310877807"/>
                </c:manualLayout>
              </c:layout>
              <c:numFmt formatCode="General" sourceLinked="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trendlineLbl>
          </c:trendline>
          <c:xVal>
            <c:numRef>
              <c:f>Beta!$E$2:$E$209</c:f>
              <c:numCache>
                <c:formatCode>0.000%</c:formatCode>
                <c:ptCount val="208"/>
                <c:pt idx="0">
                  <c:v>-3.8824158783822282E-3</c:v>
                </c:pt>
                <c:pt idx="1">
                  <c:v>2.0128337967996179E-2</c:v>
                </c:pt>
                <c:pt idx="2">
                  <c:v>4.3715288803814367E-2</c:v>
                </c:pt>
                <c:pt idx="3">
                  <c:v>-1.8092300714861231E-2</c:v>
                </c:pt>
                <c:pt idx="4">
                  <c:v>-2.4761570603808458E-2</c:v>
                </c:pt>
                <c:pt idx="5">
                  <c:v>2.0203839011436964E-2</c:v>
                </c:pt>
                <c:pt idx="6">
                  <c:v>5.4915151455661171E-3</c:v>
                </c:pt>
                <c:pt idx="7">
                  <c:v>9.9589349524358273E-3</c:v>
                </c:pt>
                <c:pt idx="8">
                  <c:v>7.8209735308061301E-3</c:v>
                </c:pt>
                <c:pt idx="9">
                  <c:v>2.4583395468820157E-3</c:v>
                </c:pt>
                <c:pt idx="10">
                  <c:v>1.3608419532774585E-2</c:v>
                </c:pt>
                <c:pt idx="11">
                  <c:v>1.6077104081111182E-2</c:v>
                </c:pt>
                <c:pt idx="12">
                  <c:v>1.1812635321704734E-2</c:v>
                </c:pt>
                <c:pt idx="13">
                  <c:v>-4.4495705714131528E-3</c:v>
                </c:pt>
                <c:pt idx="14">
                  <c:v>-1.6390551573181034E-3</c:v>
                </c:pt>
                <c:pt idx="15">
                  <c:v>1.9544222755487395E-2</c:v>
                </c:pt>
                <c:pt idx="16">
                  <c:v>2.8245447196420415E-2</c:v>
                </c:pt>
                <c:pt idx="17">
                  <c:v>2.1290485798732606E-2</c:v>
                </c:pt>
                <c:pt idx="18">
                  <c:v>-3.7286488400247619E-2</c:v>
                </c:pt>
                <c:pt idx="19">
                  <c:v>2.9850070424715103E-3</c:v>
                </c:pt>
                <c:pt idx="20">
                  <c:v>6.4317589535529684E-3</c:v>
                </c:pt>
                <c:pt idx="21">
                  <c:v>-8.1634934946605009E-3</c:v>
                </c:pt>
                <c:pt idx="22">
                  <c:v>1.9652124765461521E-2</c:v>
                </c:pt>
                <c:pt idx="23">
                  <c:v>-1.0401400936438154E-2</c:v>
                </c:pt>
                <c:pt idx="24">
                  <c:v>1.4465277853878744E-2</c:v>
                </c:pt>
                <c:pt idx="25">
                  <c:v>5.2109915449654265E-2</c:v>
                </c:pt>
                <c:pt idx="26">
                  <c:v>-1.9250630086867893E-2</c:v>
                </c:pt>
                <c:pt idx="27">
                  <c:v>2.1822411429099686E-2</c:v>
                </c:pt>
                <c:pt idx="28">
                  <c:v>-4.1673433432251161E-2</c:v>
                </c:pt>
                <c:pt idx="29">
                  <c:v>-1.5351291630929409E-2</c:v>
                </c:pt>
                <c:pt idx="30">
                  <c:v>-1.1278213500318546E-2</c:v>
                </c:pt>
                <c:pt idx="31">
                  <c:v>5.2400148338656027E-3</c:v>
                </c:pt>
                <c:pt idx="32">
                  <c:v>-1.103596094308168E-2</c:v>
                </c:pt>
                <c:pt idx="33">
                  <c:v>1.4423953837549686E-2</c:v>
                </c:pt>
                <c:pt idx="34">
                  <c:v>1.9243341471432363E-2</c:v>
                </c:pt>
                <c:pt idx="35">
                  <c:v>3.9352456121493073E-2</c:v>
                </c:pt>
                <c:pt idx="36">
                  <c:v>4.7560576732314841E-2</c:v>
                </c:pt>
                <c:pt idx="37">
                  <c:v>-3.6774494271618163E-2</c:v>
                </c:pt>
                <c:pt idx="38">
                  <c:v>1.123159784560146E-2</c:v>
                </c:pt>
                <c:pt idx="39">
                  <c:v>-1.7518225702377488E-2</c:v>
                </c:pt>
                <c:pt idx="40">
                  <c:v>-1.4667534617985534E-2</c:v>
                </c:pt>
                <c:pt idx="41">
                  <c:v>-1.6349925710413604E-2</c:v>
                </c:pt>
                <c:pt idx="42">
                  <c:v>7.0594392766767378E-3</c:v>
                </c:pt>
                <c:pt idx="43">
                  <c:v>3.6105892975755616E-2</c:v>
                </c:pt>
                <c:pt idx="44">
                  <c:v>6.0363538595467059E-3</c:v>
                </c:pt>
                <c:pt idx="45">
                  <c:v>9.0076920949599959E-3</c:v>
                </c:pt>
                <c:pt idx="46">
                  <c:v>-7.6619089561874576E-3</c:v>
                </c:pt>
                <c:pt idx="47">
                  <c:v>-2.3138130490119813E-2</c:v>
                </c:pt>
                <c:pt idx="48">
                  <c:v>-3.1280343396576926E-3</c:v>
                </c:pt>
                <c:pt idx="49">
                  <c:v>2.022011806970192E-2</c:v>
                </c:pt>
                <c:pt idx="50">
                  <c:v>-1.7237960321585533E-3</c:v>
                </c:pt>
                <c:pt idx="51">
                  <c:v>-7.8237018043123552E-3</c:v>
                </c:pt>
                <c:pt idx="52">
                  <c:v>2.1541197968049319E-2</c:v>
                </c:pt>
                <c:pt idx="53">
                  <c:v>-3.121959396194085E-3</c:v>
                </c:pt>
                <c:pt idx="54">
                  <c:v>5.2340100072796325E-3</c:v>
                </c:pt>
                <c:pt idx="55">
                  <c:v>1.0464497592380662E-2</c:v>
                </c:pt>
                <c:pt idx="56">
                  <c:v>1.5164404834244749E-2</c:v>
                </c:pt>
                <c:pt idx="57">
                  <c:v>1.3184879732608401E-2</c:v>
                </c:pt>
                <c:pt idx="58">
                  <c:v>5.1593187857616574E-2</c:v>
                </c:pt>
                <c:pt idx="59">
                  <c:v>-2.9729880644936202E-2</c:v>
                </c:pt>
                <c:pt idx="60">
                  <c:v>-2.720723534564129E-2</c:v>
                </c:pt>
                <c:pt idx="61">
                  <c:v>1.8252590969115801E-2</c:v>
                </c:pt>
                <c:pt idx="62">
                  <c:v>-2.0159498363285566E-2</c:v>
                </c:pt>
                <c:pt idx="63">
                  <c:v>2.0483955041763036E-2</c:v>
                </c:pt>
                <c:pt idx="64">
                  <c:v>-2.235508328748681E-2</c:v>
                </c:pt>
                <c:pt idx="65">
                  <c:v>2.5182403359131911E-2</c:v>
                </c:pt>
                <c:pt idx="66">
                  <c:v>-3.1599840034784443E-2</c:v>
                </c:pt>
                <c:pt idx="67">
                  <c:v>5.3277532908893033E-3</c:v>
                </c:pt>
                <c:pt idx="68">
                  <c:v>2.7393443759096359E-2</c:v>
                </c:pt>
                <c:pt idx="69">
                  <c:v>3.4961604064962515E-2</c:v>
                </c:pt>
                <c:pt idx="70">
                  <c:v>-4.016600034140172E-5</c:v>
                </c:pt>
                <c:pt idx="71">
                  <c:v>-9.9149538125916648E-3</c:v>
                </c:pt>
                <c:pt idx="72">
                  <c:v>1.3869849205709217E-2</c:v>
                </c:pt>
                <c:pt idx="73">
                  <c:v>1.1491976008133342E-2</c:v>
                </c:pt>
                <c:pt idx="74">
                  <c:v>2.6349149400544114E-2</c:v>
                </c:pt>
                <c:pt idx="75">
                  <c:v>8.9562324095551205E-3</c:v>
                </c:pt>
                <c:pt idx="76">
                  <c:v>1.1120769852526191E-2</c:v>
                </c:pt>
                <c:pt idx="77">
                  <c:v>2.2930963743212018E-2</c:v>
                </c:pt>
                <c:pt idx="78">
                  <c:v>-9.616163883122697E-4</c:v>
                </c:pt>
                <c:pt idx="79">
                  <c:v>2.4433002035684215E-2</c:v>
                </c:pt>
                <c:pt idx="80">
                  <c:v>5.4322961564579053E-3</c:v>
                </c:pt>
                <c:pt idx="81">
                  <c:v>1.6081046254823983E-2</c:v>
                </c:pt>
                <c:pt idx="82">
                  <c:v>1.331010579658165E-2</c:v>
                </c:pt>
                <c:pt idx="83">
                  <c:v>-4.5686552238664691E-2</c:v>
                </c:pt>
                <c:pt idx="84">
                  <c:v>1.0957995413970467E-2</c:v>
                </c:pt>
                <c:pt idx="85">
                  <c:v>-4.6916912489950557E-2</c:v>
                </c:pt>
                <c:pt idx="86">
                  <c:v>2.8133939498313776E-3</c:v>
                </c:pt>
                <c:pt idx="87">
                  <c:v>-3.5265213223315439E-2</c:v>
                </c:pt>
                <c:pt idx="88">
                  <c:v>7.5850503398458002E-3</c:v>
                </c:pt>
                <c:pt idx="89">
                  <c:v>2.5246434484120339E-2</c:v>
                </c:pt>
                <c:pt idx="90">
                  <c:v>-2.8243934550113314E-2</c:v>
                </c:pt>
                <c:pt idx="91">
                  <c:v>-2.46975958818626E-2</c:v>
                </c:pt>
                <c:pt idx="92">
                  <c:v>-6.9743639591630657E-3</c:v>
                </c:pt>
                <c:pt idx="93">
                  <c:v>-2.2660530720247207E-2</c:v>
                </c:pt>
                <c:pt idx="94">
                  <c:v>4.0349059113021113E-2</c:v>
                </c:pt>
                <c:pt idx="95">
                  <c:v>-5.9467995498000414E-3</c:v>
                </c:pt>
                <c:pt idx="96">
                  <c:v>8.2949349035534858E-3</c:v>
                </c:pt>
                <c:pt idx="97">
                  <c:v>2.3948493216296995E-3</c:v>
                </c:pt>
                <c:pt idx="98">
                  <c:v>2.3169120986827885E-2</c:v>
                </c:pt>
                <c:pt idx="99">
                  <c:v>-1.0893098082217723E-2</c:v>
                </c:pt>
                <c:pt idx="100">
                  <c:v>3.911099235562765E-2</c:v>
                </c:pt>
                <c:pt idx="101">
                  <c:v>1.6799414151855041E-2</c:v>
                </c:pt>
                <c:pt idx="102">
                  <c:v>4.2537293995845715E-2</c:v>
                </c:pt>
                <c:pt idx="103">
                  <c:v>1.4057630341767435E-2</c:v>
                </c:pt>
                <c:pt idx="104">
                  <c:v>2.7053328473217064E-2</c:v>
                </c:pt>
                <c:pt idx="105">
                  <c:v>3.3033222031899623E-3</c:v>
                </c:pt>
                <c:pt idx="106">
                  <c:v>3.1069245042776306E-2</c:v>
                </c:pt>
                <c:pt idx="107">
                  <c:v>-4.7593753497329971E-2</c:v>
                </c:pt>
                <c:pt idx="108">
                  <c:v>-1.5453863712611149E-2</c:v>
                </c:pt>
                <c:pt idx="109">
                  <c:v>0.1070132735710112</c:v>
                </c:pt>
                <c:pt idx="110">
                  <c:v>-5.2992634787526027E-2</c:v>
                </c:pt>
                <c:pt idx="111">
                  <c:v>-4.2395365385345607E-2</c:v>
                </c:pt>
                <c:pt idx="112">
                  <c:v>1.5230902288909443E-2</c:v>
                </c:pt>
                <c:pt idx="113">
                  <c:v>-5.988317399888754E-2</c:v>
                </c:pt>
                <c:pt idx="114">
                  <c:v>6.2842490989723609E-2</c:v>
                </c:pt>
                <c:pt idx="115">
                  <c:v>6.3011127496981345E-4</c:v>
                </c:pt>
                <c:pt idx="116">
                  <c:v>5.1359303698222281E-2</c:v>
                </c:pt>
                <c:pt idx="117">
                  <c:v>3.1566588271216611E-2</c:v>
                </c:pt>
                <c:pt idx="118">
                  <c:v>5.8781193712763802E-2</c:v>
                </c:pt>
                <c:pt idx="119">
                  <c:v>-6.7632425527181184E-2</c:v>
                </c:pt>
                <c:pt idx="120">
                  <c:v>7.3908511290132983E-2</c:v>
                </c:pt>
                <c:pt idx="121">
                  <c:v>-6.2907049597983433E-2</c:v>
                </c:pt>
                <c:pt idx="122">
                  <c:v>1.5349942573172903E-4</c:v>
                </c:pt>
                <c:pt idx="123">
                  <c:v>1.0489051094890511E-2</c:v>
                </c:pt>
                <c:pt idx="124">
                  <c:v>-8.6322514813913176E-2</c:v>
                </c:pt>
                <c:pt idx="125">
                  <c:v>-3.8231860632183867E-2</c:v>
                </c:pt>
                <c:pt idx="126">
                  <c:v>-0.12887828495677334</c:v>
                </c:pt>
                <c:pt idx="127">
                  <c:v>-2.2878934918834526E-2</c:v>
                </c:pt>
                <c:pt idx="128">
                  <c:v>1.4718591934760106E-2</c:v>
                </c:pt>
                <c:pt idx="129">
                  <c:v>-2.4667926562227716E-2</c:v>
                </c:pt>
                <c:pt idx="130">
                  <c:v>-2.2521915400622872E-3</c:v>
                </c:pt>
                <c:pt idx="131">
                  <c:v>4.1854247350934681E-2</c:v>
                </c:pt>
                <c:pt idx="132">
                  <c:v>-5.9561281677263933E-3</c:v>
                </c:pt>
                <c:pt idx="133">
                  <c:v>1.3317020042716399E-2</c:v>
                </c:pt>
                <c:pt idx="134">
                  <c:v>-5.5042671081708683E-3</c:v>
                </c:pt>
                <c:pt idx="135">
                  <c:v>-7.5996688755589625E-3</c:v>
                </c:pt>
                <c:pt idx="136">
                  <c:v>-1.4222176963238353E-2</c:v>
                </c:pt>
                <c:pt idx="137">
                  <c:v>-1.8436348065932751E-2</c:v>
                </c:pt>
                <c:pt idx="138">
                  <c:v>-1.1870933297740915E-2</c:v>
                </c:pt>
                <c:pt idx="139">
                  <c:v>-2.9556348693052792E-3</c:v>
                </c:pt>
                <c:pt idx="140">
                  <c:v>3.0014433574715449E-2</c:v>
                </c:pt>
                <c:pt idx="141">
                  <c:v>1.6327008242910113E-2</c:v>
                </c:pt>
                <c:pt idx="142">
                  <c:v>-5.3664809020897986E-3</c:v>
                </c:pt>
                <c:pt idx="143">
                  <c:v>5.1825883971861053E-3</c:v>
                </c:pt>
                <c:pt idx="144">
                  <c:v>3.3607529699007932E-2</c:v>
                </c:pt>
                <c:pt idx="145">
                  <c:v>4.2308384850849201E-2</c:v>
                </c:pt>
                <c:pt idx="146">
                  <c:v>-4.5418671372443487E-2</c:v>
                </c:pt>
                <c:pt idx="147">
                  <c:v>-2.7498641853208716E-2</c:v>
                </c:pt>
                <c:pt idx="148">
                  <c:v>-8.7263071019894056E-4</c:v>
                </c:pt>
                <c:pt idx="149">
                  <c:v>-3.2536176366434577E-2</c:v>
                </c:pt>
                <c:pt idx="150">
                  <c:v>7.5442261775560127E-3</c:v>
                </c:pt>
                <c:pt idx="151">
                  <c:v>2.1478033482950076E-2</c:v>
                </c:pt>
                <c:pt idx="152">
                  <c:v>1.5966942614180413E-2</c:v>
                </c:pt>
                <c:pt idx="153">
                  <c:v>5.7175868894798754E-3</c:v>
                </c:pt>
                <c:pt idx="154">
                  <c:v>-1.8768461070989284E-3</c:v>
                </c:pt>
                <c:pt idx="155">
                  <c:v>1.8402841746499643E-2</c:v>
                </c:pt>
                <c:pt idx="156">
                  <c:v>4.8668029082221675E-3</c:v>
                </c:pt>
                <c:pt idx="157">
                  <c:v>-2.0332431716326482E-2</c:v>
                </c:pt>
                <c:pt idx="158">
                  <c:v>1.0775587365466244E-2</c:v>
                </c:pt>
                <c:pt idx="159">
                  <c:v>-3.3855872752159843E-3</c:v>
                </c:pt>
                <c:pt idx="160">
                  <c:v>8.412831835479917E-3</c:v>
                </c:pt>
                <c:pt idx="161">
                  <c:v>1.4416745267178621E-2</c:v>
                </c:pt>
                <c:pt idx="162">
                  <c:v>7.9344784505108734E-4</c:v>
                </c:pt>
                <c:pt idx="163">
                  <c:v>1.6176140860421073E-2</c:v>
                </c:pt>
                <c:pt idx="164">
                  <c:v>-2.9004175179888625E-3</c:v>
                </c:pt>
                <c:pt idx="165">
                  <c:v>2.3151254966772061E-2</c:v>
                </c:pt>
                <c:pt idx="166">
                  <c:v>-6.7667397333270873E-4</c:v>
                </c:pt>
                <c:pt idx="167">
                  <c:v>1.7488409346456457E-2</c:v>
                </c:pt>
                <c:pt idx="168">
                  <c:v>3.1888195026121835E-2</c:v>
                </c:pt>
                <c:pt idx="169">
                  <c:v>1.293279710980233E-2</c:v>
                </c:pt>
                <c:pt idx="170">
                  <c:v>-1.3806900274677347E-2</c:v>
                </c:pt>
                <c:pt idx="171">
                  <c:v>1.4258199994846787E-2</c:v>
                </c:pt>
                <c:pt idx="172">
                  <c:v>-8.0614407291024204E-4</c:v>
                </c:pt>
                <c:pt idx="173">
                  <c:v>1.3065193932142671E-2</c:v>
                </c:pt>
                <c:pt idx="174">
                  <c:v>3.0825871215240053E-2</c:v>
                </c:pt>
                <c:pt idx="175">
                  <c:v>-8.9906014161154069E-3</c:v>
                </c:pt>
                <c:pt idx="176">
                  <c:v>-1.7224703415973708E-2</c:v>
                </c:pt>
                <c:pt idx="177">
                  <c:v>-2.383846968590797E-2</c:v>
                </c:pt>
                <c:pt idx="178">
                  <c:v>1.8162092528102747E-2</c:v>
                </c:pt>
                <c:pt idx="179">
                  <c:v>-2.9790767294699538E-3</c:v>
                </c:pt>
                <c:pt idx="180">
                  <c:v>2.0871583555039708E-2</c:v>
                </c:pt>
                <c:pt idx="181">
                  <c:v>-4.1169022165651326E-3</c:v>
                </c:pt>
                <c:pt idx="182">
                  <c:v>3.9609883187782247E-2</c:v>
                </c:pt>
                <c:pt idx="183">
                  <c:v>-3.8950021414687286E-2</c:v>
                </c:pt>
                <c:pt idx="184">
                  <c:v>-2.3545193968775746E-2</c:v>
                </c:pt>
                <c:pt idx="185">
                  <c:v>2.7968709437930617E-2</c:v>
                </c:pt>
                <c:pt idx="186">
                  <c:v>1.8345209871221568E-2</c:v>
                </c:pt>
                <c:pt idx="187">
                  <c:v>-1.2276789468196325E-3</c:v>
                </c:pt>
                <c:pt idx="188">
                  <c:v>2.0059184286143283E-2</c:v>
                </c:pt>
                <c:pt idx="189">
                  <c:v>-3.7555042258916149E-2</c:v>
                </c:pt>
                <c:pt idx="190">
                  <c:v>5.9775086656553178E-2</c:v>
                </c:pt>
                <c:pt idx="191">
                  <c:v>-6.8551265544273599E-2</c:v>
                </c:pt>
                <c:pt idx="192">
                  <c:v>-1.978263543748493E-2</c:v>
                </c:pt>
                <c:pt idx="193">
                  <c:v>1.2721448332767116E-2</c:v>
                </c:pt>
                <c:pt idx="194">
                  <c:v>-1.1008528409363727E-2</c:v>
                </c:pt>
                <c:pt idx="195">
                  <c:v>2.267639153500145E-3</c:v>
                </c:pt>
                <c:pt idx="196">
                  <c:v>1.8874028806954213E-2</c:v>
                </c:pt>
                <c:pt idx="197">
                  <c:v>2.3004030134911702E-2</c:v>
                </c:pt>
                <c:pt idx="198">
                  <c:v>6.2774280038553343E-3</c:v>
                </c:pt>
                <c:pt idx="199">
                  <c:v>1.1527284358963996E-2</c:v>
                </c:pt>
                <c:pt idx="200">
                  <c:v>4.9817271178145273E-2</c:v>
                </c:pt>
                <c:pt idx="201">
                  <c:v>-2.159890249124008E-2</c:v>
                </c:pt>
                <c:pt idx="202">
                  <c:v>4.0298960619156166E-2</c:v>
                </c:pt>
                <c:pt idx="203">
                  <c:v>1.2154189837220386E-2</c:v>
                </c:pt>
                <c:pt idx="204">
                  <c:v>-3.1102965167175034E-2</c:v>
                </c:pt>
                <c:pt idx="205">
                  <c:v>-1.5193176151647281E-2</c:v>
                </c:pt>
                <c:pt idx="206">
                  <c:v>-3.0743860162662617E-2</c:v>
                </c:pt>
                <c:pt idx="207">
                  <c:v>-2.6772183032690022E-2</c:v>
                </c:pt>
              </c:numCache>
            </c:numRef>
          </c:xVal>
          <c:yVal>
            <c:numRef>
              <c:f>Beta!$D$2:$D$209</c:f>
              <c:numCache>
                <c:formatCode>0.000%</c:formatCode>
                <c:ptCount val="208"/>
                <c:pt idx="0">
                  <c:v>-1.388888888888884E-2</c:v>
                </c:pt>
                <c:pt idx="1">
                  <c:v>1.7456359102244523E-2</c:v>
                </c:pt>
                <c:pt idx="2">
                  <c:v>9.0661831368993751E-2</c:v>
                </c:pt>
                <c:pt idx="3">
                  <c:v>-1.6057091882248131E-2</c:v>
                </c:pt>
                <c:pt idx="4">
                  <c:v>-1.2334801762114433E-2</c:v>
                </c:pt>
                <c:pt idx="5">
                  <c:v>3.558394160583922E-2</c:v>
                </c:pt>
                <c:pt idx="6">
                  <c:v>9.208103130755152E-3</c:v>
                </c:pt>
                <c:pt idx="7">
                  <c:v>-1.4519056261342977E-2</c:v>
                </c:pt>
                <c:pt idx="8">
                  <c:v>-2.3914968999114272E-2</c:v>
                </c:pt>
                <c:pt idx="9">
                  <c:v>2.3572076155938371E-2</c:v>
                </c:pt>
                <c:pt idx="10">
                  <c:v>-2.733686067019403E-2</c:v>
                </c:pt>
                <c:pt idx="11">
                  <c:v>3.2786885245901676E-2</c:v>
                </c:pt>
                <c:pt idx="12">
                  <c:v>1.0119595216191435E-2</c:v>
                </c:pt>
                <c:pt idx="13">
                  <c:v>3.8204393505252954E-2</c:v>
                </c:pt>
                <c:pt idx="14">
                  <c:v>4.491017964071875E-2</c:v>
                </c:pt>
                <c:pt idx="15">
                  <c:v>4.2663891779396446E-2</c:v>
                </c:pt>
                <c:pt idx="16">
                  <c:v>2.6709401709401615E-2</c:v>
                </c:pt>
                <c:pt idx="17">
                  <c:v>-5.3134962805526653E-3</c:v>
                </c:pt>
                <c:pt idx="18">
                  <c:v>-6.3357972544879626E-3</c:v>
                </c:pt>
                <c:pt idx="19">
                  <c:v>-2.1074815595363283E-3</c:v>
                </c:pt>
                <c:pt idx="20">
                  <c:v>5.2966101694915668E-3</c:v>
                </c:pt>
                <c:pt idx="21">
                  <c:v>5.7110862262037987E-2</c:v>
                </c:pt>
                <c:pt idx="22">
                  <c:v>-1.1185682326622093E-3</c:v>
                </c:pt>
                <c:pt idx="23">
                  <c:v>2.7586206896551779E-2</c:v>
                </c:pt>
                <c:pt idx="24">
                  <c:v>-4.5766590389016981E-3</c:v>
                </c:pt>
                <c:pt idx="25">
                  <c:v>2.1028037383177489E-2</c:v>
                </c:pt>
                <c:pt idx="26">
                  <c:v>-1.7221584385763489E-2</c:v>
                </c:pt>
                <c:pt idx="27">
                  <c:v>4.3113772455090071E-2</c:v>
                </c:pt>
                <c:pt idx="28">
                  <c:v>-1.8801410105757976E-2</c:v>
                </c:pt>
                <c:pt idx="29">
                  <c:v>-9.3131548311990997E-3</c:v>
                </c:pt>
                <c:pt idx="30">
                  <c:v>0</c:v>
                </c:pt>
                <c:pt idx="31">
                  <c:v>-4.5555555555555571E-2</c:v>
                </c:pt>
                <c:pt idx="32">
                  <c:v>6.7114093959732557E-3</c:v>
                </c:pt>
                <c:pt idx="33">
                  <c:v>-4.4543429844099425E-3</c:v>
                </c:pt>
                <c:pt idx="34">
                  <c:v>7.1599045346061985E-2</c:v>
                </c:pt>
                <c:pt idx="35">
                  <c:v>1.330108827085863E-2</c:v>
                </c:pt>
                <c:pt idx="36">
                  <c:v>3.5043804755944929E-2</c:v>
                </c:pt>
                <c:pt idx="37">
                  <c:v>-1.2360939431396711E-2</c:v>
                </c:pt>
                <c:pt idx="38">
                  <c:v>3.9845758354755789E-2</c:v>
                </c:pt>
                <c:pt idx="39">
                  <c:v>2.3684210526315974E-2</c:v>
                </c:pt>
                <c:pt idx="40">
                  <c:v>-3.1847133757961776E-2</c:v>
                </c:pt>
                <c:pt idx="41">
                  <c:v>-7.5853350189634128E-3</c:v>
                </c:pt>
                <c:pt idx="42">
                  <c:v>2.5940337224384047E-2</c:v>
                </c:pt>
                <c:pt idx="43">
                  <c:v>3.074866310160429E-2</c:v>
                </c:pt>
                <c:pt idx="44">
                  <c:v>-5.3191489361701372E-3</c:v>
                </c:pt>
                <c:pt idx="45">
                  <c:v>-3.9735099337748769E-3</c:v>
                </c:pt>
                <c:pt idx="46">
                  <c:v>-5.031446540880502E-2</c:v>
                </c:pt>
                <c:pt idx="47">
                  <c:v>-4.4471153846153855E-2</c:v>
                </c:pt>
                <c:pt idx="48">
                  <c:v>1.3398294762484664E-2</c:v>
                </c:pt>
                <c:pt idx="49">
                  <c:v>0</c:v>
                </c:pt>
                <c:pt idx="50">
                  <c:v>-1.3221153846153744E-2</c:v>
                </c:pt>
                <c:pt idx="51">
                  <c:v>1.7114914425427896E-2</c:v>
                </c:pt>
                <c:pt idx="52">
                  <c:v>3.2828282828282873E-2</c:v>
                </c:pt>
                <c:pt idx="53">
                  <c:v>-6.273525721455453E-3</c:v>
                </c:pt>
                <c:pt idx="54">
                  <c:v>1.270648030495547E-2</c:v>
                </c:pt>
                <c:pt idx="55">
                  <c:v>1.5483870967741842E-2</c:v>
                </c:pt>
                <c:pt idx="56">
                  <c:v>-7.6824583866836882E-3</c:v>
                </c:pt>
                <c:pt idx="57">
                  <c:v>7.7419354838708099E-3</c:v>
                </c:pt>
                <c:pt idx="58">
                  <c:v>3.0585106382978733E-2</c:v>
                </c:pt>
                <c:pt idx="59">
                  <c:v>-2.2106631989596948E-2</c:v>
                </c:pt>
                <c:pt idx="60">
                  <c:v>-3.6340852130325785E-2</c:v>
                </c:pt>
                <c:pt idx="61">
                  <c:v>-2.0858895705521463E-2</c:v>
                </c:pt>
                <c:pt idx="62">
                  <c:v>-1.8072289156626509E-2</c:v>
                </c:pt>
                <c:pt idx="63">
                  <c:v>-1.6587677725118377E-2</c:v>
                </c:pt>
                <c:pt idx="64">
                  <c:v>-3.5428571428571476E-2</c:v>
                </c:pt>
                <c:pt idx="65">
                  <c:v>-7.9365079365080193E-3</c:v>
                </c:pt>
                <c:pt idx="66">
                  <c:v>-4.6486486486486456E-2</c:v>
                </c:pt>
                <c:pt idx="67">
                  <c:v>3.5834266517357216E-2</c:v>
                </c:pt>
                <c:pt idx="68">
                  <c:v>1.1210762331839152E-3</c:v>
                </c:pt>
                <c:pt idx="69">
                  <c:v>2.0594965675057253E-2</c:v>
                </c:pt>
                <c:pt idx="70">
                  <c:v>2.2935779816513069E-3</c:v>
                </c:pt>
                <c:pt idx="71">
                  <c:v>1.1481056257174327E-3</c:v>
                </c:pt>
                <c:pt idx="72">
                  <c:v>2.7122641509434109E-2</c:v>
                </c:pt>
                <c:pt idx="73">
                  <c:v>-1.6241299303944134E-2</c:v>
                </c:pt>
                <c:pt idx="74">
                  <c:v>1.0550996483001063E-2</c:v>
                </c:pt>
                <c:pt idx="75">
                  <c:v>1.7899761336515274E-2</c:v>
                </c:pt>
                <c:pt idx="76">
                  <c:v>-9.4562647754137252E-3</c:v>
                </c:pt>
                <c:pt idx="77">
                  <c:v>8.0459770114942541E-2</c:v>
                </c:pt>
                <c:pt idx="78">
                  <c:v>-1.8796992481203034E-2</c:v>
                </c:pt>
                <c:pt idx="79">
                  <c:v>2.1766965428937413E-2</c:v>
                </c:pt>
                <c:pt idx="80">
                  <c:v>4.4117647058823373E-2</c:v>
                </c:pt>
                <c:pt idx="81">
                  <c:v>3.6011080332410073E-2</c:v>
                </c:pt>
                <c:pt idx="82">
                  <c:v>2.7777777777777679E-3</c:v>
                </c:pt>
                <c:pt idx="83">
                  <c:v>-4.2553191489361653E-2</c:v>
                </c:pt>
                <c:pt idx="84">
                  <c:v>-1.0526315789473717E-2</c:v>
                </c:pt>
                <c:pt idx="85">
                  <c:v>-1.5544041450777257E-2</c:v>
                </c:pt>
                <c:pt idx="86">
                  <c:v>5.1771117166212521E-2</c:v>
                </c:pt>
                <c:pt idx="87">
                  <c:v>-8.1081081081081363E-3</c:v>
                </c:pt>
                <c:pt idx="88">
                  <c:v>-2.6954177897573484E-3</c:v>
                </c:pt>
                <c:pt idx="89">
                  <c:v>-1.3458950201884479E-3</c:v>
                </c:pt>
                <c:pt idx="90">
                  <c:v>-2.7486910994764413E-2</c:v>
                </c:pt>
                <c:pt idx="91">
                  <c:v>-2.5510204081632626E-2</c:v>
                </c:pt>
                <c:pt idx="92">
                  <c:v>-7.5949367088608E-3</c:v>
                </c:pt>
                <c:pt idx="93">
                  <c:v>2.5974025974025983E-2</c:v>
                </c:pt>
                <c:pt idx="94">
                  <c:v>1.8518518518518601E-2</c:v>
                </c:pt>
                <c:pt idx="95">
                  <c:v>5.3191489361701372E-3</c:v>
                </c:pt>
                <c:pt idx="96">
                  <c:v>-1.4416775884665833E-2</c:v>
                </c:pt>
                <c:pt idx="97">
                  <c:v>-1.8018018018017945E-2</c:v>
                </c:pt>
                <c:pt idx="98">
                  <c:v>5.1746442432081263E-3</c:v>
                </c:pt>
                <c:pt idx="99">
                  <c:v>9.1383812010443766E-3</c:v>
                </c:pt>
                <c:pt idx="100">
                  <c:v>6.5703022339027584E-3</c:v>
                </c:pt>
                <c:pt idx="101">
                  <c:v>-5.2287581699346219E-3</c:v>
                </c:pt>
                <c:pt idx="102">
                  <c:v>-2.6075619295957697E-3</c:v>
                </c:pt>
                <c:pt idx="103">
                  <c:v>-2.6007802340702879E-3</c:v>
                </c:pt>
                <c:pt idx="104">
                  <c:v>-1.2987012987012436E-3</c:v>
                </c:pt>
                <c:pt idx="105">
                  <c:v>5.2219321148825326E-3</c:v>
                </c:pt>
                <c:pt idx="106">
                  <c:v>-1.9206145966709331E-2</c:v>
                </c:pt>
                <c:pt idx="107">
                  <c:v>-3.1017369727047273E-2</c:v>
                </c:pt>
                <c:pt idx="108">
                  <c:v>2.4875621890549926E-3</c:v>
                </c:pt>
                <c:pt idx="109">
                  <c:v>4.9608355091383727E-2</c:v>
                </c:pt>
                <c:pt idx="110">
                  <c:v>-5.0805452292441156E-2</c:v>
                </c:pt>
                <c:pt idx="111">
                  <c:v>-1.3447432762836109E-2</c:v>
                </c:pt>
                <c:pt idx="112">
                  <c:v>4.469987228607919E-2</c:v>
                </c:pt>
                <c:pt idx="113">
                  <c:v>-3.5714285714285587E-2</c:v>
                </c:pt>
                <c:pt idx="114">
                  <c:v>9.9502487562188602E-3</c:v>
                </c:pt>
                <c:pt idx="115">
                  <c:v>-3.0156815440289475E-2</c:v>
                </c:pt>
                <c:pt idx="116">
                  <c:v>5.3367217280813062E-2</c:v>
                </c:pt>
                <c:pt idx="117">
                  <c:v>2.6075619295958363E-2</c:v>
                </c:pt>
                <c:pt idx="118">
                  <c:v>7.4229691876750659E-2</c:v>
                </c:pt>
                <c:pt idx="119">
                  <c:v>-3.2520325203252098E-2</c:v>
                </c:pt>
                <c:pt idx="120">
                  <c:v>4.3847241867043696E-2</c:v>
                </c:pt>
                <c:pt idx="121">
                  <c:v>-6.7282321899736153E-2</c:v>
                </c:pt>
                <c:pt idx="122">
                  <c:v>-6.879606879606881E-2</c:v>
                </c:pt>
                <c:pt idx="123">
                  <c:v>4.0920716112532007E-2</c:v>
                </c:pt>
                <c:pt idx="124">
                  <c:v>-5.4413542926239344E-2</c:v>
                </c:pt>
                <c:pt idx="125">
                  <c:v>-4.3930635838150378E-2</c:v>
                </c:pt>
                <c:pt idx="126">
                  <c:v>-8.0765143464399558E-2</c:v>
                </c:pt>
                <c:pt idx="127">
                  <c:v>1.1827956989247213E-2</c:v>
                </c:pt>
                <c:pt idx="128">
                  <c:v>4.3771043771043905E-2</c:v>
                </c:pt>
                <c:pt idx="129">
                  <c:v>-2.9411764705882359E-2</c:v>
                </c:pt>
                <c:pt idx="130">
                  <c:v>-1.0775862068965525E-2</c:v>
                </c:pt>
                <c:pt idx="131">
                  <c:v>2.9966703662597016E-2</c:v>
                </c:pt>
                <c:pt idx="132">
                  <c:v>-9.890109890109855E-3</c:v>
                </c:pt>
                <c:pt idx="133">
                  <c:v>3.409090909090895E-2</c:v>
                </c:pt>
                <c:pt idx="134">
                  <c:v>1.0332950631458004E-2</c:v>
                </c:pt>
                <c:pt idx="135">
                  <c:v>-1.0227272727272751E-2</c:v>
                </c:pt>
                <c:pt idx="136">
                  <c:v>-3.5087719298245501E-2</c:v>
                </c:pt>
                <c:pt idx="137">
                  <c:v>1.097694840834329E-3</c:v>
                </c:pt>
                <c:pt idx="138">
                  <c:v>-2.0430107526881902E-2</c:v>
                </c:pt>
                <c:pt idx="139">
                  <c:v>1.0764262648010892E-3</c:v>
                </c:pt>
                <c:pt idx="140">
                  <c:v>1.4192139737991161E-2</c:v>
                </c:pt>
                <c:pt idx="141">
                  <c:v>-1.8220793140407254E-2</c:v>
                </c:pt>
                <c:pt idx="142">
                  <c:v>1.7448200654307522E-2</c:v>
                </c:pt>
                <c:pt idx="143">
                  <c:v>-2.1762785636560977E-3</c:v>
                </c:pt>
                <c:pt idx="144">
                  <c:v>3.3745781777277717E-2</c:v>
                </c:pt>
                <c:pt idx="145">
                  <c:v>0.1182389937106918</c:v>
                </c:pt>
                <c:pt idx="146">
                  <c:v>-5.5819477434679299E-2</c:v>
                </c:pt>
                <c:pt idx="147">
                  <c:v>4.7263681592039974E-2</c:v>
                </c:pt>
                <c:pt idx="148">
                  <c:v>-3.7174721189592308E-3</c:v>
                </c:pt>
                <c:pt idx="149">
                  <c:v>-2.6537997587454676E-2</c:v>
                </c:pt>
                <c:pt idx="150">
                  <c:v>1.0975609756097571E-2</c:v>
                </c:pt>
                <c:pt idx="151">
                  <c:v>-1.6786570743405393E-2</c:v>
                </c:pt>
                <c:pt idx="152">
                  <c:v>3.4739454094292688E-2</c:v>
                </c:pt>
                <c:pt idx="153">
                  <c:v>-2.1844660194174748E-2</c:v>
                </c:pt>
                <c:pt idx="154">
                  <c:v>3.2581453634085156E-2</c:v>
                </c:pt>
                <c:pt idx="155">
                  <c:v>-2.3255813953488302E-2</c:v>
                </c:pt>
                <c:pt idx="156">
                  <c:v>2.1249999999999991E-2</c:v>
                </c:pt>
                <c:pt idx="157">
                  <c:v>-3.7359900373598043E-3</c:v>
                </c:pt>
                <c:pt idx="158">
                  <c:v>2.4968789013732895E-3</c:v>
                </c:pt>
                <c:pt idx="159">
                  <c:v>-2.19780219780219E-2</c:v>
                </c:pt>
                <c:pt idx="160">
                  <c:v>-7.2727272727273196E-3</c:v>
                </c:pt>
                <c:pt idx="161">
                  <c:v>-1.210653753026647E-3</c:v>
                </c:pt>
                <c:pt idx="162">
                  <c:v>-1.4319809069212486E-2</c:v>
                </c:pt>
                <c:pt idx="163">
                  <c:v>0</c:v>
                </c:pt>
                <c:pt idx="164">
                  <c:v>-9.4562647754137252E-3</c:v>
                </c:pt>
                <c:pt idx="165">
                  <c:v>-1.8561484918793281E-2</c:v>
                </c:pt>
                <c:pt idx="166">
                  <c:v>3.4813925570227999E-2</c:v>
                </c:pt>
                <c:pt idx="167">
                  <c:v>-4.7789725209078648E-3</c:v>
                </c:pt>
                <c:pt idx="168">
                  <c:v>1.9488428745432218E-2</c:v>
                </c:pt>
                <c:pt idx="169">
                  <c:v>-1.4405762304921854E-2</c:v>
                </c:pt>
                <c:pt idx="170">
                  <c:v>-1.6528925619834767E-2</c:v>
                </c:pt>
                <c:pt idx="171">
                  <c:v>-1.0514018691588745E-2</c:v>
                </c:pt>
                <c:pt idx="172">
                  <c:v>-1.0404624277456587E-2</c:v>
                </c:pt>
                <c:pt idx="173">
                  <c:v>6.9848661233993248E-3</c:v>
                </c:pt>
                <c:pt idx="174">
                  <c:v>-3.4802784222737193E-3</c:v>
                </c:pt>
                <c:pt idx="175">
                  <c:v>2.9868578255675127E-2</c:v>
                </c:pt>
                <c:pt idx="176">
                  <c:v>-3.6823935558112808E-2</c:v>
                </c:pt>
                <c:pt idx="177">
                  <c:v>3.3293697978596937E-2</c:v>
                </c:pt>
                <c:pt idx="178">
                  <c:v>-1.5222482435597096E-2</c:v>
                </c:pt>
                <c:pt idx="179">
                  <c:v>9.4562647754135032E-3</c:v>
                </c:pt>
                <c:pt idx="180">
                  <c:v>1.6826923076923128E-2</c:v>
                </c:pt>
                <c:pt idx="181">
                  <c:v>7.2639225181598821E-3</c:v>
                </c:pt>
                <c:pt idx="182">
                  <c:v>4.5569620253164578E-2</c:v>
                </c:pt>
                <c:pt idx="183">
                  <c:v>-2.1065675340768308E-2</c:v>
                </c:pt>
                <c:pt idx="184">
                  <c:v>8.7500000000000355E-3</c:v>
                </c:pt>
                <c:pt idx="185">
                  <c:v>2.695763799743256E-2</c:v>
                </c:pt>
                <c:pt idx="186">
                  <c:v>2.2309711286089273E-2</c:v>
                </c:pt>
                <c:pt idx="187">
                  <c:v>5.2770448548813409E-3</c:v>
                </c:pt>
                <c:pt idx="188">
                  <c:v>3.6935704514363898E-2</c:v>
                </c:pt>
                <c:pt idx="189">
                  <c:v>-1.3495276653171406E-2</c:v>
                </c:pt>
                <c:pt idx="190">
                  <c:v>4.6610169491525522E-2</c:v>
                </c:pt>
                <c:pt idx="191">
                  <c:v>-7.2083879423328945E-2</c:v>
                </c:pt>
                <c:pt idx="192">
                  <c:v>-1.4211886304909549E-2</c:v>
                </c:pt>
                <c:pt idx="193">
                  <c:v>-7.692307692307665E-3</c:v>
                </c:pt>
                <c:pt idx="194">
                  <c:v>-3.8314176245211051E-3</c:v>
                </c:pt>
                <c:pt idx="195">
                  <c:v>1.2787723785165905E-3</c:v>
                </c:pt>
                <c:pt idx="196">
                  <c:v>1.558441558441559E-2</c:v>
                </c:pt>
                <c:pt idx="197">
                  <c:v>-2.5906735751294319E-3</c:v>
                </c:pt>
                <c:pt idx="198">
                  <c:v>1.2970168612191912E-3</c:v>
                </c:pt>
                <c:pt idx="199">
                  <c:v>2.1192052980132381E-2</c:v>
                </c:pt>
                <c:pt idx="200">
                  <c:v>2.4423337856173566E-2</c:v>
                </c:pt>
                <c:pt idx="201">
                  <c:v>-3.1537450722733285E-2</c:v>
                </c:pt>
                <c:pt idx="202">
                  <c:v>3.5374149659864074E-2</c:v>
                </c:pt>
                <c:pt idx="203">
                  <c:v>2.2253129346314182E-2</c:v>
                </c:pt>
                <c:pt idx="204">
                  <c:v>-1.5068493150684814E-2</c:v>
                </c:pt>
                <c:pt idx="205">
                  <c:v>-4.5751633986928164E-2</c:v>
                </c:pt>
                <c:pt idx="206">
                  <c:v>-2.2988505747126409E-2</c:v>
                </c:pt>
                <c:pt idx="207">
                  <c:v>-7.6045627376425395E-3</c:v>
                </c:pt>
              </c:numCache>
            </c:numRef>
          </c:yVal>
          <c:smooth val="0"/>
        </c:ser>
        <c:dLbls>
          <c:showLegendKey val="0"/>
          <c:showVal val="0"/>
          <c:showCatName val="0"/>
          <c:showSerName val="0"/>
          <c:showPercent val="0"/>
          <c:showBubbleSize val="0"/>
        </c:dLbls>
        <c:axId val="203770176"/>
        <c:axId val="203873416"/>
      </c:scatterChart>
      <c:valAx>
        <c:axId val="203770176"/>
        <c:scaling>
          <c:orientation val="minMax"/>
        </c:scaling>
        <c:delete val="0"/>
        <c:axPos val="b"/>
        <c:majorGridlines>
          <c:spPr>
            <a:ln w="9525" cap="flat" cmpd="sng" algn="ctr">
              <a:solidFill>
                <a:schemeClr val="tx1">
                  <a:lumMod val="15000"/>
                  <a:lumOff val="85000"/>
                </a:schemeClr>
              </a:solidFill>
              <a:round/>
            </a:ln>
            <a:effectLst/>
          </c:spPr>
        </c:majorGridlines>
        <c:numFmt formatCode="0.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203873416"/>
        <c:crosses val="autoZero"/>
        <c:crossBetween val="midCat"/>
      </c:valAx>
      <c:valAx>
        <c:axId val="203873416"/>
        <c:scaling>
          <c:orientation val="minMax"/>
        </c:scaling>
        <c:delete val="0"/>
        <c:axPos val="l"/>
        <c:majorGridlines>
          <c:spPr>
            <a:ln w="9525" cap="flat" cmpd="sng" algn="ctr">
              <a:solidFill>
                <a:schemeClr val="tx1">
                  <a:lumMod val="15000"/>
                  <a:lumOff val="85000"/>
                </a:schemeClr>
              </a:solidFill>
              <a:round/>
            </a:ln>
            <a:effectLst/>
          </c:spPr>
        </c:majorGridlines>
        <c:numFmt formatCode="0.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203770176"/>
        <c:crosses val="autoZero"/>
        <c:crossBetween val="midCat"/>
      </c:valAx>
      <c:spPr>
        <a:noFill/>
        <a:ln>
          <a:noFill/>
        </a:ln>
        <a:effectLst/>
      </c:spPr>
    </c:plotArea>
    <c:legend>
      <c:legendPos val="r"/>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chartsheets/sheet1.xml><?xml version="1.0" encoding="utf-8"?>
<chartsheet xmlns="http://schemas.openxmlformats.org/spreadsheetml/2006/main" xmlns:r="http://schemas.openxmlformats.org/officeDocument/2006/relationships">
  <sheetPr/>
  <sheetViews>
    <sheetView zoomScale="95" workbookViewId="0" zoomToFit="1"/>
  </sheetViews>
  <pageMargins left="0.7" right="0.7" top="0.78740157499999996" bottom="0.78740157499999996" header="0.3" footer="0.3"/>
  <drawing r:id="rId1"/>
</chartsheet>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absoluteAnchor>
    <xdr:pos x="0" y="0"/>
    <xdr:ext cx="9294395" cy="6005763"/>
    <xdr:graphicFrame macro="">
      <xdr:nvGraphicFramePr>
        <xdr:cNvPr id="2" name="Diagramm 1"/>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8"/>
  <sheetViews>
    <sheetView tabSelected="1" workbookViewId="0">
      <selection sqref="A1:I1"/>
    </sheetView>
  </sheetViews>
  <sheetFormatPr baseColWidth="10" defaultRowHeight="15" x14ac:dyDescent="0.25"/>
  <cols>
    <col min="1" max="1" width="24.28515625" bestFit="1" customWidth="1"/>
    <col min="5" max="5" width="5" customWidth="1"/>
    <col min="6" max="6" width="25.28515625" bestFit="1" customWidth="1"/>
  </cols>
  <sheetData>
    <row r="1" spans="1:9" ht="15.75" thickBot="1" x14ac:dyDescent="0.3">
      <c r="A1" s="60" t="s">
        <v>80</v>
      </c>
      <c r="B1" s="61"/>
      <c r="C1" s="61"/>
      <c r="D1" s="61"/>
      <c r="E1" s="61"/>
      <c r="F1" s="61"/>
      <c r="G1" s="61"/>
      <c r="H1" s="61"/>
      <c r="I1" s="62"/>
    </row>
    <row r="2" spans="1:9" x14ac:dyDescent="0.25">
      <c r="A2" s="13" t="s">
        <v>75</v>
      </c>
      <c r="B2" s="13"/>
      <c r="C2" s="13"/>
      <c r="D2" s="13"/>
      <c r="E2" s="13"/>
      <c r="F2" s="13"/>
      <c r="G2" s="13"/>
      <c r="H2" s="13"/>
      <c r="I2" s="13"/>
    </row>
    <row r="3" spans="1:9" x14ac:dyDescent="0.25">
      <c r="A3" s="13" t="s">
        <v>77</v>
      </c>
      <c r="B3" s="13"/>
      <c r="C3" s="13"/>
      <c r="D3" s="13"/>
      <c r="E3" s="13"/>
      <c r="F3" s="13"/>
      <c r="G3" s="13"/>
      <c r="H3" s="13"/>
      <c r="I3" s="13"/>
    </row>
    <row r="4" spans="1:9" ht="15.75" thickBot="1" x14ac:dyDescent="0.3">
      <c r="A4" s="15"/>
      <c r="B4" s="15"/>
      <c r="C4" s="15"/>
      <c r="D4" s="15"/>
      <c r="E4" s="15"/>
      <c r="F4" s="15"/>
      <c r="G4" s="15"/>
      <c r="H4" s="15"/>
      <c r="I4" s="15"/>
    </row>
    <row r="5" spans="1:9" ht="15.75" thickBot="1" x14ac:dyDescent="0.3">
      <c r="A5" s="63" t="s">
        <v>64</v>
      </c>
      <c r="B5" s="64"/>
      <c r="C5" s="64"/>
      <c r="D5" s="65"/>
      <c r="E5" s="14"/>
      <c r="F5" s="63" t="s">
        <v>65</v>
      </c>
      <c r="G5" s="64"/>
      <c r="H5" s="64"/>
      <c r="I5" s="65"/>
    </row>
    <row r="6" spans="1:9" x14ac:dyDescent="0.25">
      <c r="A6" s="18"/>
      <c r="B6" s="19"/>
      <c r="C6" s="19"/>
      <c r="D6" s="20"/>
      <c r="E6" s="14"/>
      <c r="F6" s="18"/>
      <c r="G6" s="19"/>
      <c r="H6" s="19"/>
      <c r="I6" s="20"/>
    </row>
    <row r="7" spans="1:9" x14ac:dyDescent="0.25">
      <c r="A7" s="21" t="s">
        <v>31</v>
      </c>
      <c r="B7" s="19"/>
      <c r="C7" s="19"/>
      <c r="D7" s="22">
        <v>2.75E-2</v>
      </c>
      <c r="E7" s="14"/>
      <c r="F7" s="43" t="s">
        <v>45</v>
      </c>
      <c r="G7" s="19"/>
      <c r="H7" s="19"/>
      <c r="I7" s="39">
        <f>1-t</f>
        <v>0.69300000000000006</v>
      </c>
    </row>
    <row r="8" spans="1:9" x14ac:dyDescent="0.25">
      <c r="A8" s="23" t="s">
        <v>73</v>
      </c>
      <c r="B8" s="24"/>
      <c r="C8" s="24"/>
      <c r="D8" s="25"/>
      <c r="E8" s="14"/>
      <c r="F8" s="28"/>
      <c r="G8" s="29"/>
      <c r="H8" s="29"/>
      <c r="I8" s="30"/>
    </row>
    <row r="9" spans="1:9" x14ac:dyDescent="0.25">
      <c r="A9" s="18"/>
      <c r="B9" s="19"/>
      <c r="C9" s="19"/>
      <c r="D9" s="20"/>
      <c r="E9" s="14"/>
      <c r="F9" s="43" t="s">
        <v>34</v>
      </c>
      <c r="G9" s="19"/>
      <c r="H9" s="19"/>
      <c r="I9" s="27">
        <f>irf+mrp*beta_berechnet</f>
        <v>6.5932980851260356E-2</v>
      </c>
    </row>
    <row r="10" spans="1:9" x14ac:dyDescent="0.25">
      <c r="A10" s="21" t="s">
        <v>32</v>
      </c>
      <c r="B10" s="19"/>
      <c r="C10" s="19"/>
      <c r="D10" s="22">
        <v>0.06</v>
      </c>
      <c r="E10" s="14"/>
      <c r="F10" s="23" t="s">
        <v>44</v>
      </c>
      <c r="G10" s="24"/>
      <c r="H10" s="24"/>
      <c r="I10" s="25"/>
    </row>
    <row r="11" spans="1:9" x14ac:dyDescent="0.25">
      <c r="A11" s="23" t="s">
        <v>38</v>
      </c>
      <c r="B11" s="24"/>
      <c r="C11" s="24"/>
      <c r="D11" s="25"/>
      <c r="E11" s="14"/>
      <c r="F11" s="18"/>
      <c r="G11" s="19"/>
      <c r="H11" s="19"/>
      <c r="I11" s="20"/>
    </row>
    <row r="12" spans="1:9" x14ac:dyDescent="0.25">
      <c r="A12" s="18"/>
      <c r="B12" s="19"/>
      <c r="C12" s="19"/>
      <c r="D12" s="20"/>
      <c r="E12" s="14"/>
      <c r="F12" s="43" t="s">
        <v>74</v>
      </c>
      <c r="G12" s="19"/>
      <c r="H12" s="19"/>
      <c r="I12" s="27">
        <f>rfkvs*taxshield</f>
        <v>3.8808000000000002E-2</v>
      </c>
    </row>
    <row r="13" spans="1:9" x14ac:dyDescent="0.25">
      <c r="A13" s="21" t="s">
        <v>33</v>
      </c>
      <c r="B13" s="19"/>
      <c r="C13" s="19"/>
      <c r="D13" s="26">
        <f>beta_berechnet</f>
        <v>0.64054968085433928</v>
      </c>
      <c r="E13" s="14"/>
      <c r="F13" s="36"/>
      <c r="G13" s="37"/>
      <c r="H13" s="37"/>
      <c r="I13" s="38"/>
    </row>
    <row r="14" spans="1:9" x14ac:dyDescent="0.25">
      <c r="A14" s="23" t="s">
        <v>66</v>
      </c>
      <c r="B14" s="24"/>
      <c r="C14" s="24"/>
      <c r="D14" s="25"/>
      <c r="E14" s="14"/>
      <c r="F14" s="44" t="s">
        <v>46</v>
      </c>
      <c r="G14" s="19"/>
      <c r="H14" s="19"/>
      <c r="I14" s="45">
        <f>rfkns*(fk/Iteration6!$B$5)+rek*(Iteration6!$B$6/Iteration6!$B$5)</f>
        <v>5.4627658107861965E-2</v>
      </c>
    </row>
    <row r="15" spans="1:9" x14ac:dyDescent="0.25">
      <c r="A15" s="18"/>
      <c r="B15" s="19"/>
      <c r="C15" s="19"/>
      <c r="D15" s="20"/>
      <c r="E15" s="14"/>
      <c r="F15" s="46" t="s">
        <v>47</v>
      </c>
      <c r="G15" s="19"/>
      <c r="H15" s="19"/>
      <c r="I15" s="47">
        <f>rfkns*(fk/gk)+rek*(ek/gk)</f>
        <v>5.1030443936632572E-2</v>
      </c>
    </row>
    <row r="16" spans="1:9" x14ac:dyDescent="0.25">
      <c r="A16" s="21" t="s">
        <v>76</v>
      </c>
      <c r="B16" s="19"/>
      <c r="C16" s="19"/>
      <c r="D16" s="27">
        <v>5.6000000000000001E-2</v>
      </c>
      <c r="E16" s="14"/>
      <c r="F16" s="46" t="s">
        <v>48</v>
      </c>
      <c r="G16" s="19"/>
      <c r="H16" s="19"/>
      <c r="I16" s="47">
        <f>rfkns*(fk/Iteration1!$B$5)+rek*(Iteration1!$B$6/Iteration1!$B$5)</f>
        <v>5.538214563714533E-2</v>
      </c>
    </row>
    <row r="17" spans="1:10" x14ac:dyDescent="0.25">
      <c r="A17" s="23" t="s">
        <v>36</v>
      </c>
      <c r="B17" s="24"/>
      <c r="C17" s="24"/>
      <c r="D17" s="25"/>
      <c r="E17" s="14"/>
      <c r="F17" s="46" t="s">
        <v>49</v>
      </c>
      <c r="G17" s="19"/>
      <c r="H17" s="19"/>
      <c r="I17" s="47">
        <f>rfkns*(fk/Iteration2!$B$5)+rek*(Iteration2!$B$6/Iteration2!$B$5)</f>
        <v>5.4469695507824253E-2</v>
      </c>
    </row>
    <row r="18" spans="1:10" x14ac:dyDescent="0.25">
      <c r="A18" s="18"/>
      <c r="B18" s="19"/>
      <c r="C18" s="19"/>
      <c r="D18" s="20"/>
      <c r="E18" s="14"/>
      <c r="F18" s="46" t="s">
        <v>50</v>
      </c>
      <c r="G18" s="19"/>
      <c r="H18" s="19"/>
      <c r="I18" s="47">
        <f>rfkns*(fk/Iteration3!$B$5)+rek*(Iteration3!$B$6/Iteration3!$B$5)</f>
        <v>5.4661171427431161E-2</v>
      </c>
    </row>
    <row r="19" spans="1:10" x14ac:dyDescent="0.25">
      <c r="A19" s="21" t="s">
        <v>35</v>
      </c>
      <c r="B19" s="19"/>
      <c r="C19" s="19"/>
      <c r="D19" s="27">
        <v>0.307</v>
      </c>
      <c r="E19" s="14"/>
      <c r="F19" s="46" t="s">
        <v>58</v>
      </c>
      <c r="G19" s="19"/>
      <c r="H19" s="19"/>
      <c r="I19" s="47">
        <f>rfkns*(fk/Iteration4!$B$5)+rek*(Iteration4!$B$6/Iteration4!$B$5)</f>
        <v>5.4620997428185776E-2</v>
      </c>
    </row>
    <row r="20" spans="1:10" x14ac:dyDescent="0.25">
      <c r="A20" s="23" t="s">
        <v>37</v>
      </c>
      <c r="B20" s="24"/>
      <c r="C20" s="24"/>
      <c r="D20" s="25"/>
      <c r="E20" s="14"/>
      <c r="F20" s="46" t="s">
        <v>59</v>
      </c>
      <c r="G20" s="19"/>
      <c r="H20" s="19"/>
      <c r="I20" s="47">
        <f>rfkns*(fk/Iteration5!$B$5)+rek*(Iteration5!$B$6/Iteration5!$B$5)</f>
        <v>5.4629426728727296E-2</v>
      </c>
    </row>
    <row r="21" spans="1:10" x14ac:dyDescent="0.25">
      <c r="A21" s="28"/>
      <c r="B21" s="29"/>
      <c r="C21" s="29"/>
      <c r="D21" s="30"/>
      <c r="E21" s="14"/>
      <c r="F21" s="36"/>
      <c r="G21" s="37"/>
      <c r="H21" s="37"/>
      <c r="I21" s="38"/>
    </row>
    <row r="22" spans="1:10" x14ac:dyDescent="0.25">
      <c r="A22" s="21" t="s">
        <v>68</v>
      </c>
      <c r="B22" s="29"/>
      <c r="C22" s="29"/>
      <c r="D22" s="30"/>
      <c r="E22" s="14"/>
      <c r="F22" s="44" t="s">
        <v>60</v>
      </c>
      <c r="G22" s="19"/>
      <c r="H22" s="19"/>
      <c r="I22" s="48">
        <f>(fcf_1/(1+wacc))+(fcf_2/(1+wacc)^2)+(fcf_3/(1+wacc)^3)+(fcf_tv/wacc)*(1/(1+wacc)^3)</f>
        <v>93.792130557909516</v>
      </c>
      <c r="J22" s="17"/>
    </row>
    <row r="23" spans="1:10" x14ac:dyDescent="0.25">
      <c r="A23" s="31" t="s">
        <v>69</v>
      </c>
      <c r="B23" s="32"/>
      <c r="C23" s="32"/>
      <c r="D23" s="33"/>
      <c r="E23" s="14"/>
      <c r="F23" s="44" t="s">
        <v>61</v>
      </c>
      <c r="G23" s="19"/>
      <c r="H23" s="19"/>
      <c r="I23" s="48">
        <f>entityvalue-fk</f>
        <v>54.702130557909513</v>
      </c>
    </row>
    <row r="24" spans="1:10" x14ac:dyDescent="0.25">
      <c r="A24" s="34">
        <v>2014</v>
      </c>
      <c r="B24" s="29"/>
      <c r="C24" s="29"/>
      <c r="D24" s="35">
        <v>4.2</v>
      </c>
      <c r="E24" s="14"/>
      <c r="F24" s="18"/>
      <c r="G24" s="19"/>
      <c r="H24" s="19"/>
      <c r="I24" s="20"/>
    </row>
    <row r="25" spans="1:10" x14ac:dyDescent="0.25">
      <c r="A25" s="34">
        <v>2015</v>
      </c>
      <c r="B25" s="29"/>
      <c r="C25" s="29"/>
      <c r="D25" s="35">
        <v>4.7</v>
      </c>
      <c r="E25" s="14"/>
      <c r="F25" s="43" t="s">
        <v>71</v>
      </c>
      <c r="G25" s="19"/>
      <c r="H25" s="19"/>
      <c r="I25" s="49">
        <f>shareholdervalue/entityvalue</f>
        <v>0.58322729457707656</v>
      </c>
    </row>
    <row r="26" spans="1:10" ht="15" customHeight="1" x14ac:dyDescent="0.25">
      <c r="A26" s="34">
        <v>2016</v>
      </c>
      <c r="B26" s="29"/>
      <c r="C26" s="29"/>
      <c r="D26" s="35">
        <v>5.2</v>
      </c>
      <c r="E26" s="14"/>
      <c r="F26" s="18"/>
      <c r="G26" s="19"/>
      <c r="H26" s="19"/>
      <c r="I26" s="20"/>
    </row>
    <row r="27" spans="1:10" x14ac:dyDescent="0.25">
      <c r="A27" s="34" t="s">
        <v>67</v>
      </c>
      <c r="B27" s="29"/>
      <c r="C27" s="29"/>
      <c r="D27" s="35">
        <v>5.2</v>
      </c>
      <c r="E27" s="14"/>
      <c r="F27" s="43" t="s">
        <v>70</v>
      </c>
      <c r="G27" s="50"/>
      <c r="H27" s="50"/>
      <c r="I27" s="51">
        <f>fk/entityvalue</f>
        <v>0.4167727054229235</v>
      </c>
    </row>
    <row r="28" spans="1:10" x14ac:dyDescent="0.25">
      <c r="A28" s="36"/>
      <c r="B28" s="37"/>
      <c r="C28" s="37"/>
      <c r="D28" s="38"/>
      <c r="E28" s="14"/>
      <c r="F28" s="52"/>
      <c r="G28" s="50"/>
      <c r="H28" s="50"/>
      <c r="I28" s="53"/>
    </row>
    <row r="29" spans="1:10" x14ac:dyDescent="0.25">
      <c r="A29" s="21" t="s">
        <v>63</v>
      </c>
      <c r="B29" s="19"/>
      <c r="C29" s="19"/>
      <c r="D29" s="39">
        <v>0.65200000000000002</v>
      </c>
      <c r="E29" s="14"/>
      <c r="F29" s="52"/>
      <c r="G29" s="50"/>
      <c r="H29" s="50"/>
      <c r="I29" s="53"/>
    </row>
    <row r="30" spans="1:10" x14ac:dyDescent="0.25">
      <c r="A30" s="23" t="s">
        <v>62</v>
      </c>
      <c r="B30" s="24"/>
      <c r="C30" s="24"/>
      <c r="D30" s="25"/>
      <c r="E30" s="14"/>
      <c r="F30" s="52"/>
      <c r="G30" s="50"/>
      <c r="H30" s="50"/>
      <c r="I30" s="53"/>
    </row>
    <row r="31" spans="1:10" x14ac:dyDescent="0.25">
      <c r="A31" s="18"/>
      <c r="B31" s="19"/>
      <c r="C31" s="19"/>
      <c r="D31" s="20"/>
      <c r="E31" s="14"/>
      <c r="F31" s="52"/>
      <c r="G31" s="50"/>
      <c r="H31" s="50"/>
      <c r="I31" s="53"/>
    </row>
    <row r="32" spans="1:10" x14ac:dyDescent="0.25">
      <c r="A32" s="21" t="s">
        <v>39</v>
      </c>
      <c r="B32" s="19"/>
      <c r="C32" s="19"/>
      <c r="D32" s="39">
        <v>39.090000000000003</v>
      </c>
      <c r="F32" s="54" t="s">
        <v>72</v>
      </c>
      <c r="G32" s="55"/>
      <c r="H32" s="55"/>
      <c r="I32" s="56"/>
    </row>
    <row r="33" spans="1:9" x14ac:dyDescent="0.25">
      <c r="A33" s="23" t="s">
        <v>41</v>
      </c>
      <c r="B33" s="24"/>
      <c r="C33" s="24"/>
      <c r="D33" s="25"/>
      <c r="F33" s="54"/>
      <c r="G33" s="55"/>
      <c r="H33" s="55"/>
      <c r="I33" s="56"/>
    </row>
    <row r="34" spans="1:9" x14ac:dyDescent="0.25">
      <c r="A34" s="18"/>
      <c r="B34" s="19"/>
      <c r="C34" s="19"/>
      <c r="D34" s="20"/>
      <c r="F34" s="54"/>
      <c r="G34" s="55"/>
      <c r="H34" s="55"/>
      <c r="I34" s="56"/>
    </row>
    <row r="35" spans="1:9" x14ac:dyDescent="0.25">
      <c r="A35" s="21" t="s">
        <v>40</v>
      </c>
      <c r="B35" s="19"/>
      <c r="C35" s="19"/>
      <c r="D35" s="39">
        <v>32.06</v>
      </c>
      <c r="F35" s="54"/>
      <c r="G35" s="55"/>
      <c r="H35" s="55"/>
      <c r="I35" s="56"/>
    </row>
    <row r="36" spans="1:9" x14ac:dyDescent="0.25">
      <c r="A36" s="23" t="s">
        <v>42</v>
      </c>
      <c r="B36" s="24"/>
      <c r="C36" s="24"/>
      <c r="D36" s="25"/>
      <c r="F36" s="54"/>
      <c r="G36" s="55"/>
      <c r="H36" s="55"/>
      <c r="I36" s="56"/>
    </row>
    <row r="37" spans="1:9" x14ac:dyDescent="0.25">
      <c r="A37" s="18"/>
      <c r="B37" s="19"/>
      <c r="C37" s="19"/>
      <c r="D37" s="20"/>
      <c r="F37" s="54"/>
      <c r="G37" s="55"/>
      <c r="H37" s="55"/>
      <c r="I37" s="56"/>
    </row>
    <row r="38" spans="1:9" ht="15.75" thickBot="1" x14ac:dyDescent="0.3">
      <c r="A38" s="40" t="s">
        <v>43</v>
      </c>
      <c r="B38" s="41"/>
      <c r="C38" s="41"/>
      <c r="D38" s="42">
        <f>SUM(D32,D35)</f>
        <v>71.150000000000006</v>
      </c>
      <c r="F38" s="57"/>
      <c r="G38" s="58"/>
      <c r="H38" s="58"/>
      <c r="I38" s="59"/>
    </row>
  </sheetData>
  <mergeCells count="67">
    <mergeCell ref="F29:I29"/>
    <mergeCell ref="F28:I28"/>
    <mergeCell ref="G25:H25"/>
    <mergeCell ref="G27:H27"/>
    <mergeCell ref="F26:I26"/>
    <mergeCell ref="F32:I38"/>
    <mergeCell ref="F30:I30"/>
    <mergeCell ref="F31:I31"/>
    <mergeCell ref="B38:C38"/>
    <mergeCell ref="B19:C19"/>
    <mergeCell ref="B16:C16"/>
    <mergeCell ref="B13:C13"/>
    <mergeCell ref="B10:C10"/>
    <mergeCell ref="B24:C24"/>
    <mergeCell ref="B25:C25"/>
    <mergeCell ref="B26:C26"/>
    <mergeCell ref="B27:C27"/>
    <mergeCell ref="A23:D23"/>
    <mergeCell ref="F6:I6"/>
    <mergeCell ref="A6:D6"/>
    <mergeCell ref="A21:D21"/>
    <mergeCell ref="B22:D22"/>
    <mergeCell ref="B29:C29"/>
    <mergeCell ref="B32:C32"/>
    <mergeCell ref="B7:C7"/>
    <mergeCell ref="G7:H7"/>
    <mergeCell ref="G9:H9"/>
    <mergeCell ref="G12:H12"/>
    <mergeCell ref="G14:H14"/>
    <mergeCell ref="G22:H22"/>
    <mergeCell ref="G23:H23"/>
    <mergeCell ref="F24:I24"/>
    <mergeCell ref="F8:I8"/>
    <mergeCell ref="F11:I11"/>
    <mergeCell ref="F10:I10"/>
    <mergeCell ref="F13:I13"/>
    <mergeCell ref="F21:I21"/>
    <mergeCell ref="G15:H15"/>
    <mergeCell ref="G16:H16"/>
    <mergeCell ref="G17:H17"/>
    <mergeCell ref="G18:H18"/>
    <mergeCell ref="G19:H19"/>
    <mergeCell ref="G20:H20"/>
    <mergeCell ref="A17:D17"/>
    <mergeCell ref="A20:D20"/>
    <mergeCell ref="A30:D30"/>
    <mergeCell ref="A33:D33"/>
    <mergeCell ref="A36:D36"/>
    <mergeCell ref="B35:C35"/>
    <mergeCell ref="F5:I5"/>
    <mergeCell ref="A1:I1"/>
    <mergeCell ref="A2:I2"/>
    <mergeCell ref="A3:I3"/>
    <mergeCell ref="A4:I4"/>
    <mergeCell ref="E5:E31"/>
    <mergeCell ref="A9:D9"/>
    <mergeCell ref="A12:D12"/>
    <mergeCell ref="A15:D15"/>
    <mergeCell ref="A18:D18"/>
    <mergeCell ref="A28:D28"/>
    <mergeCell ref="A31:D31"/>
    <mergeCell ref="A34:D34"/>
    <mergeCell ref="A37:D37"/>
    <mergeCell ref="A14:D14"/>
    <mergeCell ref="A8:D8"/>
    <mergeCell ref="A5:D5"/>
    <mergeCell ref="A11:D11"/>
  </mergeCells>
  <pageMargins left="0.7" right="0.7" top="0.78740157499999996" bottom="0.78740157499999996"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8"/>
  <sheetViews>
    <sheetView showGridLines="0" zoomScale="190" zoomScaleNormal="190" workbookViewId="0">
      <selection activeCell="B8" sqref="B8"/>
    </sheetView>
  </sheetViews>
  <sheetFormatPr baseColWidth="10" defaultRowHeight="15" x14ac:dyDescent="0.25"/>
  <sheetData>
    <row r="1" spans="1:7" x14ac:dyDescent="0.25">
      <c r="A1" s="6"/>
      <c r="B1" s="7">
        <v>1</v>
      </c>
      <c r="C1" s="7">
        <v>2</v>
      </c>
      <c r="D1" s="7">
        <v>3</v>
      </c>
      <c r="E1" s="7" t="s">
        <v>51</v>
      </c>
    </row>
    <row r="2" spans="1:7" x14ac:dyDescent="0.25">
      <c r="A2" s="6" t="s">
        <v>52</v>
      </c>
      <c r="B2" s="8">
        <f>fcf_1</f>
        <v>4.2</v>
      </c>
      <c r="C2" s="8">
        <f>fcf_2</f>
        <v>4.7</v>
      </c>
      <c r="D2" s="8">
        <f>fcf_3</f>
        <v>5.2</v>
      </c>
      <c r="E2" s="8">
        <f>fcf_tv</f>
        <v>5.2</v>
      </c>
    </row>
    <row r="3" spans="1:7" x14ac:dyDescent="0.25">
      <c r="A3" s="6" t="s">
        <v>53</v>
      </c>
      <c r="B3" s="9">
        <f>1/(1+zins_ergebnis)^B1</f>
        <v>0.9482019481587739</v>
      </c>
      <c r="C3" s="9">
        <f>1/(1+zins_ergebnis)^C1</f>
        <v>0.89908693449209398</v>
      </c>
      <c r="D3" s="9">
        <f>1/(1+zins_ergebnis)^D1</f>
        <v>0.85251598284950336</v>
      </c>
      <c r="E3" s="8">
        <f>1/zins_ergebnis*D3</f>
        <v>15.605940513983153</v>
      </c>
    </row>
    <row r="4" spans="1:7" x14ac:dyDescent="0.25">
      <c r="A4" s="6" t="s">
        <v>54</v>
      </c>
      <c r="B4" s="8">
        <f>B3*B2</f>
        <v>3.9824481822668507</v>
      </c>
      <c r="C4" s="8">
        <f>C3*C2</f>
        <v>4.2257085921128414</v>
      </c>
      <c r="D4" s="8">
        <f>D3*D2</f>
        <v>4.4330831108174173</v>
      </c>
      <c r="E4" s="8">
        <f>E3*E2</f>
        <v>81.150890672712393</v>
      </c>
      <c r="G4" s="71"/>
    </row>
    <row r="5" spans="1:7" x14ac:dyDescent="0.25">
      <c r="A5" s="6" t="s">
        <v>55</v>
      </c>
      <c r="B5" s="72">
        <f>SUM(B4:E4)</f>
        <v>93.792130557909502</v>
      </c>
    </row>
    <row r="6" spans="1:7" x14ac:dyDescent="0.25">
      <c r="A6" s="6" t="s">
        <v>57</v>
      </c>
      <c r="B6" s="72">
        <f>B5-fk</f>
        <v>54.702130557909499</v>
      </c>
      <c r="E6" s="11">
        <f>E4/B5</f>
        <v>0.86522067672412983</v>
      </c>
    </row>
    <row r="8" spans="1:7" x14ac:dyDescent="0.25">
      <c r="A8" t="s">
        <v>46</v>
      </c>
      <c r="B8" s="12">
        <f>wacc</f>
        <v>5.4627658107861965E-2</v>
      </c>
      <c r="D8" s="6" t="s">
        <v>56</v>
      </c>
      <c r="E8" s="72">
        <f>E2/zins_ergebnis</f>
        <v>95.189875973314344</v>
      </c>
    </row>
  </sheetData>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12"/>
  <sheetViews>
    <sheetView workbookViewId="0">
      <selection activeCell="F2" sqref="F2"/>
    </sheetView>
  </sheetViews>
  <sheetFormatPr baseColWidth="10" defaultRowHeight="15" x14ac:dyDescent="0.25"/>
  <cols>
    <col min="1" max="1" width="10.140625" bestFit="1" customWidth="1"/>
    <col min="2" max="2" width="13" bestFit="1" customWidth="1"/>
    <col min="3" max="3" width="13.42578125" bestFit="1" customWidth="1"/>
    <col min="4" max="5" width="12.7109375" bestFit="1" customWidth="1"/>
    <col min="6" max="6" width="12.5703125" bestFit="1" customWidth="1"/>
  </cols>
  <sheetData>
    <row r="1" spans="1:8" x14ac:dyDescent="0.25">
      <c r="A1" s="66" t="s">
        <v>0</v>
      </c>
      <c r="B1" s="66" t="s">
        <v>1</v>
      </c>
      <c r="C1" s="66" t="s">
        <v>2</v>
      </c>
      <c r="D1" s="66" t="s">
        <v>3</v>
      </c>
      <c r="E1" s="66" t="s">
        <v>4</v>
      </c>
      <c r="F1" s="66" t="s">
        <v>5</v>
      </c>
    </row>
    <row r="2" spans="1:8" x14ac:dyDescent="0.25">
      <c r="A2" s="67">
        <v>41638</v>
      </c>
      <c r="B2" s="68">
        <v>12.07</v>
      </c>
      <c r="C2" s="68">
        <v>9552.16</v>
      </c>
      <c r="D2" s="69">
        <f>B2/B3-1</f>
        <v>-1.388888888888884E-2</v>
      </c>
      <c r="E2" s="69">
        <f>C2/C3-1</f>
        <v>-3.8824158783822282E-3</v>
      </c>
      <c r="F2" s="70">
        <f>SLOPE(D2:D209,E2:E209)</f>
        <v>0.64054968085433928</v>
      </c>
    </row>
    <row r="3" spans="1:8" x14ac:dyDescent="0.25">
      <c r="A3" s="67">
        <v>41631</v>
      </c>
      <c r="B3" s="68">
        <v>12.24</v>
      </c>
      <c r="C3" s="68">
        <v>9589.39</v>
      </c>
      <c r="D3" s="69">
        <f t="shared" ref="D3:D66" si="0">B3/B4-1</f>
        <v>1.7456359102244523E-2</v>
      </c>
      <c r="E3" s="69">
        <f t="shared" ref="E3:E66" si="1">C3/C4-1</f>
        <v>2.0128337967996179E-2</v>
      </c>
      <c r="G3" s="5"/>
      <c r="H3" s="5"/>
    </row>
    <row r="4" spans="1:8" x14ac:dyDescent="0.25">
      <c r="A4" s="67">
        <v>41624</v>
      </c>
      <c r="B4" s="68">
        <v>12.03</v>
      </c>
      <c r="C4" s="68">
        <v>9400.18</v>
      </c>
      <c r="D4" s="69">
        <f t="shared" si="0"/>
        <v>9.0661831368993751E-2</v>
      </c>
      <c r="E4" s="69">
        <f t="shared" si="1"/>
        <v>4.3715288803814367E-2</v>
      </c>
      <c r="G4" s="5"/>
      <c r="H4" s="5"/>
    </row>
    <row r="5" spans="1:8" x14ac:dyDescent="0.25">
      <c r="A5" s="67">
        <v>41617</v>
      </c>
      <c r="B5" s="68">
        <v>11.03</v>
      </c>
      <c r="C5" s="68">
        <v>9006.4599999999991</v>
      </c>
      <c r="D5" s="69">
        <f t="shared" si="0"/>
        <v>-1.6057091882248131E-2</v>
      </c>
      <c r="E5" s="69">
        <f t="shared" si="1"/>
        <v>-1.8092300714861231E-2</v>
      </c>
      <c r="G5" s="5"/>
      <c r="H5" s="5"/>
    </row>
    <row r="6" spans="1:8" x14ac:dyDescent="0.25">
      <c r="A6" s="67">
        <v>41610</v>
      </c>
      <c r="B6" s="68">
        <v>11.21</v>
      </c>
      <c r="C6" s="68">
        <v>9172.41</v>
      </c>
      <c r="D6" s="69">
        <f t="shared" si="0"/>
        <v>-1.2334801762114433E-2</v>
      </c>
      <c r="E6" s="69">
        <f t="shared" si="1"/>
        <v>-2.4761570603808458E-2</v>
      </c>
      <c r="G6" s="5"/>
      <c r="H6" s="5"/>
    </row>
    <row r="7" spans="1:8" x14ac:dyDescent="0.25">
      <c r="A7" s="67">
        <v>41603</v>
      </c>
      <c r="B7" s="68">
        <v>11.35</v>
      </c>
      <c r="C7" s="68">
        <v>9405.2999999999993</v>
      </c>
      <c r="D7" s="69">
        <f t="shared" si="0"/>
        <v>3.558394160583922E-2</v>
      </c>
      <c r="E7" s="69">
        <f t="shared" si="1"/>
        <v>2.0203839011436964E-2</v>
      </c>
      <c r="G7" s="5"/>
      <c r="H7" s="5"/>
    </row>
    <row r="8" spans="1:8" x14ac:dyDescent="0.25">
      <c r="A8" s="67">
        <v>41596</v>
      </c>
      <c r="B8" s="68">
        <v>10.96</v>
      </c>
      <c r="C8" s="68">
        <v>9219.0400000000009</v>
      </c>
      <c r="D8" s="69">
        <f t="shared" si="0"/>
        <v>9.208103130755152E-3</v>
      </c>
      <c r="E8" s="69">
        <f t="shared" si="1"/>
        <v>5.4915151455661171E-3</v>
      </c>
      <c r="G8" s="5"/>
      <c r="H8" s="5"/>
    </row>
    <row r="9" spans="1:8" x14ac:dyDescent="0.25">
      <c r="A9" s="67">
        <v>41589</v>
      </c>
      <c r="B9" s="68">
        <v>10.86</v>
      </c>
      <c r="C9" s="68">
        <v>9168.69</v>
      </c>
      <c r="D9" s="69">
        <f t="shared" si="0"/>
        <v>-1.4519056261342977E-2</v>
      </c>
      <c r="E9" s="69">
        <f t="shared" si="1"/>
        <v>9.9589349524358273E-3</v>
      </c>
      <c r="G9" s="5"/>
      <c r="H9" s="5"/>
    </row>
    <row r="10" spans="1:8" x14ac:dyDescent="0.25">
      <c r="A10" s="67">
        <v>41582</v>
      </c>
      <c r="B10" s="68">
        <v>11.02</v>
      </c>
      <c r="C10" s="68">
        <v>9078.2800000000007</v>
      </c>
      <c r="D10" s="69">
        <f t="shared" si="0"/>
        <v>-2.3914968999114272E-2</v>
      </c>
      <c r="E10" s="69">
        <f t="shared" si="1"/>
        <v>7.8209735308061301E-3</v>
      </c>
      <c r="G10" s="5"/>
      <c r="H10" s="5"/>
    </row>
    <row r="11" spans="1:8" x14ac:dyDescent="0.25">
      <c r="A11" s="67">
        <v>41575</v>
      </c>
      <c r="B11" s="68">
        <v>11.29</v>
      </c>
      <c r="C11" s="68">
        <v>9007.83</v>
      </c>
      <c r="D11" s="69">
        <f t="shared" si="0"/>
        <v>2.3572076155938371E-2</v>
      </c>
      <c r="E11" s="69">
        <f t="shared" si="1"/>
        <v>2.4583395468820157E-3</v>
      </c>
      <c r="G11" s="5"/>
      <c r="H11" s="5"/>
    </row>
    <row r="12" spans="1:8" x14ac:dyDescent="0.25">
      <c r="A12" s="67">
        <v>41568</v>
      </c>
      <c r="B12" s="68">
        <v>11.03</v>
      </c>
      <c r="C12" s="68">
        <v>8985.74</v>
      </c>
      <c r="D12" s="69">
        <f t="shared" si="0"/>
        <v>-2.733686067019403E-2</v>
      </c>
      <c r="E12" s="69">
        <f t="shared" si="1"/>
        <v>1.3608419532774585E-2</v>
      </c>
      <c r="G12" s="5"/>
      <c r="H12" s="5"/>
    </row>
    <row r="13" spans="1:8" x14ac:dyDescent="0.25">
      <c r="A13" s="67">
        <v>41561</v>
      </c>
      <c r="B13" s="68">
        <v>11.34</v>
      </c>
      <c r="C13" s="68">
        <v>8865.1</v>
      </c>
      <c r="D13" s="69">
        <f t="shared" si="0"/>
        <v>3.2786885245901676E-2</v>
      </c>
      <c r="E13" s="69">
        <f t="shared" si="1"/>
        <v>1.6077104081111182E-2</v>
      </c>
      <c r="G13" s="5"/>
      <c r="H13" s="5"/>
    </row>
    <row r="14" spans="1:8" x14ac:dyDescent="0.25">
      <c r="A14" s="67">
        <v>41554</v>
      </c>
      <c r="B14" s="68">
        <v>10.98</v>
      </c>
      <c r="C14" s="68">
        <v>8724.83</v>
      </c>
      <c r="D14" s="69">
        <f t="shared" si="0"/>
        <v>1.0119595216191435E-2</v>
      </c>
      <c r="E14" s="69">
        <f t="shared" si="1"/>
        <v>1.1812635321704734E-2</v>
      </c>
      <c r="G14" s="5"/>
      <c r="H14" s="5"/>
    </row>
    <row r="15" spans="1:8" x14ac:dyDescent="0.25">
      <c r="A15" s="67">
        <v>41547</v>
      </c>
      <c r="B15" s="68">
        <v>10.87</v>
      </c>
      <c r="C15" s="68">
        <v>8622.9699999999993</v>
      </c>
      <c r="D15" s="69">
        <f t="shared" si="0"/>
        <v>3.8204393505252954E-2</v>
      </c>
      <c r="E15" s="69">
        <f t="shared" si="1"/>
        <v>-4.4495705714131528E-3</v>
      </c>
      <c r="G15" s="5"/>
      <c r="H15" s="5"/>
    </row>
    <row r="16" spans="1:8" x14ac:dyDescent="0.25">
      <c r="A16" s="67">
        <v>41540</v>
      </c>
      <c r="B16" s="68">
        <v>10.47</v>
      </c>
      <c r="C16" s="68">
        <v>8661.51</v>
      </c>
      <c r="D16" s="69">
        <f t="shared" si="0"/>
        <v>4.491017964071875E-2</v>
      </c>
      <c r="E16" s="69">
        <f t="shared" si="1"/>
        <v>-1.6390551573181034E-3</v>
      </c>
      <c r="G16" s="5"/>
      <c r="H16" s="5"/>
    </row>
    <row r="17" spans="1:8" x14ac:dyDescent="0.25">
      <c r="A17" s="67">
        <v>41533</v>
      </c>
      <c r="B17" s="68">
        <v>10.02</v>
      </c>
      <c r="C17" s="68">
        <v>8675.73</v>
      </c>
      <c r="D17" s="69">
        <f t="shared" si="0"/>
        <v>4.2663891779396446E-2</v>
      </c>
      <c r="E17" s="69">
        <f t="shared" si="1"/>
        <v>1.9544222755487395E-2</v>
      </c>
      <c r="G17" s="5"/>
      <c r="H17" s="5"/>
    </row>
    <row r="18" spans="1:8" x14ac:dyDescent="0.25">
      <c r="A18" s="67">
        <v>41526</v>
      </c>
      <c r="B18" s="68">
        <v>9.61</v>
      </c>
      <c r="C18" s="68">
        <v>8509.42</v>
      </c>
      <c r="D18" s="69">
        <f t="shared" si="0"/>
        <v>2.6709401709401615E-2</v>
      </c>
      <c r="E18" s="69">
        <f t="shared" si="1"/>
        <v>2.8245447196420415E-2</v>
      </c>
      <c r="G18" s="5"/>
      <c r="H18" s="5"/>
    </row>
    <row r="19" spans="1:8" x14ac:dyDescent="0.25">
      <c r="A19" s="67">
        <v>41519</v>
      </c>
      <c r="B19" s="68">
        <v>9.36</v>
      </c>
      <c r="C19" s="68">
        <v>8275.67</v>
      </c>
      <c r="D19" s="69">
        <f t="shared" si="0"/>
        <v>-5.3134962805526653E-3</v>
      </c>
      <c r="E19" s="69">
        <f t="shared" si="1"/>
        <v>2.1290485798732606E-2</v>
      </c>
      <c r="G19" s="5"/>
      <c r="H19" s="5"/>
    </row>
    <row r="20" spans="1:8" x14ac:dyDescent="0.25">
      <c r="A20" s="67">
        <v>41512</v>
      </c>
      <c r="B20" s="68">
        <v>9.41</v>
      </c>
      <c r="C20" s="68">
        <v>8103.15</v>
      </c>
      <c r="D20" s="69">
        <f t="shared" si="0"/>
        <v>-6.3357972544879626E-3</v>
      </c>
      <c r="E20" s="69">
        <f t="shared" si="1"/>
        <v>-3.7286488400247619E-2</v>
      </c>
      <c r="G20" s="5"/>
      <c r="H20" s="5"/>
    </row>
    <row r="21" spans="1:8" x14ac:dyDescent="0.25">
      <c r="A21" s="67">
        <v>41505</v>
      </c>
      <c r="B21" s="68">
        <v>9.4700000000000006</v>
      </c>
      <c r="C21" s="68">
        <v>8416.99</v>
      </c>
      <c r="D21" s="69">
        <f t="shared" si="0"/>
        <v>-2.1074815595363283E-3</v>
      </c>
      <c r="E21" s="69">
        <f t="shared" si="1"/>
        <v>2.9850070424715103E-3</v>
      </c>
      <c r="G21" s="5"/>
      <c r="H21" s="5"/>
    </row>
    <row r="22" spans="1:8" x14ac:dyDescent="0.25">
      <c r="A22" s="67">
        <v>41498</v>
      </c>
      <c r="B22" s="68">
        <v>9.49</v>
      </c>
      <c r="C22" s="68">
        <v>8391.94</v>
      </c>
      <c r="D22" s="69">
        <f t="shared" si="0"/>
        <v>5.2966101694915668E-3</v>
      </c>
      <c r="E22" s="69">
        <f t="shared" si="1"/>
        <v>6.4317589535529684E-3</v>
      </c>
      <c r="G22" s="5"/>
      <c r="H22" s="5"/>
    </row>
    <row r="23" spans="1:8" x14ac:dyDescent="0.25">
      <c r="A23" s="67">
        <v>41491</v>
      </c>
      <c r="B23" s="68">
        <v>9.44</v>
      </c>
      <c r="C23" s="68">
        <v>8338.31</v>
      </c>
      <c r="D23" s="69">
        <f t="shared" si="0"/>
        <v>5.7110862262037987E-2</v>
      </c>
      <c r="E23" s="69">
        <f t="shared" si="1"/>
        <v>-8.1634934946605009E-3</v>
      </c>
      <c r="G23" s="5"/>
      <c r="H23" s="5"/>
    </row>
    <row r="24" spans="1:8" x14ac:dyDescent="0.25">
      <c r="A24" s="67">
        <v>41484</v>
      </c>
      <c r="B24" s="68">
        <v>8.93</v>
      </c>
      <c r="C24" s="68">
        <v>8406.94</v>
      </c>
      <c r="D24" s="69">
        <f t="shared" si="0"/>
        <v>-1.1185682326622093E-3</v>
      </c>
      <c r="E24" s="69">
        <f t="shared" si="1"/>
        <v>1.9652124765461521E-2</v>
      </c>
      <c r="G24" s="5"/>
      <c r="H24" s="5"/>
    </row>
    <row r="25" spans="1:8" x14ac:dyDescent="0.25">
      <c r="A25" s="67">
        <v>41477</v>
      </c>
      <c r="B25" s="68">
        <v>8.94</v>
      </c>
      <c r="C25" s="68">
        <v>8244.91</v>
      </c>
      <c r="D25" s="69">
        <f t="shared" si="0"/>
        <v>2.7586206896551779E-2</v>
      </c>
      <c r="E25" s="69">
        <f t="shared" si="1"/>
        <v>-1.0401400936438154E-2</v>
      </c>
      <c r="G25" s="5"/>
      <c r="H25" s="5"/>
    </row>
    <row r="26" spans="1:8" x14ac:dyDescent="0.25">
      <c r="A26" s="67">
        <v>41470</v>
      </c>
      <c r="B26" s="68">
        <v>8.6999999999999993</v>
      </c>
      <c r="C26" s="68">
        <v>8331.57</v>
      </c>
      <c r="D26" s="69">
        <f t="shared" si="0"/>
        <v>-4.5766590389016981E-3</v>
      </c>
      <c r="E26" s="69">
        <f t="shared" si="1"/>
        <v>1.4465277853878744E-2</v>
      </c>
      <c r="G26" s="5"/>
      <c r="H26" s="5"/>
    </row>
    <row r="27" spans="1:8" x14ac:dyDescent="0.25">
      <c r="A27" s="67">
        <v>41463</v>
      </c>
      <c r="B27" s="68">
        <v>8.74</v>
      </c>
      <c r="C27" s="68">
        <v>8212.77</v>
      </c>
      <c r="D27" s="69">
        <f t="shared" si="0"/>
        <v>2.1028037383177489E-2</v>
      </c>
      <c r="E27" s="69">
        <f t="shared" si="1"/>
        <v>5.2109915449654265E-2</v>
      </c>
      <c r="G27" s="5"/>
      <c r="H27" s="5"/>
    </row>
    <row r="28" spans="1:8" x14ac:dyDescent="0.25">
      <c r="A28" s="67">
        <v>41456</v>
      </c>
      <c r="B28" s="68">
        <v>8.56</v>
      </c>
      <c r="C28" s="68">
        <v>7806</v>
      </c>
      <c r="D28" s="69">
        <f t="shared" si="0"/>
        <v>-1.7221584385763489E-2</v>
      </c>
      <c r="E28" s="69">
        <f t="shared" si="1"/>
        <v>-1.9250630086867893E-2</v>
      </c>
      <c r="G28" s="5"/>
      <c r="H28" s="5"/>
    </row>
    <row r="29" spans="1:8" x14ac:dyDescent="0.25">
      <c r="A29" s="67">
        <v>41449</v>
      </c>
      <c r="B29" s="68">
        <v>8.7100000000000009</v>
      </c>
      <c r="C29" s="68">
        <v>7959.22</v>
      </c>
      <c r="D29" s="69">
        <f t="shared" si="0"/>
        <v>4.3113772455090071E-2</v>
      </c>
      <c r="E29" s="69">
        <f t="shared" si="1"/>
        <v>2.1822411429099686E-2</v>
      </c>
      <c r="G29" s="5"/>
      <c r="H29" s="5"/>
    </row>
    <row r="30" spans="1:8" x14ac:dyDescent="0.25">
      <c r="A30" s="67">
        <v>41442</v>
      </c>
      <c r="B30" s="68">
        <v>8.35</v>
      </c>
      <c r="C30" s="68">
        <v>7789.24</v>
      </c>
      <c r="D30" s="69">
        <f t="shared" si="0"/>
        <v>-1.8801410105757976E-2</v>
      </c>
      <c r="E30" s="69">
        <f t="shared" si="1"/>
        <v>-4.1673433432251161E-2</v>
      </c>
      <c r="G30" s="5"/>
      <c r="H30" s="5"/>
    </row>
    <row r="31" spans="1:8" x14ac:dyDescent="0.25">
      <c r="A31" s="67">
        <v>41435</v>
      </c>
      <c r="B31" s="68">
        <v>8.51</v>
      </c>
      <c r="C31" s="68">
        <v>8127.96</v>
      </c>
      <c r="D31" s="69">
        <f t="shared" si="0"/>
        <v>-9.3131548311990997E-3</v>
      </c>
      <c r="E31" s="69">
        <f t="shared" si="1"/>
        <v>-1.5351291630929409E-2</v>
      </c>
      <c r="G31" s="5"/>
      <c r="H31" s="5"/>
    </row>
    <row r="32" spans="1:8" x14ac:dyDescent="0.25">
      <c r="A32" s="67">
        <v>41428</v>
      </c>
      <c r="B32" s="68">
        <v>8.59</v>
      </c>
      <c r="C32" s="68">
        <v>8254.68</v>
      </c>
      <c r="D32" s="69">
        <f t="shared" si="0"/>
        <v>0</v>
      </c>
      <c r="E32" s="69">
        <f t="shared" si="1"/>
        <v>-1.1278213500318546E-2</v>
      </c>
      <c r="G32" s="5"/>
      <c r="H32" s="5"/>
    </row>
    <row r="33" spans="1:8" x14ac:dyDescent="0.25">
      <c r="A33" s="67">
        <v>41421</v>
      </c>
      <c r="B33" s="68">
        <v>8.59</v>
      </c>
      <c r="C33" s="68">
        <v>8348.84</v>
      </c>
      <c r="D33" s="69">
        <f t="shared" si="0"/>
        <v>-4.5555555555555571E-2</v>
      </c>
      <c r="E33" s="69">
        <f t="shared" si="1"/>
        <v>5.2400148338656027E-3</v>
      </c>
      <c r="G33" s="5"/>
      <c r="H33" s="5"/>
    </row>
    <row r="34" spans="1:8" x14ac:dyDescent="0.25">
      <c r="A34" s="67">
        <v>41414</v>
      </c>
      <c r="B34" s="68">
        <v>9</v>
      </c>
      <c r="C34" s="68">
        <v>8305.32</v>
      </c>
      <c r="D34" s="69">
        <f t="shared" si="0"/>
        <v>6.7114093959732557E-3</v>
      </c>
      <c r="E34" s="69">
        <f t="shared" si="1"/>
        <v>-1.103596094308168E-2</v>
      </c>
      <c r="G34" s="5"/>
      <c r="H34" s="5"/>
    </row>
    <row r="35" spans="1:8" x14ac:dyDescent="0.25">
      <c r="A35" s="67">
        <v>41407</v>
      </c>
      <c r="B35" s="68">
        <v>8.94</v>
      </c>
      <c r="C35" s="68">
        <v>8398</v>
      </c>
      <c r="D35" s="69">
        <f t="shared" si="0"/>
        <v>-4.4543429844099425E-3</v>
      </c>
      <c r="E35" s="69">
        <f t="shared" si="1"/>
        <v>1.4423953837549686E-2</v>
      </c>
      <c r="G35" s="5"/>
      <c r="H35" s="5"/>
    </row>
    <row r="36" spans="1:8" x14ac:dyDescent="0.25">
      <c r="A36" s="67">
        <v>41400</v>
      </c>
      <c r="B36" s="68">
        <v>8.98</v>
      </c>
      <c r="C36" s="68">
        <v>8278.59</v>
      </c>
      <c r="D36" s="69">
        <f t="shared" si="0"/>
        <v>7.1599045346061985E-2</v>
      </c>
      <c r="E36" s="69">
        <f t="shared" si="1"/>
        <v>1.9243341471432363E-2</v>
      </c>
      <c r="G36" s="5"/>
      <c r="H36" s="5"/>
    </row>
    <row r="37" spans="1:8" x14ac:dyDescent="0.25">
      <c r="A37" s="67">
        <v>41393</v>
      </c>
      <c r="B37" s="68">
        <v>8.3800000000000008</v>
      </c>
      <c r="C37" s="68">
        <v>8122.29</v>
      </c>
      <c r="D37" s="69">
        <f t="shared" si="0"/>
        <v>1.330108827085863E-2</v>
      </c>
      <c r="E37" s="69">
        <f t="shared" si="1"/>
        <v>3.9352456121493073E-2</v>
      </c>
      <c r="G37" s="5"/>
      <c r="H37" s="5"/>
    </row>
    <row r="38" spans="1:8" x14ac:dyDescent="0.25">
      <c r="A38" s="67">
        <v>41386</v>
      </c>
      <c r="B38" s="68">
        <v>8.27</v>
      </c>
      <c r="C38" s="68">
        <v>7814.76</v>
      </c>
      <c r="D38" s="69">
        <f t="shared" si="0"/>
        <v>3.5043804755944929E-2</v>
      </c>
      <c r="E38" s="69">
        <f t="shared" si="1"/>
        <v>4.7560576732314841E-2</v>
      </c>
      <c r="G38" s="5"/>
      <c r="H38" s="5"/>
    </row>
    <row r="39" spans="1:8" x14ac:dyDescent="0.25">
      <c r="A39" s="67">
        <v>41379</v>
      </c>
      <c r="B39" s="68">
        <v>7.99</v>
      </c>
      <c r="C39" s="68">
        <v>7459.96</v>
      </c>
      <c r="D39" s="69">
        <f t="shared" si="0"/>
        <v>-1.2360939431396711E-2</v>
      </c>
      <c r="E39" s="69">
        <f t="shared" si="1"/>
        <v>-3.6774494271618163E-2</v>
      </c>
      <c r="G39" s="5"/>
      <c r="H39" s="5"/>
    </row>
    <row r="40" spans="1:8" x14ac:dyDescent="0.25">
      <c r="A40" s="67">
        <v>41372</v>
      </c>
      <c r="B40" s="68">
        <v>8.09</v>
      </c>
      <c r="C40" s="68">
        <v>7744.77</v>
      </c>
      <c r="D40" s="69">
        <f t="shared" si="0"/>
        <v>3.9845758354755789E-2</v>
      </c>
      <c r="E40" s="69">
        <f t="shared" si="1"/>
        <v>1.123159784560146E-2</v>
      </c>
      <c r="G40" s="5"/>
      <c r="H40" s="5"/>
    </row>
    <row r="41" spans="1:8" x14ac:dyDescent="0.25">
      <c r="A41" s="67">
        <v>41365</v>
      </c>
      <c r="B41" s="68">
        <v>7.78</v>
      </c>
      <c r="C41" s="68">
        <v>7658.75</v>
      </c>
      <c r="D41" s="69">
        <f t="shared" si="0"/>
        <v>2.3684210526315974E-2</v>
      </c>
      <c r="E41" s="69">
        <f t="shared" si="1"/>
        <v>-1.7518225702377488E-2</v>
      </c>
      <c r="G41" s="5"/>
      <c r="H41" s="5"/>
    </row>
    <row r="42" spans="1:8" x14ac:dyDescent="0.25">
      <c r="A42" s="67">
        <v>41358</v>
      </c>
      <c r="B42" s="68">
        <v>7.6</v>
      </c>
      <c r="C42" s="68">
        <v>7795.31</v>
      </c>
      <c r="D42" s="69">
        <f t="shared" si="0"/>
        <v>-3.1847133757961776E-2</v>
      </c>
      <c r="E42" s="69">
        <f t="shared" si="1"/>
        <v>-1.4667534617985534E-2</v>
      </c>
      <c r="G42" s="5"/>
      <c r="H42" s="5"/>
    </row>
    <row r="43" spans="1:8" x14ac:dyDescent="0.25">
      <c r="A43" s="67">
        <v>41351</v>
      </c>
      <c r="B43" s="68">
        <v>7.85</v>
      </c>
      <c r="C43" s="68">
        <v>7911.35</v>
      </c>
      <c r="D43" s="69">
        <f t="shared" si="0"/>
        <v>-7.5853350189634128E-3</v>
      </c>
      <c r="E43" s="69">
        <f t="shared" si="1"/>
        <v>-1.6349925710413604E-2</v>
      </c>
      <c r="G43" s="5"/>
      <c r="H43" s="5"/>
    </row>
    <row r="44" spans="1:8" x14ac:dyDescent="0.25">
      <c r="A44" s="67">
        <v>41344</v>
      </c>
      <c r="B44" s="68">
        <v>7.91</v>
      </c>
      <c r="C44" s="68">
        <v>8042.85</v>
      </c>
      <c r="D44" s="69">
        <f t="shared" si="0"/>
        <v>2.5940337224384047E-2</v>
      </c>
      <c r="E44" s="69">
        <f t="shared" si="1"/>
        <v>7.0594392766767378E-3</v>
      </c>
      <c r="G44" s="5"/>
      <c r="H44" s="5"/>
    </row>
    <row r="45" spans="1:8" x14ac:dyDescent="0.25">
      <c r="A45" s="67">
        <v>41337</v>
      </c>
      <c r="B45" s="68">
        <v>7.71</v>
      </c>
      <c r="C45" s="68">
        <v>7986.47</v>
      </c>
      <c r="D45" s="69">
        <f t="shared" si="0"/>
        <v>3.074866310160429E-2</v>
      </c>
      <c r="E45" s="69">
        <f t="shared" si="1"/>
        <v>3.6105892975755616E-2</v>
      </c>
      <c r="G45" s="5"/>
      <c r="H45" s="5"/>
    </row>
    <row r="46" spans="1:8" x14ac:dyDescent="0.25">
      <c r="A46" s="67">
        <v>41330</v>
      </c>
      <c r="B46" s="68">
        <v>7.48</v>
      </c>
      <c r="C46" s="68">
        <v>7708.16</v>
      </c>
      <c r="D46" s="69">
        <f t="shared" si="0"/>
        <v>-5.3191489361701372E-3</v>
      </c>
      <c r="E46" s="69">
        <f t="shared" si="1"/>
        <v>6.0363538595467059E-3</v>
      </c>
      <c r="G46" s="5"/>
      <c r="H46" s="5"/>
    </row>
    <row r="47" spans="1:8" x14ac:dyDescent="0.25">
      <c r="A47" s="67">
        <v>41323</v>
      </c>
      <c r="B47" s="68">
        <v>7.52</v>
      </c>
      <c r="C47" s="68">
        <v>7661.91</v>
      </c>
      <c r="D47" s="69">
        <f t="shared" si="0"/>
        <v>-3.9735099337748769E-3</v>
      </c>
      <c r="E47" s="69">
        <f t="shared" si="1"/>
        <v>9.0076920949599959E-3</v>
      </c>
      <c r="G47" s="5"/>
      <c r="H47" s="5"/>
    </row>
    <row r="48" spans="1:8" x14ac:dyDescent="0.25">
      <c r="A48" s="67">
        <v>41316</v>
      </c>
      <c r="B48" s="68">
        <v>7.55</v>
      </c>
      <c r="C48" s="68">
        <v>7593.51</v>
      </c>
      <c r="D48" s="69">
        <f t="shared" si="0"/>
        <v>-5.031446540880502E-2</v>
      </c>
      <c r="E48" s="69">
        <f t="shared" si="1"/>
        <v>-7.6619089561874576E-3</v>
      </c>
      <c r="G48" s="5"/>
      <c r="H48" s="5"/>
    </row>
    <row r="49" spans="1:8" x14ac:dyDescent="0.25">
      <c r="A49" s="67">
        <v>41309</v>
      </c>
      <c r="B49" s="68">
        <v>7.95</v>
      </c>
      <c r="C49" s="68">
        <v>7652.14</v>
      </c>
      <c r="D49" s="69">
        <f t="shared" si="0"/>
        <v>-4.4471153846153855E-2</v>
      </c>
      <c r="E49" s="69">
        <f t="shared" si="1"/>
        <v>-2.3138130490119813E-2</v>
      </c>
      <c r="G49" s="5"/>
      <c r="H49" s="5"/>
    </row>
    <row r="50" spans="1:8" x14ac:dyDescent="0.25">
      <c r="A50" s="67">
        <v>41302</v>
      </c>
      <c r="B50" s="68">
        <v>8.32</v>
      </c>
      <c r="C50" s="68">
        <v>7833.39</v>
      </c>
      <c r="D50" s="69">
        <f t="shared" si="0"/>
        <v>1.3398294762484664E-2</v>
      </c>
      <c r="E50" s="69">
        <f t="shared" si="1"/>
        <v>-3.1280343396576926E-3</v>
      </c>
      <c r="G50" s="5"/>
      <c r="H50" s="5"/>
    </row>
    <row r="51" spans="1:8" x14ac:dyDescent="0.25">
      <c r="A51" s="67">
        <v>41295</v>
      </c>
      <c r="B51" s="68">
        <v>8.2100000000000009</v>
      </c>
      <c r="C51" s="68">
        <v>7857.97</v>
      </c>
      <c r="D51" s="69">
        <f t="shared" si="0"/>
        <v>0</v>
      </c>
      <c r="E51" s="69">
        <f t="shared" si="1"/>
        <v>2.022011806970192E-2</v>
      </c>
      <c r="G51" s="5"/>
      <c r="H51" s="5"/>
    </row>
    <row r="52" spans="1:8" x14ac:dyDescent="0.25">
      <c r="A52" s="67">
        <v>41288</v>
      </c>
      <c r="B52" s="68">
        <v>8.2100000000000009</v>
      </c>
      <c r="C52" s="68">
        <v>7702.23</v>
      </c>
      <c r="D52" s="69">
        <f t="shared" si="0"/>
        <v>-1.3221153846153744E-2</v>
      </c>
      <c r="E52" s="69">
        <f t="shared" si="1"/>
        <v>-1.7237960321585533E-3</v>
      </c>
      <c r="G52" s="5"/>
      <c r="H52" s="5"/>
    </row>
    <row r="53" spans="1:8" x14ac:dyDescent="0.25">
      <c r="A53" s="67">
        <v>41281</v>
      </c>
      <c r="B53" s="68">
        <v>8.32</v>
      </c>
      <c r="C53" s="68">
        <v>7715.53</v>
      </c>
      <c r="D53" s="69">
        <f t="shared" si="0"/>
        <v>1.7114914425427896E-2</v>
      </c>
      <c r="E53" s="69">
        <f t="shared" si="1"/>
        <v>-7.8237018043123552E-3</v>
      </c>
      <c r="G53" s="5"/>
      <c r="H53" s="5"/>
    </row>
    <row r="54" spans="1:8" x14ac:dyDescent="0.25">
      <c r="A54" s="67">
        <v>41274</v>
      </c>
      <c r="B54" s="68">
        <v>8.18</v>
      </c>
      <c r="C54" s="68">
        <v>7776.37</v>
      </c>
      <c r="D54" s="69">
        <f t="shared" si="0"/>
        <v>3.2828282828282873E-2</v>
      </c>
      <c r="E54" s="69">
        <f t="shared" si="1"/>
        <v>2.1541197968049319E-2</v>
      </c>
      <c r="G54" s="5"/>
      <c r="H54" s="5"/>
    </row>
    <row r="55" spans="1:8" x14ac:dyDescent="0.25">
      <c r="A55" s="67">
        <v>41267</v>
      </c>
      <c r="B55" s="68">
        <v>7.92</v>
      </c>
      <c r="C55" s="68">
        <v>7612.39</v>
      </c>
      <c r="D55" s="69">
        <f t="shared" si="0"/>
        <v>-6.273525721455453E-3</v>
      </c>
      <c r="E55" s="69">
        <f t="shared" si="1"/>
        <v>-3.121959396194085E-3</v>
      </c>
      <c r="G55" s="5"/>
      <c r="H55" s="5"/>
    </row>
    <row r="56" spans="1:8" x14ac:dyDescent="0.25">
      <c r="A56" s="67">
        <v>41260</v>
      </c>
      <c r="B56" s="68">
        <v>7.97</v>
      </c>
      <c r="C56" s="68">
        <v>7636.23</v>
      </c>
      <c r="D56" s="69">
        <f t="shared" si="0"/>
        <v>1.270648030495547E-2</v>
      </c>
      <c r="E56" s="69">
        <f t="shared" si="1"/>
        <v>5.2340100072796325E-3</v>
      </c>
      <c r="G56" s="5"/>
      <c r="H56" s="5"/>
    </row>
    <row r="57" spans="1:8" x14ac:dyDescent="0.25">
      <c r="A57" s="67">
        <v>41253</v>
      </c>
      <c r="B57" s="68">
        <v>7.87</v>
      </c>
      <c r="C57" s="68">
        <v>7596.47</v>
      </c>
      <c r="D57" s="69">
        <f t="shared" si="0"/>
        <v>1.5483870967741842E-2</v>
      </c>
      <c r="E57" s="69">
        <f t="shared" si="1"/>
        <v>1.0464497592380662E-2</v>
      </c>
      <c r="G57" s="5"/>
      <c r="H57" s="5"/>
    </row>
    <row r="58" spans="1:8" x14ac:dyDescent="0.25">
      <c r="A58" s="67">
        <v>41246</v>
      </c>
      <c r="B58" s="68">
        <v>7.75</v>
      </c>
      <c r="C58" s="68">
        <v>7517.8</v>
      </c>
      <c r="D58" s="69">
        <f t="shared" si="0"/>
        <v>-7.6824583866836882E-3</v>
      </c>
      <c r="E58" s="69">
        <f t="shared" si="1"/>
        <v>1.5164404834244749E-2</v>
      </c>
      <c r="G58" s="5"/>
      <c r="H58" s="5"/>
    </row>
    <row r="59" spans="1:8" x14ac:dyDescent="0.25">
      <c r="A59" s="67">
        <v>41239</v>
      </c>
      <c r="B59" s="68">
        <v>7.81</v>
      </c>
      <c r="C59" s="68">
        <v>7405.5</v>
      </c>
      <c r="D59" s="69">
        <f t="shared" si="0"/>
        <v>7.7419354838708099E-3</v>
      </c>
      <c r="E59" s="69">
        <f t="shared" si="1"/>
        <v>1.3184879732608401E-2</v>
      </c>
      <c r="G59" s="5"/>
      <c r="H59" s="5"/>
    </row>
    <row r="60" spans="1:8" x14ac:dyDescent="0.25">
      <c r="A60" s="67">
        <v>41232</v>
      </c>
      <c r="B60" s="68">
        <v>7.75</v>
      </c>
      <c r="C60" s="68">
        <v>7309.13</v>
      </c>
      <c r="D60" s="69">
        <f t="shared" si="0"/>
        <v>3.0585106382978733E-2</v>
      </c>
      <c r="E60" s="69">
        <f t="shared" si="1"/>
        <v>5.1593187857616574E-2</v>
      </c>
      <c r="G60" s="5"/>
      <c r="H60" s="5"/>
    </row>
    <row r="61" spans="1:8" x14ac:dyDescent="0.25">
      <c r="A61" s="67">
        <v>41225</v>
      </c>
      <c r="B61" s="68">
        <v>7.52</v>
      </c>
      <c r="C61" s="68">
        <v>6950.53</v>
      </c>
      <c r="D61" s="69">
        <f t="shared" si="0"/>
        <v>-2.2106631989596948E-2</v>
      </c>
      <c r="E61" s="69">
        <f t="shared" si="1"/>
        <v>-2.9729880644936202E-2</v>
      </c>
      <c r="G61" s="5"/>
      <c r="H61" s="5"/>
    </row>
    <row r="62" spans="1:8" x14ac:dyDescent="0.25">
      <c r="A62" s="67">
        <v>41218</v>
      </c>
      <c r="B62" s="68">
        <v>7.69</v>
      </c>
      <c r="C62" s="68">
        <v>7163.5</v>
      </c>
      <c r="D62" s="69">
        <f t="shared" si="0"/>
        <v>-3.6340852130325785E-2</v>
      </c>
      <c r="E62" s="69">
        <f t="shared" si="1"/>
        <v>-2.720723534564129E-2</v>
      </c>
      <c r="G62" s="5"/>
      <c r="H62" s="5"/>
    </row>
    <row r="63" spans="1:8" x14ac:dyDescent="0.25">
      <c r="A63" s="67">
        <v>41211</v>
      </c>
      <c r="B63" s="68">
        <v>7.98</v>
      </c>
      <c r="C63" s="68">
        <v>7363.85</v>
      </c>
      <c r="D63" s="69">
        <f t="shared" si="0"/>
        <v>-2.0858895705521463E-2</v>
      </c>
      <c r="E63" s="69">
        <f t="shared" si="1"/>
        <v>1.8252590969115801E-2</v>
      </c>
      <c r="G63" s="5"/>
      <c r="H63" s="5"/>
    </row>
    <row r="64" spans="1:8" x14ac:dyDescent="0.25">
      <c r="A64" s="67">
        <v>41204</v>
      </c>
      <c r="B64" s="68">
        <v>8.15</v>
      </c>
      <c r="C64" s="68">
        <v>7231.85</v>
      </c>
      <c r="D64" s="69">
        <f t="shared" si="0"/>
        <v>-1.8072289156626509E-2</v>
      </c>
      <c r="E64" s="69">
        <f t="shared" si="1"/>
        <v>-2.0159498363285566E-2</v>
      </c>
      <c r="G64" s="5"/>
      <c r="H64" s="5"/>
    </row>
    <row r="65" spans="1:8" x14ac:dyDescent="0.25">
      <c r="A65" s="67">
        <v>41197</v>
      </c>
      <c r="B65" s="68">
        <v>8.3000000000000007</v>
      </c>
      <c r="C65" s="68">
        <v>7380.64</v>
      </c>
      <c r="D65" s="69">
        <f t="shared" si="0"/>
        <v>-1.6587677725118377E-2</v>
      </c>
      <c r="E65" s="69">
        <f t="shared" si="1"/>
        <v>2.0483955041763036E-2</v>
      </c>
      <c r="G65" s="5"/>
      <c r="H65" s="5"/>
    </row>
    <row r="66" spans="1:8" x14ac:dyDescent="0.25">
      <c r="A66" s="67">
        <v>41190</v>
      </c>
      <c r="B66" s="68">
        <v>8.44</v>
      </c>
      <c r="C66" s="68">
        <v>7232.49</v>
      </c>
      <c r="D66" s="69">
        <f t="shared" si="0"/>
        <v>-3.5428571428571476E-2</v>
      </c>
      <c r="E66" s="69">
        <f t="shared" si="1"/>
        <v>-2.235508328748681E-2</v>
      </c>
      <c r="G66" s="5"/>
      <c r="H66" s="5"/>
    </row>
    <row r="67" spans="1:8" x14ac:dyDescent="0.25">
      <c r="A67" s="67">
        <v>41183</v>
      </c>
      <c r="B67" s="68">
        <v>8.75</v>
      </c>
      <c r="C67" s="68">
        <v>7397.87</v>
      </c>
      <c r="D67" s="69">
        <f t="shared" ref="D67:D130" si="2">B67/B68-1</f>
        <v>-7.9365079365080193E-3</v>
      </c>
      <c r="E67" s="69">
        <f t="shared" ref="E67:E130" si="3">C67/C68-1</f>
        <v>2.5182403359131911E-2</v>
      </c>
      <c r="G67" s="5"/>
      <c r="H67" s="5"/>
    </row>
    <row r="68" spans="1:8" x14ac:dyDescent="0.25">
      <c r="A68" s="67">
        <v>41176</v>
      </c>
      <c r="B68" s="68">
        <v>8.82</v>
      </c>
      <c r="C68" s="68">
        <v>7216.15</v>
      </c>
      <c r="D68" s="69">
        <f t="shared" si="2"/>
        <v>-4.6486486486486456E-2</v>
      </c>
      <c r="E68" s="69">
        <f t="shared" si="3"/>
        <v>-3.1599840034784443E-2</v>
      </c>
      <c r="G68" s="5"/>
      <c r="H68" s="5"/>
    </row>
    <row r="69" spans="1:8" x14ac:dyDescent="0.25">
      <c r="A69" s="67">
        <v>41169</v>
      </c>
      <c r="B69" s="68">
        <v>9.25</v>
      </c>
      <c r="C69" s="68">
        <v>7451.62</v>
      </c>
      <c r="D69" s="69">
        <f t="shared" si="2"/>
        <v>3.5834266517357216E-2</v>
      </c>
      <c r="E69" s="69">
        <f t="shared" si="3"/>
        <v>5.3277532908893033E-3</v>
      </c>
      <c r="G69" s="5"/>
      <c r="H69" s="5"/>
    </row>
    <row r="70" spans="1:8" x14ac:dyDescent="0.25">
      <c r="A70" s="67">
        <v>41162</v>
      </c>
      <c r="B70" s="68">
        <v>8.93</v>
      </c>
      <c r="C70" s="68">
        <v>7412.13</v>
      </c>
      <c r="D70" s="69">
        <f t="shared" si="2"/>
        <v>1.1210762331839152E-3</v>
      </c>
      <c r="E70" s="69">
        <f t="shared" si="3"/>
        <v>2.7393443759096359E-2</v>
      </c>
      <c r="G70" s="5"/>
      <c r="H70" s="5"/>
    </row>
    <row r="71" spans="1:8" x14ac:dyDescent="0.25">
      <c r="A71" s="67">
        <v>41155</v>
      </c>
      <c r="B71" s="68">
        <v>8.92</v>
      </c>
      <c r="C71" s="68">
        <v>7214.5</v>
      </c>
      <c r="D71" s="69">
        <f t="shared" si="2"/>
        <v>2.0594965675057253E-2</v>
      </c>
      <c r="E71" s="69">
        <f t="shared" si="3"/>
        <v>3.4961604064962515E-2</v>
      </c>
      <c r="G71" s="5"/>
      <c r="H71" s="5"/>
    </row>
    <row r="72" spans="1:8" x14ac:dyDescent="0.25">
      <c r="A72" s="67">
        <v>41148</v>
      </c>
      <c r="B72" s="68">
        <v>8.74</v>
      </c>
      <c r="C72" s="68">
        <v>6970.79</v>
      </c>
      <c r="D72" s="69">
        <f t="shared" si="2"/>
        <v>2.2935779816513069E-3</v>
      </c>
      <c r="E72" s="69">
        <f t="shared" si="3"/>
        <v>-4.016600034140172E-5</v>
      </c>
      <c r="G72" s="5"/>
      <c r="H72" s="5"/>
    </row>
    <row r="73" spans="1:8" x14ac:dyDescent="0.25">
      <c r="A73" s="67">
        <v>41141</v>
      </c>
      <c r="B73" s="68">
        <v>8.7200000000000006</v>
      </c>
      <c r="C73" s="68">
        <v>6971.07</v>
      </c>
      <c r="D73" s="69">
        <f t="shared" si="2"/>
        <v>1.1481056257174327E-3</v>
      </c>
      <c r="E73" s="69">
        <f t="shared" si="3"/>
        <v>-9.9149538125916648E-3</v>
      </c>
      <c r="G73" s="5"/>
      <c r="H73" s="5"/>
    </row>
    <row r="74" spans="1:8" x14ac:dyDescent="0.25">
      <c r="A74" s="67">
        <v>41134</v>
      </c>
      <c r="B74" s="68">
        <v>8.7100000000000009</v>
      </c>
      <c r="C74" s="68">
        <v>7040.88</v>
      </c>
      <c r="D74" s="69">
        <f t="shared" si="2"/>
        <v>2.7122641509434109E-2</v>
      </c>
      <c r="E74" s="69">
        <f t="shared" si="3"/>
        <v>1.3869849205709217E-2</v>
      </c>
      <c r="G74" s="5"/>
      <c r="H74" s="5"/>
    </row>
    <row r="75" spans="1:8" x14ac:dyDescent="0.25">
      <c r="A75" s="67">
        <v>41127</v>
      </c>
      <c r="B75" s="68">
        <v>8.48</v>
      </c>
      <c r="C75" s="68">
        <v>6944.56</v>
      </c>
      <c r="D75" s="69">
        <f t="shared" si="2"/>
        <v>-1.6241299303944134E-2</v>
      </c>
      <c r="E75" s="69">
        <f t="shared" si="3"/>
        <v>1.1491976008133342E-2</v>
      </c>
      <c r="G75" s="5"/>
      <c r="H75" s="5"/>
    </row>
    <row r="76" spans="1:8" x14ac:dyDescent="0.25">
      <c r="A76" s="67">
        <v>41120</v>
      </c>
      <c r="B76" s="68">
        <v>8.6199999999999992</v>
      </c>
      <c r="C76" s="68">
        <v>6865.66</v>
      </c>
      <c r="D76" s="69">
        <f t="shared" si="2"/>
        <v>1.0550996483001063E-2</v>
      </c>
      <c r="E76" s="69">
        <f t="shared" si="3"/>
        <v>2.6349149400544114E-2</v>
      </c>
      <c r="G76" s="5"/>
      <c r="H76" s="5"/>
    </row>
    <row r="77" spans="1:8" x14ac:dyDescent="0.25">
      <c r="A77" s="67">
        <v>41113</v>
      </c>
      <c r="B77" s="68">
        <v>8.5299999999999994</v>
      </c>
      <c r="C77" s="68">
        <v>6689.4</v>
      </c>
      <c r="D77" s="69">
        <f t="shared" si="2"/>
        <v>1.7899761336515274E-2</v>
      </c>
      <c r="E77" s="69">
        <f t="shared" si="3"/>
        <v>8.9562324095551205E-3</v>
      </c>
      <c r="G77" s="5"/>
      <c r="H77" s="5"/>
    </row>
    <row r="78" spans="1:8" x14ac:dyDescent="0.25">
      <c r="A78" s="67">
        <v>41106</v>
      </c>
      <c r="B78" s="68">
        <v>8.3800000000000008</v>
      </c>
      <c r="C78" s="68">
        <v>6630.02</v>
      </c>
      <c r="D78" s="69">
        <f t="shared" si="2"/>
        <v>-9.4562647754137252E-3</v>
      </c>
      <c r="E78" s="69">
        <f t="shared" si="3"/>
        <v>1.1120769852526191E-2</v>
      </c>
      <c r="G78" s="5"/>
      <c r="H78" s="5"/>
    </row>
    <row r="79" spans="1:8" x14ac:dyDescent="0.25">
      <c r="A79" s="67">
        <v>41099</v>
      </c>
      <c r="B79" s="68">
        <v>8.4600000000000009</v>
      </c>
      <c r="C79" s="68">
        <v>6557.1</v>
      </c>
      <c r="D79" s="69">
        <f t="shared" si="2"/>
        <v>8.0459770114942541E-2</v>
      </c>
      <c r="E79" s="69">
        <f t="shared" si="3"/>
        <v>2.2930963743212018E-2</v>
      </c>
      <c r="G79" s="5"/>
      <c r="H79" s="5"/>
    </row>
    <row r="80" spans="1:8" x14ac:dyDescent="0.25">
      <c r="A80" s="67">
        <v>41092</v>
      </c>
      <c r="B80" s="68">
        <v>7.83</v>
      </c>
      <c r="C80" s="68">
        <v>6410.11</v>
      </c>
      <c r="D80" s="69">
        <f t="shared" si="2"/>
        <v>-1.8796992481203034E-2</v>
      </c>
      <c r="E80" s="69">
        <f t="shared" si="3"/>
        <v>-9.616163883122697E-4</v>
      </c>
      <c r="G80" s="5"/>
      <c r="H80" s="5"/>
    </row>
    <row r="81" spans="1:8" x14ac:dyDescent="0.25">
      <c r="A81" s="67">
        <v>41085</v>
      </c>
      <c r="B81" s="68">
        <v>7.98</v>
      </c>
      <c r="C81" s="68">
        <v>6416.28</v>
      </c>
      <c r="D81" s="69">
        <f t="shared" si="2"/>
        <v>2.1766965428937413E-2</v>
      </c>
      <c r="E81" s="69">
        <f t="shared" si="3"/>
        <v>2.4433002035684215E-2</v>
      </c>
      <c r="G81" s="5"/>
      <c r="H81" s="5"/>
    </row>
    <row r="82" spans="1:8" x14ac:dyDescent="0.25">
      <c r="A82" s="67">
        <v>41078</v>
      </c>
      <c r="B82" s="68">
        <v>7.81</v>
      </c>
      <c r="C82" s="68">
        <v>6263.25</v>
      </c>
      <c r="D82" s="69">
        <f t="shared" si="2"/>
        <v>4.4117647058823373E-2</v>
      </c>
      <c r="E82" s="69">
        <f t="shared" si="3"/>
        <v>5.4322961564579053E-3</v>
      </c>
      <c r="G82" s="5"/>
      <c r="H82" s="5"/>
    </row>
    <row r="83" spans="1:8" x14ac:dyDescent="0.25">
      <c r="A83" s="67">
        <v>41071</v>
      </c>
      <c r="B83" s="68">
        <v>7.48</v>
      </c>
      <c r="C83" s="68">
        <v>6229.41</v>
      </c>
      <c r="D83" s="69">
        <f t="shared" si="2"/>
        <v>3.6011080332410073E-2</v>
      </c>
      <c r="E83" s="69">
        <f t="shared" si="3"/>
        <v>1.6081046254823983E-2</v>
      </c>
      <c r="G83" s="5"/>
      <c r="H83" s="5"/>
    </row>
    <row r="84" spans="1:8" x14ac:dyDescent="0.25">
      <c r="A84" s="67">
        <v>41064</v>
      </c>
      <c r="B84" s="68">
        <v>7.22</v>
      </c>
      <c r="C84" s="68">
        <v>6130.82</v>
      </c>
      <c r="D84" s="69">
        <f t="shared" si="2"/>
        <v>2.7777777777777679E-3</v>
      </c>
      <c r="E84" s="69">
        <f t="shared" si="3"/>
        <v>1.331010579658165E-2</v>
      </c>
      <c r="G84" s="5"/>
      <c r="H84" s="5"/>
    </row>
    <row r="85" spans="1:8" x14ac:dyDescent="0.25">
      <c r="A85" s="67">
        <v>41057</v>
      </c>
      <c r="B85" s="68">
        <v>7.2</v>
      </c>
      <c r="C85" s="68">
        <v>6050.29</v>
      </c>
      <c r="D85" s="69">
        <f t="shared" si="2"/>
        <v>-4.2553191489361653E-2</v>
      </c>
      <c r="E85" s="69">
        <f t="shared" si="3"/>
        <v>-4.5686552238664691E-2</v>
      </c>
      <c r="G85" s="5"/>
      <c r="H85" s="5"/>
    </row>
    <row r="86" spans="1:8" x14ac:dyDescent="0.25">
      <c r="A86" s="67">
        <v>41050</v>
      </c>
      <c r="B86" s="68">
        <v>7.52</v>
      </c>
      <c r="C86" s="68">
        <v>6339.94</v>
      </c>
      <c r="D86" s="69">
        <f t="shared" si="2"/>
        <v>-1.0526315789473717E-2</v>
      </c>
      <c r="E86" s="69">
        <f t="shared" si="3"/>
        <v>1.0957995413970467E-2</v>
      </c>
      <c r="G86" s="5"/>
      <c r="H86" s="5"/>
    </row>
    <row r="87" spans="1:8" x14ac:dyDescent="0.25">
      <c r="A87" s="67">
        <v>41043</v>
      </c>
      <c r="B87" s="68">
        <v>7.6</v>
      </c>
      <c r="C87" s="68">
        <v>6271.22</v>
      </c>
      <c r="D87" s="69">
        <f t="shared" si="2"/>
        <v>-1.5544041450777257E-2</v>
      </c>
      <c r="E87" s="69">
        <f t="shared" si="3"/>
        <v>-4.6916912489950557E-2</v>
      </c>
      <c r="G87" s="5"/>
      <c r="H87" s="5"/>
    </row>
    <row r="88" spans="1:8" x14ac:dyDescent="0.25">
      <c r="A88" s="67">
        <v>41036</v>
      </c>
      <c r="B88" s="68">
        <v>7.72</v>
      </c>
      <c r="C88" s="68">
        <v>6579.93</v>
      </c>
      <c r="D88" s="69">
        <f t="shared" si="2"/>
        <v>5.1771117166212521E-2</v>
      </c>
      <c r="E88" s="69">
        <f t="shared" si="3"/>
        <v>2.8133939498313776E-3</v>
      </c>
      <c r="G88" s="5"/>
      <c r="H88" s="5"/>
    </row>
    <row r="89" spans="1:8" x14ac:dyDescent="0.25">
      <c r="A89" s="67">
        <v>41029</v>
      </c>
      <c r="B89" s="68">
        <v>7.34</v>
      </c>
      <c r="C89" s="68">
        <v>6561.47</v>
      </c>
      <c r="D89" s="69">
        <f t="shared" si="2"/>
        <v>-8.1081081081081363E-3</v>
      </c>
      <c r="E89" s="69">
        <f t="shared" si="3"/>
        <v>-3.5265213223315439E-2</v>
      </c>
      <c r="G89" s="5"/>
      <c r="H89" s="5"/>
    </row>
    <row r="90" spans="1:8" x14ac:dyDescent="0.25">
      <c r="A90" s="67">
        <v>41022</v>
      </c>
      <c r="B90" s="68">
        <v>7.4</v>
      </c>
      <c r="C90" s="68">
        <v>6801.32</v>
      </c>
      <c r="D90" s="69">
        <f t="shared" si="2"/>
        <v>-2.6954177897573484E-3</v>
      </c>
      <c r="E90" s="69">
        <f t="shared" si="3"/>
        <v>7.5850503398458002E-3</v>
      </c>
      <c r="G90" s="5"/>
      <c r="H90" s="5"/>
    </row>
    <row r="91" spans="1:8" x14ac:dyDescent="0.25">
      <c r="A91" s="67">
        <v>41015</v>
      </c>
      <c r="B91" s="68">
        <v>7.42</v>
      </c>
      <c r="C91" s="68">
        <v>6750.12</v>
      </c>
      <c r="D91" s="69">
        <f t="shared" si="2"/>
        <v>-1.3458950201884479E-3</v>
      </c>
      <c r="E91" s="69">
        <f t="shared" si="3"/>
        <v>2.5246434484120339E-2</v>
      </c>
      <c r="G91" s="5"/>
      <c r="H91" s="5"/>
    </row>
    <row r="92" spans="1:8" x14ac:dyDescent="0.25">
      <c r="A92" s="67">
        <v>41008</v>
      </c>
      <c r="B92" s="68">
        <v>7.43</v>
      </c>
      <c r="C92" s="68">
        <v>6583.9</v>
      </c>
      <c r="D92" s="69">
        <f t="shared" si="2"/>
        <v>-2.7486910994764413E-2</v>
      </c>
      <c r="E92" s="69">
        <f t="shared" si="3"/>
        <v>-2.8243934550113314E-2</v>
      </c>
      <c r="G92" s="5"/>
      <c r="H92" s="5"/>
    </row>
    <row r="93" spans="1:8" x14ac:dyDescent="0.25">
      <c r="A93" s="67">
        <v>41001</v>
      </c>
      <c r="B93" s="68">
        <v>7.64</v>
      </c>
      <c r="C93" s="68">
        <v>6775.26</v>
      </c>
      <c r="D93" s="69">
        <f t="shared" si="2"/>
        <v>-2.5510204081632626E-2</v>
      </c>
      <c r="E93" s="69">
        <f t="shared" si="3"/>
        <v>-2.46975958818626E-2</v>
      </c>
      <c r="G93" s="5"/>
      <c r="H93" s="5"/>
    </row>
    <row r="94" spans="1:8" x14ac:dyDescent="0.25">
      <c r="A94" s="67">
        <v>40994</v>
      </c>
      <c r="B94" s="68">
        <v>7.84</v>
      </c>
      <c r="C94" s="68">
        <v>6946.83</v>
      </c>
      <c r="D94" s="69">
        <f t="shared" si="2"/>
        <v>-7.5949367088608E-3</v>
      </c>
      <c r="E94" s="69">
        <f t="shared" si="3"/>
        <v>-6.9743639591630657E-3</v>
      </c>
      <c r="G94" s="5"/>
      <c r="H94" s="5"/>
    </row>
    <row r="95" spans="1:8" x14ac:dyDescent="0.25">
      <c r="A95" s="67">
        <v>40987</v>
      </c>
      <c r="B95" s="68">
        <v>7.9</v>
      </c>
      <c r="C95" s="68">
        <v>6995.62</v>
      </c>
      <c r="D95" s="69">
        <f t="shared" si="2"/>
        <v>2.5974025974025983E-2</v>
      </c>
      <c r="E95" s="69">
        <f t="shared" si="3"/>
        <v>-2.2660530720247207E-2</v>
      </c>
      <c r="G95" s="5"/>
      <c r="H95" s="5"/>
    </row>
    <row r="96" spans="1:8" x14ac:dyDescent="0.25">
      <c r="A96" s="67">
        <v>40980</v>
      </c>
      <c r="B96" s="68">
        <v>7.7</v>
      </c>
      <c r="C96" s="68">
        <v>7157.82</v>
      </c>
      <c r="D96" s="69">
        <f t="shared" si="2"/>
        <v>1.8518518518518601E-2</v>
      </c>
      <c r="E96" s="69">
        <f t="shared" si="3"/>
        <v>4.0349059113021113E-2</v>
      </c>
      <c r="G96" s="5"/>
      <c r="H96" s="5"/>
    </row>
    <row r="97" spans="1:8" x14ac:dyDescent="0.25">
      <c r="A97" s="67">
        <v>40973</v>
      </c>
      <c r="B97" s="68">
        <v>7.56</v>
      </c>
      <c r="C97" s="68">
        <v>6880.21</v>
      </c>
      <c r="D97" s="69">
        <f t="shared" si="2"/>
        <v>5.3191489361701372E-3</v>
      </c>
      <c r="E97" s="69">
        <f t="shared" si="3"/>
        <v>-5.9467995498000414E-3</v>
      </c>
      <c r="G97" s="5"/>
      <c r="H97" s="5"/>
    </row>
    <row r="98" spans="1:8" x14ac:dyDescent="0.25">
      <c r="A98" s="67">
        <v>40966</v>
      </c>
      <c r="B98" s="68">
        <v>7.52</v>
      </c>
      <c r="C98" s="68">
        <v>6921.37</v>
      </c>
      <c r="D98" s="69">
        <f t="shared" si="2"/>
        <v>-1.4416775884665833E-2</v>
      </c>
      <c r="E98" s="69">
        <f t="shared" si="3"/>
        <v>8.2949349035534858E-3</v>
      </c>
      <c r="G98" s="5"/>
      <c r="H98" s="5"/>
    </row>
    <row r="99" spans="1:8" x14ac:dyDescent="0.25">
      <c r="A99" s="67">
        <v>40959</v>
      </c>
      <c r="B99" s="68">
        <v>7.63</v>
      </c>
      <c r="C99" s="68">
        <v>6864.43</v>
      </c>
      <c r="D99" s="69">
        <f t="shared" si="2"/>
        <v>-1.8018018018017945E-2</v>
      </c>
      <c r="E99" s="69">
        <f t="shared" si="3"/>
        <v>2.3948493216296995E-3</v>
      </c>
      <c r="G99" s="5"/>
      <c r="H99" s="5"/>
    </row>
    <row r="100" spans="1:8" x14ac:dyDescent="0.25">
      <c r="A100" s="67">
        <v>40952</v>
      </c>
      <c r="B100" s="68">
        <v>7.77</v>
      </c>
      <c r="C100" s="68">
        <v>6848.03</v>
      </c>
      <c r="D100" s="69">
        <f t="shared" si="2"/>
        <v>5.1746442432081263E-3</v>
      </c>
      <c r="E100" s="69">
        <f t="shared" si="3"/>
        <v>2.3169120986827885E-2</v>
      </c>
      <c r="G100" s="5"/>
      <c r="H100" s="5"/>
    </row>
    <row r="101" spans="1:8" x14ac:dyDescent="0.25">
      <c r="A101" s="67">
        <v>40945</v>
      </c>
      <c r="B101" s="68">
        <v>7.73</v>
      </c>
      <c r="C101" s="68">
        <v>6692.96</v>
      </c>
      <c r="D101" s="69">
        <f t="shared" si="2"/>
        <v>9.1383812010443766E-3</v>
      </c>
      <c r="E101" s="69">
        <f t="shared" si="3"/>
        <v>-1.0893098082217723E-2</v>
      </c>
      <c r="G101" s="5"/>
      <c r="H101" s="5"/>
    </row>
    <row r="102" spans="1:8" x14ac:dyDescent="0.25">
      <c r="A102" s="67">
        <v>40938</v>
      </c>
      <c r="B102" s="68">
        <v>7.66</v>
      </c>
      <c r="C102" s="68">
        <v>6766.67</v>
      </c>
      <c r="D102" s="69">
        <f t="shared" si="2"/>
        <v>6.5703022339027584E-3</v>
      </c>
      <c r="E102" s="69">
        <f t="shared" si="3"/>
        <v>3.911099235562765E-2</v>
      </c>
      <c r="G102" s="5"/>
      <c r="H102" s="5"/>
    </row>
    <row r="103" spans="1:8" x14ac:dyDescent="0.25">
      <c r="A103" s="67">
        <v>40931</v>
      </c>
      <c r="B103" s="68">
        <v>7.61</v>
      </c>
      <c r="C103" s="68">
        <v>6511.98</v>
      </c>
      <c r="D103" s="69">
        <f t="shared" si="2"/>
        <v>-5.2287581699346219E-3</v>
      </c>
      <c r="E103" s="69">
        <f t="shared" si="3"/>
        <v>1.6799414151855041E-2</v>
      </c>
      <c r="G103" s="5"/>
      <c r="H103" s="5"/>
    </row>
    <row r="104" spans="1:8" x14ac:dyDescent="0.25">
      <c r="A104" s="67">
        <v>40924</v>
      </c>
      <c r="B104" s="68">
        <v>7.65</v>
      </c>
      <c r="C104" s="68">
        <v>6404.39</v>
      </c>
      <c r="D104" s="69">
        <f t="shared" si="2"/>
        <v>-2.6075619295957697E-3</v>
      </c>
      <c r="E104" s="69">
        <f t="shared" si="3"/>
        <v>4.2537293995845715E-2</v>
      </c>
      <c r="G104" s="5"/>
      <c r="H104" s="5"/>
    </row>
    <row r="105" spans="1:8" x14ac:dyDescent="0.25">
      <c r="A105" s="67">
        <v>40917</v>
      </c>
      <c r="B105" s="68">
        <v>7.67</v>
      </c>
      <c r="C105" s="68">
        <v>6143.08</v>
      </c>
      <c r="D105" s="69">
        <f t="shared" si="2"/>
        <v>-2.6007802340702879E-3</v>
      </c>
      <c r="E105" s="69">
        <f t="shared" si="3"/>
        <v>1.4057630341767435E-2</v>
      </c>
      <c r="G105" s="5"/>
      <c r="H105" s="5"/>
    </row>
    <row r="106" spans="1:8" x14ac:dyDescent="0.25">
      <c r="A106" s="67">
        <v>40910</v>
      </c>
      <c r="B106" s="68">
        <v>7.69</v>
      </c>
      <c r="C106" s="68">
        <v>6057.92</v>
      </c>
      <c r="D106" s="69">
        <f t="shared" si="2"/>
        <v>-1.2987012987012436E-3</v>
      </c>
      <c r="E106" s="69">
        <f t="shared" si="3"/>
        <v>2.7053328473217064E-2</v>
      </c>
      <c r="G106" s="5"/>
      <c r="H106" s="5"/>
    </row>
    <row r="107" spans="1:8" x14ac:dyDescent="0.25">
      <c r="A107" s="67">
        <v>40903</v>
      </c>
      <c r="B107" s="68">
        <v>7.7</v>
      </c>
      <c r="C107" s="68">
        <v>5898.35</v>
      </c>
      <c r="D107" s="69">
        <f t="shared" si="2"/>
        <v>5.2219321148825326E-3</v>
      </c>
      <c r="E107" s="69">
        <f t="shared" si="3"/>
        <v>3.3033222031899623E-3</v>
      </c>
      <c r="G107" s="5"/>
      <c r="H107" s="5"/>
    </row>
    <row r="108" spans="1:8" x14ac:dyDescent="0.25">
      <c r="A108" s="67">
        <v>40896</v>
      </c>
      <c r="B108" s="68">
        <v>7.66</v>
      </c>
      <c r="C108" s="68">
        <v>5878.93</v>
      </c>
      <c r="D108" s="69">
        <f t="shared" si="2"/>
        <v>-1.9206145966709331E-2</v>
      </c>
      <c r="E108" s="69">
        <f t="shared" si="3"/>
        <v>3.1069245042776306E-2</v>
      </c>
      <c r="G108" s="5"/>
      <c r="H108" s="5"/>
    </row>
    <row r="109" spans="1:8" x14ac:dyDescent="0.25">
      <c r="A109" s="67">
        <v>40889</v>
      </c>
      <c r="B109" s="68">
        <v>7.81</v>
      </c>
      <c r="C109" s="68">
        <v>5701.78</v>
      </c>
      <c r="D109" s="69">
        <f t="shared" si="2"/>
        <v>-3.1017369727047273E-2</v>
      </c>
      <c r="E109" s="69">
        <f t="shared" si="3"/>
        <v>-4.7593753497329971E-2</v>
      </c>
      <c r="G109" s="5"/>
      <c r="H109" s="5"/>
    </row>
    <row r="110" spans="1:8" x14ac:dyDescent="0.25">
      <c r="A110" s="67">
        <v>40882</v>
      </c>
      <c r="B110" s="68">
        <v>8.06</v>
      </c>
      <c r="C110" s="68">
        <v>5986.71</v>
      </c>
      <c r="D110" s="69">
        <f t="shared" si="2"/>
        <v>2.4875621890549926E-3</v>
      </c>
      <c r="E110" s="69">
        <f t="shared" si="3"/>
        <v>-1.5453863712611149E-2</v>
      </c>
      <c r="G110" s="5"/>
      <c r="H110" s="5"/>
    </row>
    <row r="111" spans="1:8" x14ac:dyDescent="0.25">
      <c r="A111" s="67">
        <v>40875</v>
      </c>
      <c r="B111" s="68">
        <v>8.0399999999999991</v>
      </c>
      <c r="C111" s="68">
        <v>6080.68</v>
      </c>
      <c r="D111" s="69">
        <f t="shared" si="2"/>
        <v>4.9608355091383727E-2</v>
      </c>
      <c r="E111" s="69">
        <f t="shared" si="3"/>
        <v>0.1070132735710112</v>
      </c>
      <c r="G111" s="5"/>
      <c r="H111" s="5"/>
    </row>
    <row r="112" spans="1:8" x14ac:dyDescent="0.25">
      <c r="A112" s="67">
        <v>40868</v>
      </c>
      <c r="B112" s="68">
        <v>7.66</v>
      </c>
      <c r="C112" s="68">
        <v>5492.87</v>
      </c>
      <c r="D112" s="69">
        <f t="shared" si="2"/>
        <v>-5.0805452292441156E-2</v>
      </c>
      <c r="E112" s="69">
        <f t="shared" si="3"/>
        <v>-5.2992634787526027E-2</v>
      </c>
      <c r="G112" s="5"/>
      <c r="H112" s="5"/>
    </row>
    <row r="113" spans="1:8" x14ac:dyDescent="0.25">
      <c r="A113" s="67">
        <v>40861</v>
      </c>
      <c r="B113" s="68">
        <v>8.07</v>
      </c>
      <c r="C113" s="68">
        <v>5800.24</v>
      </c>
      <c r="D113" s="69">
        <f t="shared" si="2"/>
        <v>-1.3447432762836109E-2</v>
      </c>
      <c r="E113" s="69">
        <f t="shared" si="3"/>
        <v>-4.2395365385345607E-2</v>
      </c>
      <c r="G113" s="5"/>
      <c r="H113" s="5"/>
    </row>
    <row r="114" spans="1:8" x14ac:dyDescent="0.25">
      <c r="A114" s="67">
        <v>40854</v>
      </c>
      <c r="B114" s="68">
        <v>8.18</v>
      </c>
      <c r="C114" s="68">
        <v>6057.03</v>
      </c>
      <c r="D114" s="69">
        <f t="shared" si="2"/>
        <v>4.469987228607919E-2</v>
      </c>
      <c r="E114" s="69">
        <f t="shared" si="3"/>
        <v>1.5230902288909443E-2</v>
      </c>
      <c r="G114" s="5"/>
      <c r="H114" s="5"/>
    </row>
    <row r="115" spans="1:8" x14ac:dyDescent="0.25">
      <c r="A115" s="67">
        <v>40847</v>
      </c>
      <c r="B115" s="68">
        <v>7.83</v>
      </c>
      <c r="C115" s="68">
        <v>5966.16</v>
      </c>
      <c r="D115" s="69">
        <f t="shared" si="2"/>
        <v>-3.5714285714285587E-2</v>
      </c>
      <c r="E115" s="69">
        <f t="shared" si="3"/>
        <v>-5.988317399888754E-2</v>
      </c>
      <c r="G115" s="5"/>
      <c r="H115" s="5"/>
    </row>
    <row r="116" spans="1:8" x14ac:dyDescent="0.25">
      <c r="A116" s="67">
        <v>40840</v>
      </c>
      <c r="B116" s="68">
        <v>8.1199999999999992</v>
      </c>
      <c r="C116" s="68">
        <v>6346.19</v>
      </c>
      <c r="D116" s="69">
        <f t="shared" si="2"/>
        <v>9.9502487562188602E-3</v>
      </c>
      <c r="E116" s="69">
        <f t="shared" si="3"/>
        <v>6.2842490989723609E-2</v>
      </c>
      <c r="G116" s="5"/>
      <c r="H116" s="5"/>
    </row>
    <row r="117" spans="1:8" x14ac:dyDescent="0.25">
      <c r="A117" s="67">
        <v>40833</v>
      </c>
      <c r="B117" s="68">
        <v>8.0399999999999991</v>
      </c>
      <c r="C117" s="68">
        <v>5970.96</v>
      </c>
      <c r="D117" s="69">
        <f t="shared" si="2"/>
        <v>-3.0156815440289475E-2</v>
      </c>
      <c r="E117" s="69">
        <f t="shared" si="3"/>
        <v>6.3011127496981345E-4</v>
      </c>
      <c r="G117" s="5"/>
      <c r="H117" s="5"/>
    </row>
    <row r="118" spans="1:8" x14ac:dyDescent="0.25">
      <c r="A118" s="67">
        <v>40826</v>
      </c>
      <c r="B118" s="68">
        <v>8.2899999999999991</v>
      </c>
      <c r="C118" s="68">
        <v>5967.2</v>
      </c>
      <c r="D118" s="69">
        <f t="shared" si="2"/>
        <v>5.3367217280813062E-2</v>
      </c>
      <c r="E118" s="69">
        <f t="shared" si="3"/>
        <v>5.1359303698222281E-2</v>
      </c>
      <c r="G118" s="5"/>
      <c r="H118" s="5"/>
    </row>
    <row r="119" spans="1:8" x14ac:dyDescent="0.25">
      <c r="A119" s="67">
        <v>40819</v>
      </c>
      <c r="B119" s="68">
        <v>7.87</v>
      </c>
      <c r="C119" s="68">
        <v>5675.7</v>
      </c>
      <c r="D119" s="69">
        <f t="shared" si="2"/>
        <v>2.6075619295958363E-2</v>
      </c>
      <c r="E119" s="69">
        <f t="shared" si="3"/>
        <v>3.1566588271216611E-2</v>
      </c>
      <c r="G119" s="5"/>
      <c r="H119" s="5"/>
    </row>
    <row r="120" spans="1:8" x14ac:dyDescent="0.25">
      <c r="A120" s="67">
        <v>40812</v>
      </c>
      <c r="B120" s="68">
        <v>7.67</v>
      </c>
      <c r="C120" s="68">
        <v>5502.02</v>
      </c>
      <c r="D120" s="69">
        <f t="shared" si="2"/>
        <v>7.4229691876750659E-2</v>
      </c>
      <c r="E120" s="69">
        <f t="shared" si="3"/>
        <v>5.8781193712763802E-2</v>
      </c>
      <c r="G120" s="5"/>
      <c r="H120" s="5"/>
    </row>
    <row r="121" spans="1:8" x14ac:dyDescent="0.25">
      <c r="A121" s="67">
        <v>40805</v>
      </c>
      <c r="B121" s="68">
        <v>7.14</v>
      </c>
      <c r="C121" s="68">
        <v>5196.5600000000004</v>
      </c>
      <c r="D121" s="69">
        <f t="shared" si="2"/>
        <v>-3.2520325203252098E-2</v>
      </c>
      <c r="E121" s="69">
        <f t="shared" si="3"/>
        <v>-6.7632425527181184E-2</v>
      </c>
      <c r="G121" s="5"/>
      <c r="H121" s="5"/>
    </row>
    <row r="122" spans="1:8" x14ac:dyDescent="0.25">
      <c r="A122" s="67">
        <v>40798</v>
      </c>
      <c r="B122" s="68">
        <v>7.38</v>
      </c>
      <c r="C122" s="68">
        <v>5573.51</v>
      </c>
      <c r="D122" s="69">
        <f t="shared" si="2"/>
        <v>4.3847241867043696E-2</v>
      </c>
      <c r="E122" s="69">
        <f t="shared" si="3"/>
        <v>7.3908511290132983E-2</v>
      </c>
      <c r="G122" s="5"/>
      <c r="H122" s="5"/>
    </row>
    <row r="123" spans="1:8" x14ac:dyDescent="0.25">
      <c r="A123" s="67">
        <v>40791</v>
      </c>
      <c r="B123" s="68">
        <v>7.07</v>
      </c>
      <c r="C123" s="68">
        <v>5189.93</v>
      </c>
      <c r="D123" s="69">
        <f t="shared" si="2"/>
        <v>-6.7282321899736153E-2</v>
      </c>
      <c r="E123" s="69">
        <f t="shared" si="3"/>
        <v>-6.2907049597983433E-2</v>
      </c>
      <c r="G123" s="5"/>
      <c r="H123" s="5"/>
    </row>
    <row r="124" spans="1:8" x14ac:dyDescent="0.25">
      <c r="A124" s="67">
        <v>40784</v>
      </c>
      <c r="B124" s="68">
        <v>7.58</v>
      </c>
      <c r="C124" s="68">
        <v>5538.33</v>
      </c>
      <c r="D124" s="69">
        <f t="shared" si="2"/>
        <v>-6.879606879606881E-2</v>
      </c>
      <c r="E124" s="69">
        <f t="shared" si="3"/>
        <v>1.5349942573172903E-4</v>
      </c>
      <c r="G124" s="5"/>
      <c r="H124" s="5"/>
    </row>
    <row r="125" spans="1:8" x14ac:dyDescent="0.25">
      <c r="A125" s="67">
        <v>40777</v>
      </c>
      <c r="B125" s="68">
        <v>8.14</v>
      </c>
      <c r="C125" s="68">
        <v>5537.48</v>
      </c>
      <c r="D125" s="69">
        <f t="shared" si="2"/>
        <v>4.0920716112532007E-2</v>
      </c>
      <c r="E125" s="69">
        <f t="shared" si="3"/>
        <v>1.0489051094890511E-2</v>
      </c>
      <c r="G125" s="5"/>
      <c r="H125" s="5"/>
    </row>
    <row r="126" spans="1:8" x14ac:dyDescent="0.25">
      <c r="A126" s="67">
        <v>40770</v>
      </c>
      <c r="B126" s="68">
        <v>7.82</v>
      </c>
      <c r="C126" s="68">
        <v>5480</v>
      </c>
      <c r="D126" s="69">
        <f t="shared" si="2"/>
        <v>-5.4413542926239344E-2</v>
      </c>
      <c r="E126" s="69">
        <f t="shared" si="3"/>
        <v>-8.6322514813913176E-2</v>
      </c>
      <c r="G126" s="5"/>
      <c r="H126" s="5"/>
    </row>
    <row r="127" spans="1:8" x14ac:dyDescent="0.25">
      <c r="A127" s="67">
        <v>40763</v>
      </c>
      <c r="B127" s="68">
        <v>8.27</v>
      </c>
      <c r="C127" s="68">
        <v>5997.74</v>
      </c>
      <c r="D127" s="69">
        <f t="shared" si="2"/>
        <v>-4.3930635838150378E-2</v>
      </c>
      <c r="E127" s="69">
        <f t="shared" si="3"/>
        <v>-3.8231860632183867E-2</v>
      </c>
      <c r="G127" s="5"/>
      <c r="H127" s="5"/>
    </row>
    <row r="128" spans="1:8" x14ac:dyDescent="0.25">
      <c r="A128" s="67">
        <v>40756</v>
      </c>
      <c r="B128" s="68">
        <v>8.65</v>
      </c>
      <c r="C128" s="68">
        <v>6236.16</v>
      </c>
      <c r="D128" s="69">
        <f t="shared" si="2"/>
        <v>-8.0765143464399558E-2</v>
      </c>
      <c r="E128" s="69">
        <f t="shared" si="3"/>
        <v>-0.12887828495677334</v>
      </c>
      <c r="G128" s="5"/>
      <c r="H128" s="5"/>
    </row>
    <row r="129" spans="1:8" x14ac:dyDescent="0.25">
      <c r="A129" s="67">
        <v>40749</v>
      </c>
      <c r="B129" s="68">
        <v>9.41</v>
      </c>
      <c r="C129" s="68">
        <v>7158.77</v>
      </c>
      <c r="D129" s="69">
        <f t="shared" si="2"/>
        <v>1.1827956989247213E-2</v>
      </c>
      <c r="E129" s="69">
        <f t="shared" si="3"/>
        <v>-2.2878934918834526E-2</v>
      </c>
      <c r="G129" s="5"/>
      <c r="H129" s="5"/>
    </row>
    <row r="130" spans="1:8" x14ac:dyDescent="0.25">
      <c r="A130" s="67">
        <v>40742</v>
      </c>
      <c r="B130" s="68">
        <v>9.3000000000000007</v>
      </c>
      <c r="C130" s="68">
        <v>7326.39</v>
      </c>
      <c r="D130" s="69">
        <f t="shared" si="2"/>
        <v>4.3771043771043905E-2</v>
      </c>
      <c r="E130" s="69">
        <f t="shared" si="3"/>
        <v>1.4718591934760106E-2</v>
      </c>
      <c r="G130" s="5"/>
      <c r="H130" s="5"/>
    </row>
    <row r="131" spans="1:8" x14ac:dyDescent="0.25">
      <c r="A131" s="67">
        <v>40735</v>
      </c>
      <c r="B131" s="68">
        <v>8.91</v>
      </c>
      <c r="C131" s="68">
        <v>7220.12</v>
      </c>
      <c r="D131" s="69">
        <f t="shared" ref="D131:D194" si="4">B131/B132-1</f>
        <v>-2.9411764705882359E-2</v>
      </c>
      <c r="E131" s="69">
        <f t="shared" ref="E131:E194" si="5">C131/C132-1</f>
        <v>-2.4667926562227716E-2</v>
      </c>
      <c r="G131" s="5"/>
      <c r="H131" s="5"/>
    </row>
    <row r="132" spans="1:8" x14ac:dyDescent="0.25">
      <c r="A132" s="67">
        <v>40728</v>
      </c>
      <c r="B132" s="68">
        <v>9.18</v>
      </c>
      <c r="C132" s="68">
        <v>7402.73</v>
      </c>
      <c r="D132" s="69">
        <f t="shared" si="4"/>
        <v>-1.0775862068965525E-2</v>
      </c>
      <c r="E132" s="69">
        <f t="shared" si="5"/>
        <v>-2.2521915400622872E-3</v>
      </c>
      <c r="G132" s="5"/>
      <c r="H132" s="5"/>
    </row>
    <row r="133" spans="1:8" x14ac:dyDescent="0.25">
      <c r="A133" s="67">
        <v>40721</v>
      </c>
      <c r="B133" s="68">
        <v>9.2799999999999994</v>
      </c>
      <c r="C133" s="68">
        <v>7419.44</v>
      </c>
      <c r="D133" s="69">
        <f t="shared" si="4"/>
        <v>2.9966703662597016E-2</v>
      </c>
      <c r="E133" s="69">
        <f t="shared" si="5"/>
        <v>4.1854247350934681E-2</v>
      </c>
      <c r="G133" s="5"/>
      <c r="H133" s="5"/>
    </row>
    <row r="134" spans="1:8" x14ac:dyDescent="0.25">
      <c r="A134" s="67">
        <v>40714</v>
      </c>
      <c r="B134" s="68">
        <v>9.01</v>
      </c>
      <c r="C134" s="68">
        <v>7121.38</v>
      </c>
      <c r="D134" s="69">
        <f t="shared" si="4"/>
        <v>-9.890109890109855E-3</v>
      </c>
      <c r="E134" s="69">
        <f t="shared" si="5"/>
        <v>-5.9561281677263933E-3</v>
      </c>
      <c r="G134" s="5"/>
      <c r="H134" s="5"/>
    </row>
    <row r="135" spans="1:8" x14ac:dyDescent="0.25">
      <c r="A135" s="67">
        <v>40707</v>
      </c>
      <c r="B135" s="68">
        <v>9.1</v>
      </c>
      <c r="C135" s="68">
        <v>7164.05</v>
      </c>
      <c r="D135" s="69">
        <f t="shared" si="4"/>
        <v>3.409090909090895E-2</v>
      </c>
      <c r="E135" s="69">
        <f t="shared" si="5"/>
        <v>1.3317020042716399E-2</v>
      </c>
      <c r="G135" s="5"/>
      <c r="H135" s="5"/>
    </row>
    <row r="136" spans="1:8" x14ac:dyDescent="0.25">
      <c r="A136" s="67">
        <v>40700</v>
      </c>
      <c r="B136" s="68">
        <v>8.8000000000000007</v>
      </c>
      <c r="C136" s="68">
        <v>7069.9</v>
      </c>
      <c r="D136" s="69">
        <f t="shared" si="4"/>
        <v>1.0332950631458004E-2</v>
      </c>
      <c r="E136" s="69">
        <f t="shared" si="5"/>
        <v>-5.5042671081708683E-3</v>
      </c>
      <c r="G136" s="5"/>
      <c r="H136" s="5"/>
    </row>
    <row r="137" spans="1:8" x14ac:dyDescent="0.25">
      <c r="A137" s="67">
        <v>40693</v>
      </c>
      <c r="B137" s="68">
        <v>8.7100000000000009</v>
      </c>
      <c r="C137" s="68">
        <v>7109.03</v>
      </c>
      <c r="D137" s="69">
        <f t="shared" si="4"/>
        <v>-1.0227272727272751E-2</v>
      </c>
      <c r="E137" s="69">
        <f t="shared" si="5"/>
        <v>-7.5996688755589625E-3</v>
      </c>
      <c r="G137" s="5"/>
      <c r="H137" s="5"/>
    </row>
    <row r="138" spans="1:8" x14ac:dyDescent="0.25">
      <c r="A138" s="67">
        <v>40686</v>
      </c>
      <c r="B138" s="68">
        <v>8.8000000000000007</v>
      </c>
      <c r="C138" s="68">
        <v>7163.47</v>
      </c>
      <c r="D138" s="69">
        <f t="shared" si="4"/>
        <v>-3.5087719298245501E-2</v>
      </c>
      <c r="E138" s="69">
        <f t="shared" si="5"/>
        <v>-1.4222176963238353E-2</v>
      </c>
      <c r="G138" s="5"/>
      <c r="H138" s="5"/>
    </row>
    <row r="139" spans="1:8" x14ac:dyDescent="0.25">
      <c r="A139" s="67">
        <v>40679</v>
      </c>
      <c r="B139" s="68">
        <v>9.1199999999999992</v>
      </c>
      <c r="C139" s="68">
        <v>7266.82</v>
      </c>
      <c r="D139" s="69">
        <f t="shared" si="4"/>
        <v>1.097694840834329E-3</v>
      </c>
      <c r="E139" s="69">
        <f t="shared" si="5"/>
        <v>-1.8436348065932751E-2</v>
      </c>
      <c r="G139" s="5"/>
      <c r="H139" s="5"/>
    </row>
    <row r="140" spans="1:8" x14ac:dyDescent="0.25">
      <c r="A140" s="67">
        <v>40672</v>
      </c>
      <c r="B140" s="68">
        <v>9.11</v>
      </c>
      <c r="C140" s="68">
        <v>7403.31</v>
      </c>
      <c r="D140" s="69">
        <f t="shared" si="4"/>
        <v>-2.0430107526881902E-2</v>
      </c>
      <c r="E140" s="69">
        <f t="shared" si="5"/>
        <v>-1.1870933297740915E-2</v>
      </c>
      <c r="G140" s="5"/>
      <c r="H140" s="5"/>
    </row>
    <row r="141" spans="1:8" x14ac:dyDescent="0.25">
      <c r="A141" s="67">
        <v>40665</v>
      </c>
      <c r="B141" s="68">
        <v>9.3000000000000007</v>
      </c>
      <c r="C141" s="68">
        <v>7492.25</v>
      </c>
      <c r="D141" s="69">
        <f t="shared" si="4"/>
        <v>1.0764262648010892E-3</v>
      </c>
      <c r="E141" s="69">
        <f t="shared" si="5"/>
        <v>-2.9556348693052792E-3</v>
      </c>
      <c r="G141" s="5"/>
      <c r="H141" s="5"/>
    </row>
    <row r="142" spans="1:8" x14ac:dyDescent="0.25">
      <c r="A142" s="67">
        <v>40659</v>
      </c>
      <c r="B142" s="68">
        <v>9.2899999999999991</v>
      </c>
      <c r="C142" s="68">
        <v>7514.46</v>
      </c>
      <c r="D142" s="69">
        <f t="shared" si="4"/>
        <v>1.4192139737991161E-2</v>
      </c>
      <c r="E142" s="69">
        <f t="shared" si="5"/>
        <v>3.0014433574715449E-2</v>
      </c>
      <c r="G142" s="5"/>
      <c r="H142" s="5"/>
    </row>
    <row r="143" spans="1:8" x14ac:dyDescent="0.25">
      <c r="A143" s="67">
        <v>40651</v>
      </c>
      <c r="B143" s="68">
        <v>9.16</v>
      </c>
      <c r="C143" s="68">
        <v>7295.49</v>
      </c>
      <c r="D143" s="69">
        <f t="shared" si="4"/>
        <v>-1.8220793140407254E-2</v>
      </c>
      <c r="E143" s="69">
        <f t="shared" si="5"/>
        <v>1.6327008242910113E-2</v>
      </c>
      <c r="G143" s="5"/>
      <c r="H143" s="5"/>
    </row>
    <row r="144" spans="1:8" x14ac:dyDescent="0.25">
      <c r="A144" s="67">
        <v>40644</v>
      </c>
      <c r="B144" s="68">
        <v>9.33</v>
      </c>
      <c r="C144" s="68">
        <v>7178.29</v>
      </c>
      <c r="D144" s="69">
        <f t="shared" si="4"/>
        <v>1.7448200654307522E-2</v>
      </c>
      <c r="E144" s="69">
        <f t="shared" si="5"/>
        <v>-5.3664809020897986E-3</v>
      </c>
      <c r="G144" s="5"/>
      <c r="H144" s="5"/>
    </row>
    <row r="145" spans="1:8" x14ac:dyDescent="0.25">
      <c r="A145" s="67">
        <v>40637</v>
      </c>
      <c r="B145" s="68">
        <v>9.17</v>
      </c>
      <c r="C145" s="68">
        <v>7217.02</v>
      </c>
      <c r="D145" s="69">
        <f t="shared" si="4"/>
        <v>-2.1762785636560977E-3</v>
      </c>
      <c r="E145" s="69">
        <f t="shared" si="5"/>
        <v>5.1825883971861053E-3</v>
      </c>
      <c r="G145" s="5"/>
      <c r="H145" s="5"/>
    </row>
    <row r="146" spans="1:8" x14ac:dyDescent="0.25">
      <c r="A146" s="67">
        <v>40630</v>
      </c>
      <c r="B146" s="68">
        <v>9.19</v>
      </c>
      <c r="C146" s="68">
        <v>7179.81</v>
      </c>
      <c r="D146" s="69">
        <f t="shared" si="4"/>
        <v>3.3745781777277717E-2</v>
      </c>
      <c r="E146" s="69">
        <f t="shared" si="5"/>
        <v>3.3607529699007932E-2</v>
      </c>
      <c r="G146" s="5"/>
      <c r="H146" s="5"/>
    </row>
    <row r="147" spans="1:8" x14ac:dyDescent="0.25">
      <c r="A147" s="67">
        <v>40623</v>
      </c>
      <c r="B147" s="68">
        <v>8.89</v>
      </c>
      <c r="C147" s="68">
        <v>6946.36</v>
      </c>
      <c r="D147" s="69">
        <f t="shared" si="4"/>
        <v>0.1182389937106918</v>
      </c>
      <c r="E147" s="69">
        <f t="shared" si="5"/>
        <v>4.2308384850849201E-2</v>
      </c>
      <c r="G147" s="5"/>
      <c r="H147" s="5"/>
    </row>
    <row r="148" spans="1:8" x14ac:dyDescent="0.25">
      <c r="A148" s="67">
        <v>40616</v>
      </c>
      <c r="B148" s="68">
        <v>7.95</v>
      </c>
      <c r="C148" s="68">
        <v>6664.4</v>
      </c>
      <c r="D148" s="69">
        <f t="shared" si="4"/>
        <v>-5.5819477434679299E-2</v>
      </c>
      <c r="E148" s="69">
        <f t="shared" si="5"/>
        <v>-4.5418671372443487E-2</v>
      </c>
      <c r="G148" s="5"/>
      <c r="H148" s="5"/>
    </row>
    <row r="149" spans="1:8" x14ac:dyDescent="0.25">
      <c r="A149" s="67">
        <v>40609</v>
      </c>
      <c r="B149" s="68">
        <v>8.42</v>
      </c>
      <c r="C149" s="68">
        <v>6981.49</v>
      </c>
      <c r="D149" s="69">
        <f t="shared" si="4"/>
        <v>4.7263681592039974E-2</v>
      </c>
      <c r="E149" s="69">
        <f t="shared" si="5"/>
        <v>-2.7498641853208716E-2</v>
      </c>
      <c r="G149" s="5"/>
      <c r="H149" s="5"/>
    </row>
    <row r="150" spans="1:8" x14ac:dyDescent="0.25">
      <c r="A150" s="67">
        <v>40602</v>
      </c>
      <c r="B150" s="68">
        <v>8.0399999999999991</v>
      </c>
      <c r="C150" s="68">
        <v>7178.9</v>
      </c>
      <c r="D150" s="69">
        <f t="shared" si="4"/>
        <v>-3.7174721189592308E-3</v>
      </c>
      <c r="E150" s="69">
        <f t="shared" si="5"/>
        <v>-8.7263071019894056E-4</v>
      </c>
      <c r="G150" s="5"/>
      <c r="H150" s="5"/>
    </row>
    <row r="151" spans="1:8" x14ac:dyDescent="0.25">
      <c r="A151" s="67">
        <v>40595</v>
      </c>
      <c r="B151" s="68">
        <v>8.07</v>
      </c>
      <c r="C151" s="68">
        <v>7185.17</v>
      </c>
      <c r="D151" s="69">
        <f t="shared" si="4"/>
        <v>-2.6537997587454676E-2</v>
      </c>
      <c r="E151" s="69">
        <f t="shared" si="5"/>
        <v>-3.2536176366434577E-2</v>
      </c>
      <c r="G151" s="5"/>
      <c r="H151" s="5"/>
    </row>
    <row r="152" spans="1:8" x14ac:dyDescent="0.25">
      <c r="A152" s="67">
        <v>40588</v>
      </c>
      <c r="B152" s="68">
        <v>8.2899999999999991</v>
      </c>
      <c r="C152" s="68">
        <v>7426.81</v>
      </c>
      <c r="D152" s="69">
        <f t="shared" si="4"/>
        <v>1.0975609756097571E-2</v>
      </c>
      <c r="E152" s="69">
        <f t="shared" si="5"/>
        <v>7.5442261775560127E-3</v>
      </c>
      <c r="G152" s="5"/>
      <c r="H152" s="5"/>
    </row>
    <row r="153" spans="1:8" x14ac:dyDescent="0.25">
      <c r="A153" s="67">
        <v>40581</v>
      </c>
      <c r="B153" s="68">
        <v>8.1999999999999993</v>
      </c>
      <c r="C153" s="68">
        <v>7371.2</v>
      </c>
      <c r="D153" s="69">
        <f t="shared" si="4"/>
        <v>-1.6786570743405393E-2</v>
      </c>
      <c r="E153" s="69">
        <f t="shared" si="5"/>
        <v>2.1478033482950076E-2</v>
      </c>
      <c r="G153" s="5"/>
      <c r="H153" s="5"/>
    </row>
    <row r="154" spans="1:8" x14ac:dyDescent="0.25">
      <c r="A154" s="67">
        <v>40574</v>
      </c>
      <c r="B154" s="68">
        <v>8.34</v>
      </c>
      <c r="C154" s="68">
        <v>7216.21</v>
      </c>
      <c r="D154" s="69">
        <f t="shared" si="4"/>
        <v>3.4739454094292688E-2</v>
      </c>
      <c r="E154" s="69">
        <f t="shared" si="5"/>
        <v>1.5966942614180413E-2</v>
      </c>
      <c r="G154" s="5"/>
      <c r="H154" s="5"/>
    </row>
    <row r="155" spans="1:8" x14ac:dyDescent="0.25">
      <c r="A155" s="67">
        <v>40567</v>
      </c>
      <c r="B155" s="68">
        <v>8.06</v>
      </c>
      <c r="C155" s="68">
        <v>7102.8</v>
      </c>
      <c r="D155" s="69">
        <f t="shared" si="4"/>
        <v>-2.1844660194174748E-2</v>
      </c>
      <c r="E155" s="69">
        <f t="shared" si="5"/>
        <v>5.7175868894798754E-3</v>
      </c>
      <c r="G155" s="5"/>
      <c r="H155" s="5"/>
    </row>
    <row r="156" spans="1:8" x14ac:dyDescent="0.25">
      <c r="A156" s="67">
        <v>40560</v>
      </c>
      <c r="B156" s="68">
        <v>8.24</v>
      </c>
      <c r="C156" s="68">
        <v>7062.42</v>
      </c>
      <c r="D156" s="69">
        <f t="shared" si="4"/>
        <v>3.2581453634085156E-2</v>
      </c>
      <c r="E156" s="69">
        <f t="shared" si="5"/>
        <v>-1.8768461070989284E-3</v>
      </c>
      <c r="G156" s="5"/>
      <c r="H156" s="5"/>
    </row>
    <row r="157" spans="1:8" x14ac:dyDescent="0.25">
      <c r="A157" s="67">
        <v>40553</v>
      </c>
      <c r="B157" s="68">
        <v>7.98</v>
      </c>
      <c r="C157" s="68">
        <v>7075.7</v>
      </c>
      <c r="D157" s="69">
        <f t="shared" si="4"/>
        <v>-2.3255813953488302E-2</v>
      </c>
      <c r="E157" s="69">
        <f t="shared" si="5"/>
        <v>1.8402841746499643E-2</v>
      </c>
      <c r="G157" s="5"/>
      <c r="H157" s="5"/>
    </row>
    <row r="158" spans="1:8" x14ac:dyDescent="0.25">
      <c r="A158" s="67">
        <v>40546</v>
      </c>
      <c r="B158" s="68">
        <v>8.17</v>
      </c>
      <c r="C158" s="68">
        <v>6947.84</v>
      </c>
      <c r="D158" s="69">
        <f t="shared" si="4"/>
        <v>2.1249999999999991E-2</v>
      </c>
      <c r="E158" s="69">
        <f t="shared" si="5"/>
        <v>4.8668029082221675E-3</v>
      </c>
      <c r="G158" s="5"/>
      <c r="H158" s="5"/>
    </row>
    <row r="159" spans="1:8" x14ac:dyDescent="0.25">
      <c r="A159" s="67">
        <v>40539</v>
      </c>
      <c r="B159" s="68">
        <v>8</v>
      </c>
      <c r="C159" s="68">
        <v>6914.19</v>
      </c>
      <c r="D159" s="69">
        <f t="shared" si="4"/>
        <v>-3.7359900373598043E-3</v>
      </c>
      <c r="E159" s="69">
        <f t="shared" si="5"/>
        <v>-2.0332431716326482E-2</v>
      </c>
      <c r="G159" s="5"/>
      <c r="H159" s="5"/>
    </row>
    <row r="160" spans="1:8" x14ac:dyDescent="0.25">
      <c r="A160" s="67">
        <v>40532</v>
      </c>
      <c r="B160" s="68">
        <v>8.0299999999999994</v>
      </c>
      <c r="C160" s="68">
        <v>7057.69</v>
      </c>
      <c r="D160" s="69">
        <f t="shared" si="4"/>
        <v>2.4968789013732895E-3</v>
      </c>
      <c r="E160" s="69">
        <f t="shared" si="5"/>
        <v>1.0775587365466244E-2</v>
      </c>
      <c r="G160" s="5"/>
      <c r="H160" s="5"/>
    </row>
    <row r="161" spans="1:8" x14ac:dyDescent="0.25">
      <c r="A161" s="67">
        <v>40525</v>
      </c>
      <c r="B161" s="68">
        <v>8.01</v>
      </c>
      <c r="C161" s="68">
        <v>6982.45</v>
      </c>
      <c r="D161" s="69">
        <f t="shared" si="4"/>
        <v>-2.19780219780219E-2</v>
      </c>
      <c r="E161" s="69">
        <f t="shared" si="5"/>
        <v>-3.3855872752159843E-3</v>
      </c>
      <c r="G161" s="5"/>
      <c r="H161" s="5"/>
    </row>
    <row r="162" spans="1:8" x14ac:dyDescent="0.25">
      <c r="A162" s="67">
        <v>40518</v>
      </c>
      <c r="B162" s="68">
        <v>8.19</v>
      </c>
      <c r="C162" s="68">
        <v>7006.17</v>
      </c>
      <c r="D162" s="69">
        <f t="shared" si="4"/>
        <v>-7.2727272727273196E-3</v>
      </c>
      <c r="E162" s="69">
        <f t="shared" si="5"/>
        <v>8.412831835479917E-3</v>
      </c>
      <c r="G162" s="5"/>
      <c r="H162" s="5"/>
    </row>
    <row r="163" spans="1:8" x14ac:dyDescent="0.25">
      <c r="A163" s="67">
        <v>40511</v>
      </c>
      <c r="B163" s="68">
        <v>8.25</v>
      </c>
      <c r="C163" s="68">
        <v>6947.72</v>
      </c>
      <c r="D163" s="69">
        <f t="shared" si="4"/>
        <v>-1.210653753026647E-3</v>
      </c>
      <c r="E163" s="69">
        <f t="shared" si="5"/>
        <v>1.4416745267178621E-2</v>
      </c>
      <c r="G163" s="5"/>
      <c r="H163" s="5"/>
    </row>
    <row r="164" spans="1:8" x14ac:dyDescent="0.25">
      <c r="A164" s="67">
        <v>40504</v>
      </c>
      <c r="B164" s="68">
        <v>8.26</v>
      </c>
      <c r="C164" s="68">
        <v>6848.98</v>
      </c>
      <c r="D164" s="69">
        <f t="shared" si="4"/>
        <v>-1.4319809069212486E-2</v>
      </c>
      <c r="E164" s="69">
        <f t="shared" si="5"/>
        <v>7.9344784505108734E-4</v>
      </c>
      <c r="G164" s="5"/>
      <c r="H164" s="5"/>
    </row>
    <row r="165" spans="1:8" x14ac:dyDescent="0.25">
      <c r="A165" s="67">
        <v>40497</v>
      </c>
      <c r="B165" s="68">
        <v>8.3800000000000008</v>
      </c>
      <c r="C165" s="68">
        <v>6843.55</v>
      </c>
      <c r="D165" s="69">
        <f t="shared" si="4"/>
        <v>0</v>
      </c>
      <c r="E165" s="69">
        <f t="shared" si="5"/>
        <v>1.6176140860421073E-2</v>
      </c>
      <c r="G165" s="5"/>
      <c r="H165" s="5"/>
    </row>
    <row r="166" spans="1:8" x14ac:dyDescent="0.25">
      <c r="A166" s="67">
        <v>40490</v>
      </c>
      <c r="B166" s="68">
        <v>8.3800000000000008</v>
      </c>
      <c r="C166" s="68">
        <v>6734.61</v>
      </c>
      <c r="D166" s="69">
        <f t="shared" si="4"/>
        <v>-9.4562647754137252E-3</v>
      </c>
      <c r="E166" s="69">
        <f t="shared" si="5"/>
        <v>-2.9004175179888625E-3</v>
      </c>
      <c r="G166" s="5"/>
      <c r="H166" s="5"/>
    </row>
    <row r="167" spans="1:8" x14ac:dyDescent="0.25">
      <c r="A167" s="67">
        <v>40483</v>
      </c>
      <c r="B167" s="68">
        <v>8.4600000000000009</v>
      </c>
      <c r="C167" s="68">
        <v>6754.2</v>
      </c>
      <c r="D167" s="69">
        <f t="shared" si="4"/>
        <v>-1.8561484918793281E-2</v>
      </c>
      <c r="E167" s="69">
        <f t="shared" si="5"/>
        <v>2.3151254966772061E-2</v>
      </c>
      <c r="G167" s="5"/>
      <c r="H167" s="5"/>
    </row>
    <row r="168" spans="1:8" x14ac:dyDescent="0.25">
      <c r="A168" s="67">
        <v>40476</v>
      </c>
      <c r="B168" s="68">
        <v>8.6199999999999992</v>
      </c>
      <c r="C168" s="68">
        <v>6601.37</v>
      </c>
      <c r="D168" s="69">
        <f t="shared" si="4"/>
        <v>3.4813925570227999E-2</v>
      </c>
      <c r="E168" s="69">
        <f t="shared" si="5"/>
        <v>-6.7667397333270873E-4</v>
      </c>
      <c r="G168" s="5"/>
      <c r="H168" s="5"/>
    </row>
    <row r="169" spans="1:8" x14ac:dyDescent="0.25">
      <c r="A169" s="67">
        <v>40469</v>
      </c>
      <c r="B169" s="68">
        <v>8.33</v>
      </c>
      <c r="C169" s="68">
        <v>6605.84</v>
      </c>
      <c r="D169" s="69">
        <f t="shared" si="4"/>
        <v>-4.7789725209078648E-3</v>
      </c>
      <c r="E169" s="69">
        <f t="shared" si="5"/>
        <v>1.7488409346456457E-2</v>
      </c>
      <c r="G169" s="5"/>
      <c r="H169" s="5"/>
    </row>
    <row r="170" spans="1:8" x14ac:dyDescent="0.25">
      <c r="A170" s="67">
        <v>40462</v>
      </c>
      <c r="B170" s="68">
        <v>8.3699999999999992</v>
      </c>
      <c r="C170" s="68">
        <v>6492.3</v>
      </c>
      <c r="D170" s="69">
        <f t="shared" si="4"/>
        <v>1.9488428745432218E-2</v>
      </c>
      <c r="E170" s="69">
        <f t="shared" si="5"/>
        <v>3.1888195026121835E-2</v>
      </c>
      <c r="G170" s="5"/>
      <c r="H170" s="5"/>
    </row>
    <row r="171" spans="1:8" x14ac:dyDescent="0.25">
      <c r="A171" s="67">
        <v>40455</v>
      </c>
      <c r="B171" s="68">
        <v>8.2100000000000009</v>
      </c>
      <c r="C171" s="68">
        <v>6291.67</v>
      </c>
      <c r="D171" s="69">
        <f t="shared" si="4"/>
        <v>-1.4405762304921854E-2</v>
      </c>
      <c r="E171" s="69">
        <f t="shared" si="5"/>
        <v>1.293279710980233E-2</v>
      </c>
      <c r="G171" s="5"/>
      <c r="H171" s="5"/>
    </row>
    <row r="172" spans="1:8" x14ac:dyDescent="0.25">
      <c r="A172" s="67">
        <v>40448</v>
      </c>
      <c r="B172" s="68">
        <v>8.33</v>
      </c>
      <c r="C172" s="68">
        <v>6211.34</v>
      </c>
      <c r="D172" s="69">
        <f t="shared" si="4"/>
        <v>-1.6528925619834767E-2</v>
      </c>
      <c r="E172" s="69">
        <f t="shared" si="5"/>
        <v>-1.3806900274677347E-2</v>
      </c>
      <c r="G172" s="5"/>
      <c r="H172" s="5"/>
    </row>
    <row r="173" spans="1:8" x14ac:dyDescent="0.25">
      <c r="A173" s="67">
        <v>40441</v>
      </c>
      <c r="B173" s="68">
        <v>8.4700000000000006</v>
      </c>
      <c r="C173" s="68">
        <v>6298.3</v>
      </c>
      <c r="D173" s="69">
        <f t="shared" si="4"/>
        <v>-1.0514018691588745E-2</v>
      </c>
      <c r="E173" s="69">
        <f t="shared" si="5"/>
        <v>1.4258199994846787E-2</v>
      </c>
      <c r="G173" s="5"/>
      <c r="H173" s="5"/>
    </row>
    <row r="174" spans="1:8" x14ac:dyDescent="0.25">
      <c r="A174" s="67">
        <v>40434</v>
      </c>
      <c r="B174" s="68">
        <v>8.56</v>
      </c>
      <c r="C174" s="68">
        <v>6209.76</v>
      </c>
      <c r="D174" s="69">
        <f t="shared" si="4"/>
        <v>-1.0404624277456587E-2</v>
      </c>
      <c r="E174" s="69">
        <f t="shared" si="5"/>
        <v>-8.0614407291024204E-4</v>
      </c>
      <c r="G174" s="5"/>
      <c r="H174" s="5"/>
    </row>
    <row r="175" spans="1:8" x14ac:dyDescent="0.25">
      <c r="A175" s="67">
        <v>40427</v>
      </c>
      <c r="B175" s="68">
        <v>8.65</v>
      </c>
      <c r="C175" s="68">
        <v>6214.77</v>
      </c>
      <c r="D175" s="69">
        <f t="shared" si="4"/>
        <v>6.9848661233993248E-3</v>
      </c>
      <c r="E175" s="69">
        <f t="shared" si="5"/>
        <v>1.3065193932142671E-2</v>
      </c>
      <c r="G175" s="5"/>
      <c r="H175" s="5"/>
    </row>
    <row r="176" spans="1:8" x14ac:dyDescent="0.25">
      <c r="A176" s="67">
        <v>40420</v>
      </c>
      <c r="B176" s="68">
        <v>8.59</v>
      </c>
      <c r="C176" s="68">
        <v>6134.62</v>
      </c>
      <c r="D176" s="69">
        <f t="shared" si="4"/>
        <v>-3.4802784222737193E-3</v>
      </c>
      <c r="E176" s="69">
        <f t="shared" si="5"/>
        <v>3.0825871215240053E-2</v>
      </c>
      <c r="G176" s="5"/>
      <c r="H176" s="5"/>
    </row>
    <row r="177" spans="1:8" x14ac:dyDescent="0.25">
      <c r="A177" s="67">
        <v>40413</v>
      </c>
      <c r="B177" s="68">
        <v>8.6199999999999992</v>
      </c>
      <c r="C177" s="68">
        <v>5951.17</v>
      </c>
      <c r="D177" s="69">
        <f t="shared" si="4"/>
        <v>2.9868578255675127E-2</v>
      </c>
      <c r="E177" s="69">
        <f t="shared" si="5"/>
        <v>-8.9906014161154069E-3</v>
      </c>
      <c r="G177" s="5"/>
      <c r="H177" s="5"/>
    </row>
    <row r="178" spans="1:8" x14ac:dyDescent="0.25">
      <c r="A178" s="67">
        <v>40406</v>
      </c>
      <c r="B178" s="68">
        <v>8.3699999999999992</v>
      </c>
      <c r="C178" s="68">
        <v>6005.16</v>
      </c>
      <c r="D178" s="69">
        <f t="shared" si="4"/>
        <v>-3.6823935558112808E-2</v>
      </c>
      <c r="E178" s="69">
        <f t="shared" si="5"/>
        <v>-1.7224703415973708E-2</v>
      </c>
      <c r="G178" s="5"/>
      <c r="H178" s="5"/>
    </row>
    <row r="179" spans="1:8" x14ac:dyDescent="0.25">
      <c r="A179" s="67">
        <v>40399</v>
      </c>
      <c r="B179" s="68">
        <v>8.69</v>
      </c>
      <c r="C179" s="68">
        <v>6110.41</v>
      </c>
      <c r="D179" s="69">
        <f t="shared" si="4"/>
        <v>3.3293697978596937E-2</v>
      </c>
      <c r="E179" s="69">
        <f t="shared" si="5"/>
        <v>-2.383846968590797E-2</v>
      </c>
      <c r="G179" s="5"/>
      <c r="H179" s="5"/>
    </row>
    <row r="180" spans="1:8" x14ac:dyDescent="0.25">
      <c r="A180" s="67">
        <v>40392</v>
      </c>
      <c r="B180" s="68">
        <v>8.41</v>
      </c>
      <c r="C180" s="68">
        <v>6259.63</v>
      </c>
      <c r="D180" s="69">
        <f t="shared" si="4"/>
        <v>-1.5222482435597096E-2</v>
      </c>
      <c r="E180" s="69">
        <f t="shared" si="5"/>
        <v>1.8162092528102747E-2</v>
      </c>
      <c r="G180" s="5"/>
      <c r="H180" s="5"/>
    </row>
    <row r="181" spans="1:8" x14ac:dyDescent="0.25">
      <c r="A181" s="67">
        <v>40385</v>
      </c>
      <c r="B181" s="68">
        <v>8.5399999999999991</v>
      </c>
      <c r="C181" s="68">
        <v>6147.97</v>
      </c>
      <c r="D181" s="69">
        <f t="shared" si="4"/>
        <v>9.4562647754135032E-3</v>
      </c>
      <c r="E181" s="69">
        <f t="shared" si="5"/>
        <v>-2.9790767294699538E-3</v>
      </c>
      <c r="G181" s="5"/>
      <c r="H181" s="5"/>
    </row>
    <row r="182" spans="1:8" x14ac:dyDescent="0.25">
      <c r="A182" s="67">
        <v>40378</v>
      </c>
      <c r="B182" s="68">
        <v>8.4600000000000009</v>
      </c>
      <c r="C182" s="68">
        <v>6166.34</v>
      </c>
      <c r="D182" s="69">
        <f t="shared" si="4"/>
        <v>1.6826923076923128E-2</v>
      </c>
      <c r="E182" s="69">
        <f t="shared" si="5"/>
        <v>2.0871583555039708E-2</v>
      </c>
      <c r="G182" s="5"/>
      <c r="H182" s="5"/>
    </row>
    <row r="183" spans="1:8" x14ac:dyDescent="0.25">
      <c r="A183" s="67">
        <v>40371</v>
      </c>
      <c r="B183" s="68">
        <v>8.32</v>
      </c>
      <c r="C183" s="68">
        <v>6040.27</v>
      </c>
      <c r="D183" s="69">
        <f t="shared" si="4"/>
        <v>7.2639225181598821E-3</v>
      </c>
      <c r="E183" s="69">
        <f t="shared" si="5"/>
        <v>-4.1169022165651326E-3</v>
      </c>
      <c r="G183" s="5"/>
      <c r="H183" s="5"/>
    </row>
    <row r="184" spans="1:8" x14ac:dyDescent="0.25">
      <c r="A184" s="67">
        <v>40364</v>
      </c>
      <c r="B184" s="68">
        <v>8.26</v>
      </c>
      <c r="C184" s="68">
        <v>6065.24</v>
      </c>
      <c r="D184" s="69">
        <f t="shared" si="4"/>
        <v>4.5569620253164578E-2</v>
      </c>
      <c r="E184" s="69">
        <f t="shared" si="5"/>
        <v>3.9609883187782247E-2</v>
      </c>
      <c r="G184" s="5"/>
      <c r="H184" s="5"/>
    </row>
    <row r="185" spans="1:8" x14ac:dyDescent="0.25">
      <c r="A185" s="67">
        <v>40357</v>
      </c>
      <c r="B185" s="68">
        <v>7.9</v>
      </c>
      <c r="C185" s="68">
        <v>5834.15</v>
      </c>
      <c r="D185" s="69">
        <f t="shared" si="4"/>
        <v>-2.1065675340768308E-2</v>
      </c>
      <c r="E185" s="69">
        <f t="shared" si="5"/>
        <v>-3.8950021414687286E-2</v>
      </c>
      <c r="G185" s="5"/>
      <c r="H185" s="5"/>
    </row>
    <row r="186" spans="1:8" x14ac:dyDescent="0.25">
      <c r="A186" s="67">
        <v>40350</v>
      </c>
      <c r="B186" s="68">
        <v>8.07</v>
      </c>
      <c r="C186" s="68">
        <v>6070.6</v>
      </c>
      <c r="D186" s="69">
        <f t="shared" si="4"/>
        <v>8.7500000000000355E-3</v>
      </c>
      <c r="E186" s="69">
        <f t="shared" si="5"/>
        <v>-2.3545193968775746E-2</v>
      </c>
      <c r="G186" s="5"/>
      <c r="H186" s="5"/>
    </row>
    <row r="187" spans="1:8" x14ac:dyDescent="0.25">
      <c r="A187" s="67">
        <v>40343</v>
      </c>
      <c r="B187" s="68">
        <v>8</v>
      </c>
      <c r="C187" s="68">
        <v>6216.98</v>
      </c>
      <c r="D187" s="69">
        <f t="shared" si="4"/>
        <v>2.695763799743256E-2</v>
      </c>
      <c r="E187" s="69">
        <f t="shared" si="5"/>
        <v>2.7968709437930617E-2</v>
      </c>
      <c r="G187" s="5"/>
      <c r="H187" s="5"/>
    </row>
    <row r="188" spans="1:8" x14ac:dyDescent="0.25">
      <c r="A188" s="67">
        <v>40336</v>
      </c>
      <c r="B188" s="68">
        <v>7.79</v>
      </c>
      <c r="C188" s="68">
        <v>6047.83</v>
      </c>
      <c r="D188" s="69">
        <f t="shared" si="4"/>
        <v>2.2309711286089273E-2</v>
      </c>
      <c r="E188" s="69">
        <f t="shared" si="5"/>
        <v>1.8345209871221568E-2</v>
      </c>
      <c r="G188" s="5"/>
      <c r="H188" s="5"/>
    </row>
    <row r="189" spans="1:8" x14ac:dyDescent="0.25">
      <c r="A189" s="67">
        <v>40329</v>
      </c>
      <c r="B189" s="68">
        <v>7.62</v>
      </c>
      <c r="C189" s="68">
        <v>5938.88</v>
      </c>
      <c r="D189" s="69">
        <f t="shared" si="4"/>
        <v>5.2770448548813409E-3</v>
      </c>
      <c r="E189" s="69">
        <f t="shared" si="5"/>
        <v>-1.2276789468196325E-3</v>
      </c>
      <c r="G189" s="5"/>
      <c r="H189" s="5"/>
    </row>
    <row r="190" spans="1:8" x14ac:dyDescent="0.25">
      <c r="A190" s="67">
        <v>40322</v>
      </c>
      <c r="B190" s="68">
        <v>7.58</v>
      </c>
      <c r="C190" s="68">
        <v>5946.18</v>
      </c>
      <c r="D190" s="69">
        <f t="shared" si="4"/>
        <v>3.6935704514363898E-2</v>
      </c>
      <c r="E190" s="69">
        <f t="shared" si="5"/>
        <v>2.0059184286143283E-2</v>
      </c>
      <c r="G190" s="5"/>
      <c r="H190" s="5"/>
    </row>
    <row r="191" spans="1:8" x14ac:dyDescent="0.25">
      <c r="A191" s="67">
        <v>40315</v>
      </c>
      <c r="B191" s="68">
        <v>7.31</v>
      </c>
      <c r="C191" s="68">
        <v>5829.25</v>
      </c>
      <c r="D191" s="69">
        <f t="shared" si="4"/>
        <v>-1.3495276653171406E-2</v>
      </c>
      <c r="E191" s="69">
        <f t="shared" si="5"/>
        <v>-3.7555042258916149E-2</v>
      </c>
      <c r="G191" s="5"/>
      <c r="H191" s="5"/>
    </row>
    <row r="192" spans="1:8" x14ac:dyDescent="0.25">
      <c r="A192" s="67">
        <v>40308</v>
      </c>
      <c r="B192" s="68">
        <v>7.41</v>
      </c>
      <c r="C192" s="68">
        <v>6056.71</v>
      </c>
      <c r="D192" s="69">
        <f t="shared" si="4"/>
        <v>4.6610169491525522E-2</v>
      </c>
      <c r="E192" s="69">
        <f t="shared" si="5"/>
        <v>5.9775086656553178E-2</v>
      </c>
      <c r="G192" s="5"/>
      <c r="H192" s="5"/>
    </row>
    <row r="193" spans="1:8" x14ac:dyDescent="0.25">
      <c r="A193" s="67">
        <v>40301</v>
      </c>
      <c r="B193" s="68">
        <v>7.08</v>
      </c>
      <c r="C193" s="68">
        <v>5715.09</v>
      </c>
      <c r="D193" s="69">
        <f t="shared" si="4"/>
        <v>-7.2083879423328945E-2</v>
      </c>
      <c r="E193" s="69">
        <f t="shared" si="5"/>
        <v>-6.8551265544273599E-2</v>
      </c>
      <c r="G193" s="5"/>
      <c r="H193" s="5"/>
    </row>
    <row r="194" spans="1:8" x14ac:dyDescent="0.25">
      <c r="A194" s="67">
        <v>40294</v>
      </c>
      <c r="B194" s="68">
        <v>7.63</v>
      </c>
      <c r="C194" s="68">
        <v>6135.7</v>
      </c>
      <c r="D194" s="69">
        <f t="shared" si="4"/>
        <v>-1.4211886304909549E-2</v>
      </c>
      <c r="E194" s="69">
        <f t="shared" si="5"/>
        <v>-1.978263543748493E-2</v>
      </c>
      <c r="G194" s="5"/>
      <c r="H194" s="5"/>
    </row>
    <row r="195" spans="1:8" x14ac:dyDescent="0.25">
      <c r="A195" s="67">
        <v>40287</v>
      </c>
      <c r="B195" s="68">
        <v>7.74</v>
      </c>
      <c r="C195" s="68">
        <v>6259.53</v>
      </c>
      <c r="D195" s="69">
        <f t="shared" ref="D195:E209" si="6">B195/B196-1</f>
        <v>-7.692307692307665E-3</v>
      </c>
      <c r="E195" s="69">
        <f t="shared" si="6"/>
        <v>1.2721448332767116E-2</v>
      </c>
      <c r="G195" s="5"/>
      <c r="H195" s="5"/>
    </row>
    <row r="196" spans="1:8" x14ac:dyDescent="0.25">
      <c r="A196" s="67">
        <v>40280</v>
      </c>
      <c r="B196" s="68">
        <v>7.8</v>
      </c>
      <c r="C196" s="68">
        <v>6180.9</v>
      </c>
      <c r="D196" s="69">
        <f t="shared" si="6"/>
        <v>-3.8314176245211051E-3</v>
      </c>
      <c r="E196" s="69">
        <f t="shared" si="6"/>
        <v>-1.1008528409363727E-2</v>
      </c>
      <c r="G196" s="5"/>
      <c r="H196" s="5"/>
    </row>
    <row r="197" spans="1:8" x14ac:dyDescent="0.25">
      <c r="A197" s="67">
        <v>40274</v>
      </c>
      <c r="B197" s="68">
        <v>7.83</v>
      </c>
      <c r="C197" s="68">
        <v>6249.7</v>
      </c>
      <c r="D197" s="69">
        <f t="shared" si="6"/>
        <v>1.2787723785165905E-3</v>
      </c>
      <c r="E197" s="69">
        <f t="shared" si="6"/>
        <v>2.267639153500145E-3</v>
      </c>
      <c r="G197" s="5"/>
      <c r="H197" s="5"/>
    </row>
    <row r="198" spans="1:8" x14ac:dyDescent="0.25">
      <c r="A198" s="67">
        <v>40266</v>
      </c>
      <c r="B198" s="68">
        <v>7.82</v>
      </c>
      <c r="C198" s="68">
        <v>6235.56</v>
      </c>
      <c r="D198" s="69">
        <f t="shared" si="6"/>
        <v>1.558441558441559E-2</v>
      </c>
      <c r="E198" s="69">
        <f t="shared" si="6"/>
        <v>1.8874028806954213E-2</v>
      </c>
      <c r="G198" s="5"/>
      <c r="H198" s="5"/>
    </row>
    <row r="199" spans="1:8" x14ac:dyDescent="0.25">
      <c r="A199" s="67">
        <v>40259</v>
      </c>
      <c r="B199" s="68">
        <v>7.7</v>
      </c>
      <c r="C199" s="68">
        <v>6120.05</v>
      </c>
      <c r="D199" s="69">
        <f t="shared" si="6"/>
        <v>-2.5906735751294319E-3</v>
      </c>
      <c r="E199" s="69">
        <f t="shared" si="6"/>
        <v>2.3004030134911702E-2</v>
      </c>
      <c r="G199" s="5"/>
      <c r="H199" s="5"/>
    </row>
    <row r="200" spans="1:8" x14ac:dyDescent="0.25">
      <c r="A200" s="67">
        <v>40252</v>
      </c>
      <c r="B200" s="68">
        <v>7.72</v>
      </c>
      <c r="C200" s="68">
        <v>5982.43</v>
      </c>
      <c r="D200" s="69">
        <f t="shared" si="6"/>
        <v>1.2970168612191912E-3</v>
      </c>
      <c r="E200" s="69">
        <f t="shared" si="6"/>
        <v>6.2774280038553343E-3</v>
      </c>
      <c r="G200" s="5"/>
      <c r="H200" s="5"/>
    </row>
    <row r="201" spans="1:8" x14ac:dyDescent="0.25">
      <c r="A201" s="67">
        <v>40245</v>
      </c>
      <c r="B201" s="68">
        <v>7.71</v>
      </c>
      <c r="C201" s="68">
        <v>5945.11</v>
      </c>
      <c r="D201" s="69">
        <f t="shared" si="6"/>
        <v>2.1192052980132381E-2</v>
      </c>
      <c r="E201" s="69">
        <f t="shared" si="6"/>
        <v>1.1527284358963996E-2</v>
      </c>
      <c r="G201" s="5"/>
      <c r="H201" s="5"/>
    </row>
    <row r="202" spans="1:8" x14ac:dyDescent="0.25">
      <c r="A202" s="67">
        <v>40238</v>
      </c>
      <c r="B202" s="68">
        <v>7.55</v>
      </c>
      <c r="C202" s="68">
        <v>5877.36</v>
      </c>
      <c r="D202" s="69">
        <f t="shared" si="6"/>
        <v>2.4423337856173566E-2</v>
      </c>
      <c r="E202" s="69">
        <f t="shared" si="6"/>
        <v>4.9817271178145273E-2</v>
      </c>
      <c r="G202" s="5"/>
      <c r="H202" s="5"/>
    </row>
    <row r="203" spans="1:8" x14ac:dyDescent="0.25">
      <c r="A203" s="67">
        <v>40231</v>
      </c>
      <c r="B203" s="68">
        <v>7.37</v>
      </c>
      <c r="C203" s="68">
        <v>5598.46</v>
      </c>
      <c r="D203" s="69">
        <f t="shared" si="6"/>
        <v>-3.1537450722733285E-2</v>
      </c>
      <c r="E203" s="69">
        <f t="shared" si="6"/>
        <v>-2.159890249124008E-2</v>
      </c>
      <c r="G203" s="5"/>
      <c r="H203" s="5"/>
    </row>
    <row r="204" spans="1:8" x14ac:dyDescent="0.25">
      <c r="A204" s="67">
        <v>40224</v>
      </c>
      <c r="B204" s="68">
        <v>7.61</v>
      </c>
      <c r="C204" s="68">
        <v>5722.05</v>
      </c>
      <c r="D204" s="69">
        <f t="shared" si="6"/>
        <v>3.5374149659864074E-2</v>
      </c>
      <c r="E204" s="69">
        <f t="shared" si="6"/>
        <v>4.0298960619156166E-2</v>
      </c>
      <c r="G204" s="5"/>
      <c r="H204" s="5"/>
    </row>
    <row r="205" spans="1:8" x14ac:dyDescent="0.25">
      <c r="A205" s="67">
        <v>40217</v>
      </c>
      <c r="B205" s="68">
        <v>7.35</v>
      </c>
      <c r="C205" s="68">
        <v>5500.39</v>
      </c>
      <c r="D205" s="69">
        <f t="shared" si="6"/>
        <v>2.2253129346314182E-2</v>
      </c>
      <c r="E205" s="69">
        <f t="shared" si="6"/>
        <v>1.2154189837220386E-2</v>
      </c>
      <c r="G205" s="5"/>
      <c r="H205" s="5"/>
    </row>
    <row r="206" spans="1:8" x14ac:dyDescent="0.25">
      <c r="A206" s="67">
        <v>40210</v>
      </c>
      <c r="B206" s="68">
        <v>7.19</v>
      </c>
      <c r="C206" s="68">
        <v>5434.34</v>
      </c>
      <c r="D206" s="69">
        <f t="shared" si="6"/>
        <v>-1.5068493150684814E-2</v>
      </c>
      <c r="E206" s="69">
        <f t="shared" si="6"/>
        <v>-3.1102965167175034E-2</v>
      </c>
      <c r="G206" s="5"/>
      <c r="H206" s="5"/>
    </row>
    <row r="207" spans="1:8" x14ac:dyDescent="0.25">
      <c r="A207" s="67">
        <v>40203</v>
      </c>
      <c r="B207" s="68">
        <v>7.3</v>
      </c>
      <c r="C207" s="68">
        <v>5608.79</v>
      </c>
      <c r="D207" s="69">
        <f t="shared" si="6"/>
        <v>-4.5751633986928164E-2</v>
      </c>
      <c r="E207" s="69">
        <f t="shared" si="6"/>
        <v>-1.5193176151647281E-2</v>
      </c>
      <c r="G207" s="5"/>
      <c r="H207" s="5"/>
    </row>
    <row r="208" spans="1:8" x14ac:dyDescent="0.25">
      <c r="A208" s="67">
        <v>40196</v>
      </c>
      <c r="B208" s="68">
        <v>7.65</v>
      </c>
      <c r="C208" s="68">
        <v>5695.32</v>
      </c>
      <c r="D208" s="69">
        <f t="shared" si="6"/>
        <v>-2.2988505747126409E-2</v>
      </c>
      <c r="E208" s="69">
        <f t="shared" si="6"/>
        <v>-3.0743860162662617E-2</v>
      </c>
      <c r="G208" s="5"/>
      <c r="H208" s="5"/>
    </row>
    <row r="209" spans="1:8" x14ac:dyDescent="0.25">
      <c r="A209" s="67">
        <v>40189</v>
      </c>
      <c r="B209" s="68">
        <v>7.83</v>
      </c>
      <c r="C209" s="68">
        <v>5875.97</v>
      </c>
      <c r="D209" s="69">
        <f t="shared" si="6"/>
        <v>-7.6045627376425395E-3</v>
      </c>
      <c r="E209" s="69">
        <f t="shared" si="6"/>
        <v>-2.6772183032690022E-2</v>
      </c>
      <c r="G209" s="5"/>
      <c r="H209" s="5"/>
    </row>
    <row r="210" spans="1:8" x14ac:dyDescent="0.25">
      <c r="A210" s="67">
        <v>40182</v>
      </c>
      <c r="B210" s="68">
        <v>7.89</v>
      </c>
      <c r="C210" s="68">
        <v>6037.61</v>
      </c>
      <c r="D210" s="68" t="s">
        <v>79</v>
      </c>
      <c r="E210" s="68" t="s">
        <v>79</v>
      </c>
      <c r="G210" s="5"/>
      <c r="H210" s="5"/>
    </row>
    <row r="212" spans="1:8" x14ac:dyDescent="0.25">
      <c r="A212" s="16" t="s">
        <v>78</v>
      </c>
    </row>
  </sheetData>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8"/>
  <sheetViews>
    <sheetView workbookViewId="0"/>
  </sheetViews>
  <sheetFormatPr baseColWidth="10" defaultRowHeight="15" x14ac:dyDescent="0.25"/>
  <cols>
    <col min="1" max="1" width="30.7109375" bestFit="1" customWidth="1"/>
    <col min="2" max="2" width="17.85546875" bestFit="1" customWidth="1"/>
    <col min="3" max="3" width="20.5703125" bestFit="1" customWidth="1"/>
    <col min="4" max="4" width="27.85546875" bestFit="1" customWidth="1"/>
    <col min="5" max="5" width="13.28515625" bestFit="1" customWidth="1"/>
    <col min="6" max="6" width="12.7109375" bestFit="1" customWidth="1"/>
    <col min="7" max="7" width="12" bestFit="1" customWidth="1"/>
    <col min="8" max="8" width="13.140625" bestFit="1" customWidth="1"/>
    <col min="9" max="9" width="12.42578125" bestFit="1" customWidth="1"/>
  </cols>
  <sheetData>
    <row r="1" spans="1:9" x14ac:dyDescent="0.25">
      <c r="A1" t="s">
        <v>6</v>
      </c>
    </row>
    <row r="2" spans="1:9" ht="15.75" thickBot="1" x14ac:dyDescent="0.3"/>
    <row r="3" spans="1:9" x14ac:dyDescent="0.25">
      <c r="A3" s="4" t="s">
        <v>7</v>
      </c>
      <c r="B3" s="4"/>
    </row>
    <row r="4" spans="1:9" x14ac:dyDescent="0.25">
      <c r="A4" s="1" t="s">
        <v>8</v>
      </c>
      <c r="B4" s="1">
        <v>0.61742076426050263</v>
      </c>
    </row>
    <row r="5" spans="1:9" x14ac:dyDescent="0.25">
      <c r="A5" s="1" t="s">
        <v>9</v>
      </c>
      <c r="B5" s="1">
        <v>0.38120840014002316</v>
      </c>
    </row>
    <row r="6" spans="1:9" x14ac:dyDescent="0.25">
      <c r="A6" s="1" t="s">
        <v>10</v>
      </c>
      <c r="B6" s="1">
        <v>0.37820455742225628</v>
      </c>
    </row>
    <row r="7" spans="1:9" x14ac:dyDescent="0.25">
      <c r="A7" s="1" t="s">
        <v>11</v>
      </c>
      <c r="B7" s="1">
        <v>2.3342888513385333E-2</v>
      </c>
    </row>
    <row r="8" spans="1:9" ht="15.75" thickBot="1" x14ac:dyDescent="0.3">
      <c r="A8" s="2" t="s">
        <v>12</v>
      </c>
      <c r="B8" s="2">
        <v>208</v>
      </c>
    </row>
    <row r="10" spans="1:9" ht="15.75" thickBot="1" x14ac:dyDescent="0.3">
      <c r="A10" t="s">
        <v>13</v>
      </c>
    </row>
    <row r="11" spans="1:9" x14ac:dyDescent="0.25">
      <c r="A11" s="3"/>
      <c r="B11" s="3" t="s">
        <v>18</v>
      </c>
      <c r="C11" s="3" t="s">
        <v>19</v>
      </c>
      <c r="D11" s="3" t="s">
        <v>20</v>
      </c>
      <c r="E11" s="3" t="s">
        <v>21</v>
      </c>
      <c r="F11" s="3" t="s">
        <v>22</v>
      </c>
    </row>
    <row r="12" spans="1:9" x14ac:dyDescent="0.25">
      <c r="A12" s="1" t="s">
        <v>14</v>
      </c>
      <c r="B12" s="1">
        <v>1</v>
      </c>
      <c r="C12" s="1">
        <v>6.9150363045570956E-2</v>
      </c>
      <c r="D12" s="1">
        <v>6.9150363045570956E-2</v>
      </c>
      <c r="E12" s="1">
        <v>126.90691089958989</v>
      </c>
      <c r="F12" s="1">
        <v>3.0174920040717659E-23</v>
      </c>
    </row>
    <row r="13" spans="1:9" x14ac:dyDescent="0.25">
      <c r="A13" s="1" t="s">
        <v>15</v>
      </c>
      <c r="B13" s="1">
        <v>206</v>
      </c>
      <c r="C13" s="1">
        <v>0.1122474314945574</v>
      </c>
      <c r="D13" s="1">
        <v>5.4489044414833695E-4</v>
      </c>
      <c r="E13" s="1"/>
      <c r="F13" s="1"/>
    </row>
    <row r="14" spans="1:9" ht="15.75" thickBot="1" x14ac:dyDescent="0.3">
      <c r="A14" s="2" t="s">
        <v>16</v>
      </c>
      <c r="B14" s="2">
        <v>207</v>
      </c>
      <c r="C14" s="2">
        <v>0.18139779454012836</v>
      </c>
      <c r="D14" s="2"/>
      <c r="E14" s="2"/>
      <c r="F14" s="2"/>
    </row>
    <row r="15" spans="1:9" ht="15.75" thickBot="1" x14ac:dyDescent="0.3"/>
    <row r="16" spans="1:9" x14ac:dyDescent="0.25">
      <c r="A16" s="3"/>
      <c r="B16" s="3" t="s">
        <v>23</v>
      </c>
      <c r="C16" s="3" t="s">
        <v>11</v>
      </c>
      <c r="D16" s="3" t="s">
        <v>24</v>
      </c>
      <c r="E16" s="3" t="s">
        <v>25</v>
      </c>
      <c r="F16" s="3" t="s">
        <v>26</v>
      </c>
      <c r="G16" s="3" t="s">
        <v>27</v>
      </c>
      <c r="H16" s="3" t="s">
        <v>28</v>
      </c>
      <c r="I16" s="3" t="s">
        <v>29</v>
      </c>
    </row>
    <row r="17" spans="1:9" x14ac:dyDescent="0.25">
      <c r="A17" s="1" t="s">
        <v>17</v>
      </c>
      <c r="B17" s="1">
        <v>8.0280345247162564E-4</v>
      </c>
      <c r="C17" s="1">
        <v>1.6253627051398402E-3</v>
      </c>
      <c r="D17" s="1">
        <v>0.49392264873122915</v>
      </c>
      <c r="E17" s="1">
        <v>0.62188704047383558</v>
      </c>
      <c r="F17" s="1">
        <v>-2.4016749754873102E-3</v>
      </c>
      <c r="G17" s="1">
        <v>4.0072818804305615E-3</v>
      </c>
      <c r="H17" s="1">
        <v>-2.4016749754873102E-3</v>
      </c>
      <c r="I17" s="1">
        <v>4.0072818804305615E-3</v>
      </c>
    </row>
    <row r="18" spans="1:9" ht="15.75" thickBot="1" x14ac:dyDescent="0.3">
      <c r="A18" s="2" t="s">
        <v>30</v>
      </c>
      <c r="B18" s="2">
        <v>0.64054968085433883</v>
      </c>
      <c r="C18" s="2">
        <v>5.6860435635524571E-2</v>
      </c>
      <c r="D18" s="2">
        <v>11.265296751510359</v>
      </c>
      <c r="E18" s="2">
        <v>3.0174920040718094E-23</v>
      </c>
      <c r="F18" s="2">
        <v>0.52844667835391568</v>
      </c>
      <c r="G18" s="2">
        <v>0.75265268335476199</v>
      </c>
      <c r="H18" s="2">
        <v>0.52844667835391568</v>
      </c>
      <c r="I18" s="2">
        <v>0.75265268335476199</v>
      </c>
    </row>
  </sheetData>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8"/>
  <sheetViews>
    <sheetView showGridLines="0" zoomScale="190" zoomScaleNormal="190" workbookViewId="0">
      <selection activeCell="B8" sqref="B8"/>
    </sheetView>
  </sheetViews>
  <sheetFormatPr baseColWidth="10" defaultRowHeight="15" x14ac:dyDescent="0.25"/>
  <sheetData>
    <row r="1" spans="1:7" x14ac:dyDescent="0.25">
      <c r="A1" s="6"/>
      <c r="B1" s="7">
        <v>1</v>
      </c>
      <c r="C1" s="7">
        <v>2</v>
      </c>
      <c r="D1" s="7">
        <v>3</v>
      </c>
      <c r="E1" s="7" t="s">
        <v>51</v>
      </c>
    </row>
    <row r="2" spans="1:7" x14ac:dyDescent="0.25">
      <c r="A2" s="6" t="s">
        <v>52</v>
      </c>
      <c r="B2" s="8">
        <f>fcf_1</f>
        <v>4.2</v>
      </c>
      <c r="C2" s="8">
        <f>fcf_2</f>
        <v>4.7</v>
      </c>
      <c r="D2" s="8">
        <f>fcf_3</f>
        <v>5.2</v>
      </c>
      <c r="E2" s="8">
        <f>fcf_tv</f>
        <v>5.2</v>
      </c>
    </row>
    <row r="3" spans="1:7" x14ac:dyDescent="0.25">
      <c r="A3" s="6" t="s">
        <v>53</v>
      </c>
      <c r="B3" s="9">
        <f>1/(1+zins_i1)^B1</f>
        <v>0.95144722569072493</v>
      </c>
      <c r="C3" s="9">
        <f>1/(1+zins_i1)^C1</f>
        <v>0.90525182327457743</v>
      </c>
      <c r="D3" s="9">
        <f>1/(1+zins_i1)^D1</f>
        <v>0.8612993358060671</v>
      </c>
      <c r="E3" s="8">
        <f>1/zins_i1*D3</f>
        <v>16.878147030733103</v>
      </c>
    </row>
    <row r="4" spans="1:7" x14ac:dyDescent="0.25">
      <c r="A4" s="6" t="s">
        <v>54</v>
      </c>
      <c r="B4" s="8">
        <f>B3*B2</f>
        <v>3.9960783479010447</v>
      </c>
      <c r="C4" s="8">
        <f>C3*C2</f>
        <v>4.2546835693905143</v>
      </c>
      <c r="D4" s="8">
        <f>D3*D2</f>
        <v>4.4787565461915495</v>
      </c>
      <c r="E4" s="8">
        <f>E3*E2</f>
        <v>87.766364559812146</v>
      </c>
      <c r="G4" s="71"/>
    </row>
    <row r="5" spans="1:7" x14ac:dyDescent="0.25">
      <c r="A5" s="6" t="s">
        <v>55</v>
      </c>
      <c r="B5" s="10">
        <f>SUM(B4:E4)</f>
        <v>100.49588302329525</v>
      </c>
    </row>
    <row r="6" spans="1:7" x14ac:dyDescent="0.25">
      <c r="A6" s="6" t="s">
        <v>57</v>
      </c>
      <c r="B6" s="10">
        <f>B5-fk</f>
        <v>61.405883023295246</v>
      </c>
      <c r="E6" s="11">
        <f>E4/B5</f>
        <v>0.87333293583248217</v>
      </c>
    </row>
    <row r="8" spans="1:7" x14ac:dyDescent="0.25">
      <c r="A8" t="s">
        <v>46</v>
      </c>
      <c r="B8" s="12">
        <f>wacc_i1</f>
        <v>5.1030443936632572E-2</v>
      </c>
      <c r="D8" s="6" t="s">
        <v>56</v>
      </c>
      <c r="E8" s="10">
        <f>E2/zins_i1</f>
        <v>101.89995616062322</v>
      </c>
    </row>
  </sheetData>
  <pageMargins left="0.7" right="0.7" top="0.78740157499999996" bottom="0.78740157499999996"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8"/>
  <sheetViews>
    <sheetView showGridLines="0" zoomScale="190" zoomScaleNormal="190" workbookViewId="0">
      <selection activeCell="B8" sqref="B8"/>
    </sheetView>
  </sheetViews>
  <sheetFormatPr baseColWidth="10" defaultRowHeight="15" x14ac:dyDescent="0.25"/>
  <sheetData>
    <row r="1" spans="1:7" x14ac:dyDescent="0.25">
      <c r="A1" s="6"/>
      <c r="B1" s="7">
        <v>1</v>
      </c>
      <c r="C1" s="7">
        <v>2</v>
      </c>
      <c r="D1" s="7">
        <v>3</v>
      </c>
      <c r="E1" s="7" t="s">
        <v>51</v>
      </c>
    </row>
    <row r="2" spans="1:7" x14ac:dyDescent="0.25">
      <c r="A2" s="6" t="s">
        <v>52</v>
      </c>
      <c r="B2" s="8">
        <f>fcf_1</f>
        <v>4.2</v>
      </c>
      <c r="C2" s="8">
        <f>fcf_2</f>
        <v>4.7</v>
      </c>
      <c r="D2" s="8">
        <f>fcf_3</f>
        <v>5.2</v>
      </c>
      <c r="E2" s="8">
        <f>fcf_tv</f>
        <v>5.2</v>
      </c>
    </row>
    <row r="3" spans="1:7" x14ac:dyDescent="0.25">
      <c r="A3" s="6" t="s">
        <v>53</v>
      </c>
      <c r="B3" s="9">
        <f>1/(1+zins_i2)^B1</f>
        <v>0.94752408322796622</v>
      </c>
      <c r="C3" s="9">
        <f>1/(1+zins_i2)^C1</f>
        <v>0.89780188829699781</v>
      </c>
      <c r="D3" s="9">
        <f>1/(1+zins_i2)^D1</f>
        <v>0.85068891112894984</v>
      </c>
      <c r="E3" s="8">
        <f>1/zins_i2*D3</f>
        <v>15.360345854104734</v>
      </c>
    </row>
    <row r="4" spans="1:7" x14ac:dyDescent="0.25">
      <c r="A4" s="6" t="s">
        <v>54</v>
      </c>
      <c r="B4" s="8">
        <f>B3*B2</f>
        <v>3.9796011495574581</v>
      </c>
      <c r="C4" s="8">
        <f>C3*C2</f>
        <v>4.2196688749958895</v>
      </c>
      <c r="D4" s="8">
        <f>D3*D2</f>
        <v>4.4235823378705392</v>
      </c>
      <c r="E4" s="8">
        <f>E3*E2</f>
        <v>79.873798441344618</v>
      </c>
      <c r="G4" s="71"/>
    </row>
    <row r="5" spans="1:7" x14ac:dyDescent="0.25">
      <c r="A5" s="6" t="s">
        <v>55</v>
      </c>
      <c r="B5" s="10">
        <f>SUM(B4:E4)</f>
        <v>92.496650803768503</v>
      </c>
    </row>
    <row r="6" spans="1:7" x14ac:dyDescent="0.25">
      <c r="A6" s="6" t="s">
        <v>57</v>
      </c>
      <c r="B6" s="10">
        <f>B5-fk</f>
        <v>53.4066508037685</v>
      </c>
      <c r="E6" s="11">
        <f>E4/B5</f>
        <v>0.86353179004066594</v>
      </c>
    </row>
    <row r="8" spans="1:7" x14ac:dyDescent="0.25">
      <c r="A8" t="s">
        <v>46</v>
      </c>
      <c r="B8" s="12">
        <f>wacc_i2</f>
        <v>5.538214563714533E-2</v>
      </c>
      <c r="D8" s="6" t="s">
        <v>56</v>
      </c>
      <c r="E8" s="10">
        <f>E2/zins_i2</f>
        <v>93.893075831144955</v>
      </c>
    </row>
  </sheetData>
  <pageMargins left="0.7" right="0.7" top="0.78740157499999996" bottom="0.78740157499999996"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8"/>
  <sheetViews>
    <sheetView showGridLines="0" zoomScale="190" zoomScaleNormal="190" workbookViewId="0">
      <selection activeCell="B8" sqref="B8"/>
    </sheetView>
  </sheetViews>
  <sheetFormatPr baseColWidth="10" defaultRowHeight="15" x14ac:dyDescent="0.25"/>
  <sheetData>
    <row r="1" spans="1:7" x14ac:dyDescent="0.25">
      <c r="A1" s="6"/>
      <c r="B1" s="7">
        <v>1</v>
      </c>
      <c r="C1" s="7">
        <v>2</v>
      </c>
      <c r="D1" s="7">
        <v>3</v>
      </c>
      <c r="E1" s="7" t="s">
        <v>51</v>
      </c>
    </row>
    <row r="2" spans="1:7" x14ac:dyDescent="0.25">
      <c r="A2" s="6" t="s">
        <v>52</v>
      </c>
      <c r="B2" s="8">
        <f>fcf_1</f>
        <v>4.2</v>
      </c>
      <c r="C2" s="8">
        <f>fcf_2</f>
        <v>4.7</v>
      </c>
      <c r="D2" s="8">
        <f>fcf_3</f>
        <v>5.2</v>
      </c>
      <c r="E2" s="8">
        <f>fcf_tv</f>
        <v>5.2</v>
      </c>
    </row>
    <row r="3" spans="1:7" x14ac:dyDescent="0.25">
      <c r="A3" s="6" t="s">
        <v>53</v>
      </c>
      <c r="B3" s="9">
        <f>1/(1+zins_i3)^B1</f>
        <v>0.94834399154392757</v>
      </c>
      <c r="C3" s="9">
        <f>1/(1+zins_i3)^C1</f>
        <v>0.89935632629746898</v>
      </c>
      <c r="D3" s="9">
        <f>1/(1+zins_i3)^D1</f>
        <v>0.85289916830122459</v>
      </c>
      <c r="E3" s="8">
        <f>1/zins_i3*D3</f>
        <v>15.658232717286083</v>
      </c>
    </row>
    <row r="4" spans="1:7" x14ac:dyDescent="0.25">
      <c r="A4" s="6" t="s">
        <v>54</v>
      </c>
      <c r="B4" s="8">
        <f>B3*B2</f>
        <v>3.9830447644844957</v>
      </c>
      <c r="C4" s="8">
        <f>C3*C2</f>
        <v>4.2269747335981043</v>
      </c>
      <c r="D4" s="8">
        <f>D3*D2</f>
        <v>4.4350756751663676</v>
      </c>
      <c r="E4" s="8">
        <f>E3*E2</f>
        <v>81.422810129887637</v>
      </c>
      <c r="G4" s="71"/>
    </row>
    <row r="5" spans="1:7" x14ac:dyDescent="0.25">
      <c r="A5" s="6" t="s">
        <v>55</v>
      </c>
      <c r="B5" s="10">
        <f>SUM(B4:E4)</f>
        <v>94.067905303136598</v>
      </c>
    </row>
    <row r="6" spans="1:7" x14ac:dyDescent="0.25">
      <c r="A6" s="6" t="s">
        <v>57</v>
      </c>
      <c r="B6" s="10">
        <f>B5-fk</f>
        <v>54.977905303136595</v>
      </c>
      <c r="E6" s="11">
        <f>E4/B5</f>
        <v>0.86557481924892699</v>
      </c>
    </row>
    <row r="8" spans="1:7" x14ac:dyDescent="0.25">
      <c r="A8" t="s">
        <v>46</v>
      </c>
      <c r="B8" s="12">
        <f>wacc_i3</f>
        <v>5.4469695507824253E-2</v>
      </c>
      <c r="D8" s="6" t="s">
        <v>56</v>
      </c>
      <c r="E8" s="10">
        <f>E2/zins_i3</f>
        <v>95.465927457829295</v>
      </c>
    </row>
  </sheetData>
  <pageMargins left="0.7" right="0.7" top="0.78740157499999996" bottom="0.78740157499999996"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8"/>
  <sheetViews>
    <sheetView showGridLines="0" zoomScale="190" zoomScaleNormal="190" workbookViewId="0">
      <selection activeCell="B8" sqref="B8"/>
    </sheetView>
  </sheetViews>
  <sheetFormatPr baseColWidth="10" defaultRowHeight="15" x14ac:dyDescent="0.25"/>
  <sheetData>
    <row r="1" spans="1:7" x14ac:dyDescent="0.25">
      <c r="A1" s="6"/>
      <c r="B1" s="7">
        <v>1</v>
      </c>
      <c r="C1" s="7">
        <v>2</v>
      </c>
      <c r="D1" s="7">
        <v>3</v>
      </c>
      <c r="E1" s="7" t="s">
        <v>51</v>
      </c>
    </row>
    <row r="2" spans="1:7" x14ac:dyDescent="0.25">
      <c r="A2" s="6" t="s">
        <v>52</v>
      </c>
      <c r="B2" s="8">
        <f>fcf_1</f>
        <v>4.2</v>
      </c>
      <c r="C2" s="8">
        <f>fcf_2</f>
        <v>4.7</v>
      </c>
      <c r="D2" s="8">
        <f>fcf_3</f>
        <v>5.2</v>
      </c>
      <c r="E2" s="8">
        <f>fcf_tv</f>
        <v>5.2</v>
      </c>
    </row>
    <row r="3" spans="1:7" x14ac:dyDescent="0.25">
      <c r="A3" s="6" t="s">
        <v>53</v>
      </c>
      <c r="B3" s="9">
        <f>1/(1+zins_i4)^B1</f>
        <v>0.94817181772848425</v>
      </c>
      <c r="C3" s="9">
        <f>1/(1+zins_i4)^C1</f>
        <v>0.89902979593453802</v>
      </c>
      <c r="D3" s="9">
        <f>1/(1+zins_i4)^D1</f>
        <v>0.8524347158033192</v>
      </c>
      <c r="E3" s="8">
        <f>1/zins_i4*D3</f>
        <v>15.594885611535457</v>
      </c>
    </row>
    <row r="4" spans="1:7" x14ac:dyDescent="0.25">
      <c r="A4" s="6" t="s">
        <v>54</v>
      </c>
      <c r="B4" s="8">
        <f>B3*B2</f>
        <v>3.9823216344596339</v>
      </c>
      <c r="C4" s="8">
        <f>C3*C2</f>
        <v>4.2254400408923285</v>
      </c>
      <c r="D4" s="8">
        <f>D3*D2</f>
        <v>4.4326605221772599</v>
      </c>
      <c r="E4" s="8">
        <f>E3*E2</f>
        <v>81.093405179984373</v>
      </c>
      <c r="G4" s="71"/>
    </row>
    <row r="5" spans="1:7" x14ac:dyDescent="0.25">
      <c r="A5" s="6" t="s">
        <v>55</v>
      </c>
      <c r="B5" s="10">
        <f>SUM(B4:E4)</f>
        <v>93.733827377513592</v>
      </c>
    </row>
    <row r="6" spans="1:7" x14ac:dyDescent="0.25">
      <c r="A6" s="6" t="s">
        <v>57</v>
      </c>
      <c r="B6" s="10">
        <f>B5-fk</f>
        <v>54.643827377513588</v>
      </c>
      <c r="E6" s="11">
        <f>E4/B5</f>
        <v>0.86514556642801066</v>
      </c>
    </row>
    <row r="8" spans="1:7" x14ac:dyDescent="0.25">
      <c r="A8" t="s">
        <v>46</v>
      </c>
      <c r="B8" s="12">
        <f>wacc_i4</f>
        <v>5.4661171427431161E-2</v>
      </c>
      <c r="D8" s="6" t="s">
        <v>56</v>
      </c>
      <c r="E8" s="10">
        <f>E2/zins_i4</f>
        <v>95.131514093209361</v>
      </c>
    </row>
  </sheetData>
  <pageMargins left="0.7" right="0.7" top="0.78740157499999996" bottom="0.78740157499999996"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8"/>
  <sheetViews>
    <sheetView showGridLines="0" zoomScale="190" zoomScaleNormal="190" workbookViewId="0">
      <selection activeCell="B8" sqref="B8"/>
    </sheetView>
  </sheetViews>
  <sheetFormatPr baseColWidth="10" defaultRowHeight="15" x14ac:dyDescent="0.25"/>
  <sheetData>
    <row r="1" spans="1:7" x14ac:dyDescent="0.25">
      <c r="A1" s="6"/>
      <c r="B1" s="7">
        <v>1</v>
      </c>
      <c r="C1" s="7">
        <v>2</v>
      </c>
      <c r="D1" s="7">
        <v>3</v>
      </c>
      <c r="E1" s="7" t="s">
        <v>51</v>
      </c>
    </row>
    <row r="2" spans="1:7" x14ac:dyDescent="0.25">
      <c r="A2" s="6" t="s">
        <v>52</v>
      </c>
      <c r="B2" s="8">
        <f>fcf_1</f>
        <v>4.2</v>
      </c>
      <c r="C2" s="8">
        <f>fcf_2</f>
        <v>4.7</v>
      </c>
      <c r="D2" s="8">
        <f>fcf_3</f>
        <v>5.2</v>
      </c>
      <c r="E2" s="8">
        <f>fcf_tv</f>
        <v>5.2</v>
      </c>
    </row>
    <row r="3" spans="1:7" x14ac:dyDescent="0.25">
      <c r="A3" s="6" t="s">
        <v>53</v>
      </c>
      <c r="B3" s="9">
        <f>1/(1+zins_i5)^B1</f>
        <v>0.94820793672666737</v>
      </c>
      <c r="C3" s="9">
        <f>1/(1+zins_i5)^C1</f>
        <v>0.89909829127144369</v>
      </c>
      <c r="D3" s="9">
        <f>1/(1+zins_i5)^D1</f>
        <v>0.85253213568096786</v>
      </c>
      <c r="E3" s="8">
        <f>1/zins_i5*D3</f>
        <v>15.608139283832271</v>
      </c>
    </row>
    <row r="4" spans="1:7" x14ac:dyDescent="0.25">
      <c r="A4" s="6" t="s">
        <v>54</v>
      </c>
      <c r="B4" s="8">
        <f>B3*B2</f>
        <v>3.9824733342520031</v>
      </c>
      <c r="C4" s="8">
        <f>C3*C2</f>
        <v>4.2257619689757853</v>
      </c>
      <c r="D4" s="8">
        <f>D3*D2</f>
        <v>4.4331671055410329</v>
      </c>
      <c r="E4" s="8">
        <f>E3*E2</f>
        <v>81.162324275927816</v>
      </c>
      <c r="G4" s="71"/>
    </row>
    <row r="5" spans="1:7" x14ac:dyDescent="0.25">
      <c r="A5" s="6" t="s">
        <v>55</v>
      </c>
      <c r="B5" s="10">
        <f>SUM(B4:E4)</f>
        <v>93.803726684696642</v>
      </c>
    </row>
    <row r="6" spans="1:7" x14ac:dyDescent="0.25">
      <c r="A6" s="6" t="s">
        <v>57</v>
      </c>
      <c r="B6" s="10">
        <f>B5-fk</f>
        <v>54.713726684696638</v>
      </c>
      <c r="E6" s="11">
        <f>E4/B5</f>
        <v>0.86523560571041602</v>
      </c>
    </row>
    <row r="8" spans="1:7" x14ac:dyDescent="0.25">
      <c r="A8" t="s">
        <v>46</v>
      </c>
      <c r="B8" s="12">
        <f>wacc_i5</f>
        <v>5.4620997428185776E-2</v>
      </c>
      <c r="D8" s="6" t="s">
        <v>56</v>
      </c>
      <c r="E8" s="10">
        <f>E2/zins_i5</f>
        <v>95.201483767059017</v>
      </c>
    </row>
  </sheetData>
  <pageMargins left="0.7" right="0.7" top="0.78740157499999996" bottom="0.78740157499999996"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8"/>
  <sheetViews>
    <sheetView showGridLines="0" zoomScale="190" zoomScaleNormal="190" workbookViewId="0">
      <selection activeCell="B8" sqref="B8"/>
    </sheetView>
  </sheetViews>
  <sheetFormatPr baseColWidth="10" defaultRowHeight="15" x14ac:dyDescent="0.25"/>
  <sheetData>
    <row r="1" spans="1:7" x14ac:dyDescent="0.25">
      <c r="A1" s="6"/>
      <c r="B1" s="7">
        <v>1</v>
      </c>
      <c r="C1" s="7">
        <v>2</v>
      </c>
      <c r="D1" s="7">
        <v>3</v>
      </c>
      <c r="E1" s="7" t="s">
        <v>51</v>
      </c>
    </row>
    <row r="2" spans="1:7" x14ac:dyDescent="0.25">
      <c r="A2" s="6" t="s">
        <v>52</v>
      </c>
      <c r="B2" s="8">
        <f>fcf_1</f>
        <v>4.2</v>
      </c>
      <c r="C2" s="8">
        <f>fcf_2</f>
        <v>4.7</v>
      </c>
      <c r="D2" s="8">
        <f>fcf_3</f>
        <v>5.2</v>
      </c>
      <c r="E2" s="8">
        <f>fcf_tv</f>
        <v>5.2</v>
      </c>
    </row>
    <row r="3" spans="1:7" x14ac:dyDescent="0.25">
      <c r="A3" s="6" t="s">
        <v>53</v>
      </c>
      <c r="B3" s="9">
        <f>1/(1+zins_i6)^B1</f>
        <v>0.94820035801752844</v>
      </c>
      <c r="C3" s="9">
        <f>1/(1+zins_i6)^C1</f>
        <v>0.89908391894456918</v>
      </c>
      <c r="D3" s="9">
        <f>1/(1+zins_i6)^D1</f>
        <v>0.85251169383104297</v>
      </c>
      <c r="E3" s="8">
        <f>1/zins_i6*D3</f>
        <v>15.605356762470716</v>
      </c>
    </row>
    <row r="4" spans="1:7" x14ac:dyDescent="0.25">
      <c r="A4" s="6" t="s">
        <v>54</v>
      </c>
      <c r="B4" s="8">
        <f>B3*B2</f>
        <v>3.9824415036736198</v>
      </c>
      <c r="C4" s="8">
        <f>C3*C2</f>
        <v>4.225694419039475</v>
      </c>
      <c r="D4" s="8">
        <f>D3*D2</f>
        <v>4.4330608079214233</v>
      </c>
      <c r="E4" s="8">
        <f>E3*E2</f>
        <v>81.147855164847726</v>
      </c>
      <c r="G4" s="71"/>
    </row>
    <row r="5" spans="1:7" x14ac:dyDescent="0.25">
      <c r="A5" s="6" t="s">
        <v>55</v>
      </c>
      <c r="B5" s="10">
        <f>SUM(B4:E4)</f>
        <v>93.789051895482245</v>
      </c>
    </row>
    <row r="6" spans="1:7" x14ac:dyDescent="0.25">
      <c r="A6" s="6" t="s">
        <v>57</v>
      </c>
      <c r="B6" s="10">
        <f>B5-fk</f>
        <v>54.699051895482242</v>
      </c>
      <c r="E6" s="11">
        <f>E4/B5</f>
        <v>0.86521671266362976</v>
      </c>
    </row>
    <row r="8" spans="1:7" x14ac:dyDescent="0.25">
      <c r="A8" t="s">
        <v>46</v>
      </c>
      <c r="B8" s="12">
        <f>wacc_i6</f>
        <v>5.4629426728727296E-2</v>
      </c>
      <c r="D8" s="6" t="s">
        <v>56</v>
      </c>
      <c r="E8" s="10">
        <f>E2/zins_i6</f>
        <v>95.18679421297206</v>
      </c>
    </row>
  </sheetData>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6" baseType="variant">
      <vt:variant>
        <vt:lpstr>Arbeitsblätter</vt:lpstr>
      </vt:variant>
      <vt:variant>
        <vt:i4>10</vt:i4>
      </vt:variant>
      <vt:variant>
        <vt:lpstr>Diagramme</vt:lpstr>
      </vt:variant>
      <vt:variant>
        <vt:i4>1</vt:i4>
      </vt:variant>
      <vt:variant>
        <vt:lpstr>Benannte Bereiche</vt:lpstr>
      </vt:variant>
      <vt:variant>
        <vt:i4>33</vt:i4>
      </vt:variant>
    </vt:vector>
  </HeadingPairs>
  <TitlesOfParts>
    <vt:vector size="44" baseType="lpstr">
      <vt:lpstr>Übersicht</vt:lpstr>
      <vt:lpstr>Beta</vt:lpstr>
      <vt:lpstr>Regression</vt:lpstr>
      <vt:lpstr>Iteration1</vt:lpstr>
      <vt:lpstr>Iteration2</vt:lpstr>
      <vt:lpstr>Iteration3</vt:lpstr>
      <vt:lpstr>Iteration4</vt:lpstr>
      <vt:lpstr>Iteration5</vt:lpstr>
      <vt:lpstr>Iteration6</vt:lpstr>
      <vt:lpstr>Ergebnis</vt:lpstr>
      <vt:lpstr>Diagramm</vt:lpstr>
      <vt:lpstr>beta_berechnet</vt:lpstr>
      <vt:lpstr>ek</vt:lpstr>
      <vt:lpstr>entityvalue</vt:lpstr>
      <vt:lpstr>ev</vt:lpstr>
      <vt:lpstr>fcf_1</vt:lpstr>
      <vt:lpstr>fcf_2</vt:lpstr>
      <vt:lpstr>fcf_3</vt:lpstr>
      <vt:lpstr>fcf_tv</vt:lpstr>
      <vt:lpstr>fk</vt:lpstr>
      <vt:lpstr>gk</vt:lpstr>
      <vt:lpstr>irf</vt:lpstr>
      <vt:lpstr>liquidassets</vt:lpstr>
      <vt:lpstr>mrp</vt:lpstr>
      <vt:lpstr>rek</vt:lpstr>
      <vt:lpstr>rfkns</vt:lpstr>
      <vt:lpstr>rfkvs</vt:lpstr>
      <vt:lpstr>shareholdervalue</vt:lpstr>
      <vt:lpstr>t</vt:lpstr>
      <vt:lpstr>taxshield</vt:lpstr>
      <vt:lpstr>wacc</vt:lpstr>
      <vt:lpstr>wacc_i1</vt:lpstr>
      <vt:lpstr>wacc_i2</vt:lpstr>
      <vt:lpstr>wacc_i3</vt:lpstr>
      <vt:lpstr>wacc_i4</vt:lpstr>
      <vt:lpstr>wacc_i5</vt:lpstr>
      <vt:lpstr>wacc_i6</vt:lpstr>
      <vt:lpstr>Ergebnis!zins_ergebnis</vt:lpstr>
      <vt:lpstr>Iteration1!zins_i1</vt:lpstr>
      <vt:lpstr>Iteration2!zins_i2</vt:lpstr>
      <vt:lpstr>Iteration3!zins_i3</vt:lpstr>
      <vt:lpstr>Iteration4!zins_i4</vt:lpstr>
      <vt:lpstr>Iteration5!zins_i5</vt:lpstr>
      <vt:lpstr>Iteration6!zins_i6</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Oliver Strunk</dc:creator>
  <cp:lastModifiedBy>Oliver Strunk</cp:lastModifiedBy>
  <dcterms:created xsi:type="dcterms:W3CDTF">2014-06-28T23:43:17Z</dcterms:created>
  <dcterms:modified xsi:type="dcterms:W3CDTF">2014-06-30T21:48:29Z</dcterms:modified>
</cp:coreProperties>
</file>