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8515" windowHeight="13350" tabRatio="832"/>
  </bookViews>
  <sheets>
    <sheet name="Bewertung" sheetId="1" r:id="rId1"/>
    <sheet name="KGV" sheetId="2" r:id="rId2"/>
    <sheet name="Buchwert_je_Aktie" sheetId="11" r:id="rId3"/>
    <sheet name="Ergebnis_je_Aktie_verwässert" sheetId="3" r:id="rId4"/>
    <sheet name="Dividende_je_Aktie" sheetId="4" r:id="rId5"/>
    <sheet name="Dividendenrendite" sheetId="5" r:id="rId6"/>
    <sheet name="Aktien_im_Umlauf_splitbereinigt" sheetId="10" r:id="rId7"/>
    <sheet name="Ausschüttungsquote" sheetId="6" r:id="rId8"/>
    <sheet name="Bewertung_Stammdaten" sheetId="8" r:id="rId9"/>
    <sheet name="Bereinigung" sheetId="9" r:id="rId10"/>
  </sheets>
  <definedNames>
    <definedName name="_xlnm._FilterDatabase" localSheetId="6" hidden="1">Aktien_im_Umlauf_splitbereinigt!$A$3:$L$3</definedName>
    <definedName name="_xlnm._FilterDatabase" localSheetId="9" hidden="1">Bereinigung!$A$1:$N$1</definedName>
    <definedName name="_xlnm._FilterDatabase" localSheetId="0">Bewertung!$A$2:$AZ$2</definedName>
  </definedNames>
  <calcPr calcId="145621"/>
</workbook>
</file>

<file path=xl/calcChain.xml><?xml version="1.0" encoding="utf-8"?>
<calcChain xmlns="http://schemas.openxmlformats.org/spreadsheetml/2006/main">
  <c r="D7" i="8" l="1"/>
  <c r="P67" i="1" l="1"/>
  <c r="T67" i="1" s="1"/>
  <c r="P66" i="1"/>
  <c r="T66" i="1" s="1"/>
  <c r="P65" i="1"/>
  <c r="T65" i="1" s="1"/>
  <c r="P64" i="1"/>
  <c r="T64" i="1" s="1"/>
  <c r="P62" i="1"/>
  <c r="T62" i="1" s="1"/>
  <c r="P61" i="1"/>
  <c r="T61" i="1" s="1"/>
  <c r="P60" i="1"/>
  <c r="T60" i="1" s="1"/>
  <c r="P59" i="1"/>
  <c r="T59" i="1" s="1"/>
  <c r="P58" i="1"/>
  <c r="T58" i="1" s="1"/>
  <c r="P57" i="1"/>
  <c r="T57" i="1" s="1"/>
  <c r="P56" i="1"/>
  <c r="T56" i="1" s="1"/>
  <c r="P55" i="1"/>
  <c r="T55" i="1" s="1"/>
  <c r="P54" i="1"/>
  <c r="T54" i="1" s="1"/>
  <c r="P53" i="1"/>
  <c r="T53" i="1" s="1"/>
  <c r="P52" i="1"/>
  <c r="T52" i="1" s="1"/>
  <c r="P51" i="1"/>
  <c r="T51" i="1" s="1"/>
  <c r="P49" i="1"/>
  <c r="T49" i="1" s="1"/>
  <c r="P48" i="1"/>
  <c r="T48" i="1" s="1"/>
  <c r="P47" i="1"/>
  <c r="T47" i="1" s="1"/>
  <c r="P46" i="1"/>
  <c r="T46" i="1" s="1"/>
  <c r="P45" i="1"/>
  <c r="T45" i="1" s="1"/>
  <c r="P44" i="1"/>
  <c r="T44" i="1" s="1"/>
  <c r="P43" i="1"/>
  <c r="T43" i="1" s="1"/>
  <c r="P41" i="1"/>
  <c r="T41" i="1" s="1"/>
  <c r="P40" i="1"/>
  <c r="T40" i="1" s="1"/>
  <c r="P39" i="1"/>
  <c r="T39" i="1" s="1"/>
  <c r="P38" i="1"/>
  <c r="T38" i="1" s="1"/>
  <c r="P36" i="1"/>
  <c r="T36" i="1" s="1"/>
  <c r="P35" i="1"/>
  <c r="T35" i="1" s="1"/>
  <c r="P34" i="1"/>
  <c r="T34" i="1" s="1"/>
  <c r="P33" i="1"/>
  <c r="T33" i="1" s="1"/>
  <c r="P32" i="1"/>
  <c r="T32" i="1" s="1"/>
  <c r="P31" i="1"/>
  <c r="T31" i="1" s="1"/>
  <c r="P30" i="1"/>
  <c r="T30" i="1" s="1"/>
  <c r="P29" i="1"/>
  <c r="T29" i="1" s="1"/>
  <c r="P28" i="1"/>
  <c r="T28" i="1" s="1"/>
  <c r="P27" i="1"/>
  <c r="T27" i="1" s="1"/>
  <c r="P26" i="1"/>
  <c r="T26" i="1" s="1"/>
  <c r="P25" i="1"/>
  <c r="T25" i="1" s="1"/>
  <c r="P23" i="1"/>
  <c r="T23" i="1" s="1"/>
  <c r="P21" i="1"/>
  <c r="T21" i="1" s="1"/>
  <c r="P20" i="1"/>
  <c r="T20" i="1" s="1"/>
  <c r="P18" i="1"/>
  <c r="T18" i="1" s="1"/>
  <c r="P17" i="1"/>
  <c r="T17" i="1" s="1"/>
  <c r="P16" i="1"/>
  <c r="T16" i="1" s="1"/>
  <c r="P14" i="1"/>
  <c r="T14" i="1" s="1"/>
  <c r="P13" i="1"/>
  <c r="T13" i="1" s="1"/>
  <c r="P12" i="1"/>
  <c r="T12" i="1" s="1"/>
  <c r="P11" i="1"/>
  <c r="T11" i="1" s="1"/>
  <c r="P10" i="1"/>
  <c r="T10" i="1" s="1"/>
  <c r="P9" i="1"/>
  <c r="T9" i="1" s="1"/>
  <c r="P8" i="1"/>
  <c r="T8" i="1" s="1"/>
  <c r="P7" i="1"/>
  <c r="T7" i="1" s="1"/>
  <c r="P6" i="1"/>
  <c r="T6" i="1" s="1"/>
  <c r="P3" i="1"/>
  <c r="T3" i="1" s="1"/>
  <c r="N67" i="1"/>
  <c r="N66" i="1"/>
  <c r="N65" i="1"/>
  <c r="N64" i="1"/>
  <c r="N62" i="1"/>
  <c r="N61" i="1"/>
  <c r="N60" i="1"/>
  <c r="N59" i="1"/>
  <c r="N58" i="1"/>
  <c r="N57" i="1"/>
  <c r="N56" i="1"/>
  <c r="N55" i="1"/>
  <c r="N54" i="1"/>
  <c r="N53" i="1"/>
  <c r="N52" i="1"/>
  <c r="N51" i="1"/>
  <c r="N49" i="1"/>
  <c r="N48" i="1"/>
  <c r="N47" i="1"/>
  <c r="N46" i="1"/>
  <c r="N45" i="1"/>
  <c r="N44" i="1"/>
  <c r="N43" i="1"/>
  <c r="N41" i="1"/>
  <c r="N40" i="1"/>
  <c r="N39" i="1"/>
  <c r="N38" i="1"/>
  <c r="N36" i="1"/>
  <c r="N35" i="1"/>
  <c r="N34" i="1"/>
  <c r="N33" i="1"/>
  <c r="N32" i="1"/>
  <c r="N31" i="1"/>
  <c r="N30" i="1"/>
  <c r="N29" i="1"/>
  <c r="N28" i="1"/>
  <c r="N27" i="1"/>
  <c r="N26" i="1"/>
  <c r="N25" i="1"/>
  <c r="N23" i="1"/>
  <c r="N21" i="1"/>
  <c r="N20" i="1"/>
  <c r="N18" i="1"/>
  <c r="N17" i="1"/>
  <c r="N16" i="1"/>
  <c r="N14" i="1"/>
  <c r="N13" i="1"/>
  <c r="N12" i="1"/>
  <c r="N11" i="1"/>
  <c r="N10" i="1"/>
  <c r="N9" i="1"/>
  <c r="N8" i="1"/>
  <c r="N7" i="1"/>
  <c r="N6" i="1"/>
  <c r="N3" i="1"/>
  <c r="AB68" i="11" l="1"/>
  <c r="AA68" i="11"/>
  <c r="Z68" i="11"/>
  <c r="Y68" i="11"/>
  <c r="X68" i="11"/>
  <c r="W68" i="11"/>
  <c r="V68" i="11"/>
  <c r="U68" i="11"/>
  <c r="T68" i="11"/>
  <c r="O68" i="11"/>
  <c r="AB67" i="11"/>
  <c r="AA67" i="11"/>
  <c r="Z67" i="11"/>
  <c r="Y67" i="11"/>
  <c r="X67" i="11"/>
  <c r="W67" i="11"/>
  <c r="V67" i="11"/>
  <c r="U67" i="11"/>
  <c r="T67" i="11"/>
  <c r="O67" i="11"/>
  <c r="AB66" i="11"/>
  <c r="AA66" i="11"/>
  <c r="Z66" i="11"/>
  <c r="Y66" i="11"/>
  <c r="X66" i="11"/>
  <c r="W66" i="11"/>
  <c r="V66" i="11"/>
  <c r="U66" i="11"/>
  <c r="T66" i="11"/>
  <c r="O66" i="11"/>
  <c r="AB65" i="11"/>
  <c r="AA65" i="11"/>
  <c r="Z65" i="11"/>
  <c r="Y65" i="11"/>
  <c r="X65" i="11"/>
  <c r="W65" i="11"/>
  <c r="V65" i="11"/>
  <c r="U65" i="11"/>
  <c r="T65" i="11"/>
  <c r="O65" i="11"/>
  <c r="AB64" i="11"/>
  <c r="AA64" i="11"/>
  <c r="Z64" i="11"/>
  <c r="Y64" i="11"/>
  <c r="X64" i="11"/>
  <c r="W64" i="11"/>
  <c r="V64" i="11"/>
  <c r="U64" i="11"/>
  <c r="T64" i="11"/>
  <c r="O64" i="11"/>
  <c r="N63" i="1" s="1"/>
  <c r="AB63" i="11"/>
  <c r="AA63" i="11"/>
  <c r="Z63" i="11"/>
  <c r="Y63" i="11"/>
  <c r="X63" i="11"/>
  <c r="W63" i="11"/>
  <c r="V63" i="11"/>
  <c r="U63" i="11"/>
  <c r="T63" i="11"/>
  <c r="O63" i="11"/>
  <c r="AB62" i="11"/>
  <c r="AA62" i="11"/>
  <c r="Z62" i="11"/>
  <c r="Y62" i="11"/>
  <c r="X62" i="11"/>
  <c r="W62" i="11"/>
  <c r="V62" i="11"/>
  <c r="U62" i="11"/>
  <c r="T62" i="11"/>
  <c r="O62" i="11"/>
  <c r="AB61" i="11"/>
  <c r="AA61" i="11"/>
  <c r="Z61" i="11"/>
  <c r="Y61" i="11"/>
  <c r="X61" i="11"/>
  <c r="W61" i="11"/>
  <c r="V61" i="11"/>
  <c r="U61" i="11"/>
  <c r="T61" i="11"/>
  <c r="O61" i="11"/>
  <c r="AB60" i="11"/>
  <c r="AA60" i="11"/>
  <c r="Z60" i="11"/>
  <c r="Y60" i="11"/>
  <c r="X60" i="11"/>
  <c r="W60" i="11"/>
  <c r="V60" i="11"/>
  <c r="U60" i="11"/>
  <c r="T60" i="11"/>
  <c r="O60" i="11"/>
  <c r="AB59" i="11"/>
  <c r="AA59" i="11"/>
  <c r="Z59" i="11"/>
  <c r="Y59" i="11"/>
  <c r="X59" i="11"/>
  <c r="W59" i="11"/>
  <c r="V59" i="11"/>
  <c r="U59" i="11"/>
  <c r="T59" i="11"/>
  <c r="O59" i="11"/>
  <c r="AB58" i="11"/>
  <c r="AA58" i="11"/>
  <c r="Z58" i="11"/>
  <c r="Y58" i="11"/>
  <c r="X58" i="11"/>
  <c r="W58" i="11"/>
  <c r="V58" i="11"/>
  <c r="U58" i="11"/>
  <c r="T58" i="11"/>
  <c r="O58" i="11"/>
  <c r="AB57" i="11"/>
  <c r="AA57" i="11"/>
  <c r="Z57" i="11"/>
  <c r="Y57" i="11"/>
  <c r="X57" i="11"/>
  <c r="W57" i="11"/>
  <c r="V57" i="11"/>
  <c r="U57" i="11"/>
  <c r="T57" i="11"/>
  <c r="O57" i="11"/>
  <c r="AB56" i="11"/>
  <c r="AA56" i="11"/>
  <c r="Z56" i="11"/>
  <c r="Y56" i="11"/>
  <c r="X56" i="11"/>
  <c r="W56" i="11"/>
  <c r="V56" i="11"/>
  <c r="U56" i="11"/>
  <c r="T56" i="11"/>
  <c r="O56" i="11"/>
  <c r="AB55" i="11"/>
  <c r="AA55" i="11"/>
  <c r="Z55" i="11"/>
  <c r="Y55" i="11"/>
  <c r="X55" i="11"/>
  <c r="W55" i="11"/>
  <c r="V55" i="11"/>
  <c r="U55" i="11"/>
  <c r="T55" i="11"/>
  <c r="O55" i="11"/>
  <c r="AB54" i="11"/>
  <c r="AA54" i="11"/>
  <c r="Z54" i="11"/>
  <c r="Y54" i="11"/>
  <c r="X54" i="11"/>
  <c r="W54" i="11"/>
  <c r="V54" i="11"/>
  <c r="U54" i="11"/>
  <c r="T54" i="11"/>
  <c r="O54" i="11"/>
  <c r="AB53" i="11"/>
  <c r="AA53" i="11"/>
  <c r="Z53" i="11"/>
  <c r="Y53" i="11"/>
  <c r="X53" i="11"/>
  <c r="W53" i="11"/>
  <c r="V53" i="11"/>
  <c r="U53" i="11"/>
  <c r="T53" i="11"/>
  <c r="O53" i="11"/>
  <c r="AB52" i="11"/>
  <c r="AA52" i="11"/>
  <c r="Z52" i="11"/>
  <c r="Y52" i="11"/>
  <c r="X52" i="11"/>
  <c r="W52" i="11"/>
  <c r="V52" i="11"/>
  <c r="U52" i="11"/>
  <c r="T52" i="11"/>
  <c r="O52" i="11"/>
  <c r="AB51" i="11"/>
  <c r="AA51" i="11"/>
  <c r="Z51" i="11"/>
  <c r="Y51" i="11"/>
  <c r="X51" i="11"/>
  <c r="W51" i="11"/>
  <c r="V51" i="11"/>
  <c r="U51" i="11"/>
  <c r="T51" i="11"/>
  <c r="O51" i="11"/>
  <c r="N50" i="1" s="1"/>
  <c r="AB50" i="11"/>
  <c r="AA50" i="11"/>
  <c r="Z50" i="11"/>
  <c r="Y50" i="11"/>
  <c r="X50" i="11"/>
  <c r="W50" i="11"/>
  <c r="V50" i="11"/>
  <c r="U50" i="11"/>
  <c r="T50" i="11"/>
  <c r="O50" i="11"/>
  <c r="AB49" i="11"/>
  <c r="AA49" i="11"/>
  <c r="Z49" i="11"/>
  <c r="Y49" i="11"/>
  <c r="X49" i="11"/>
  <c r="W49" i="11"/>
  <c r="V49" i="11"/>
  <c r="U49" i="11"/>
  <c r="T49" i="11"/>
  <c r="O49" i="11"/>
  <c r="AB48" i="11"/>
  <c r="AA48" i="11"/>
  <c r="Z48" i="11"/>
  <c r="Y48" i="11"/>
  <c r="X48" i="11"/>
  <c r="W48" i="11"/>
  <c r="V48" i="11"/>
  <c r="U48" i="11"/>
  <c r="T48" i="11"/>
  <c r="O48" i="11"/>
  <c r="AB47" i="11"/>
  <c r="AA47" i="11"/>
  <c r="Z47" i="11"/>
  <c r="Y47" i="11"/>
  <c r="X47" i="11"/>
  <c r="W47" i="11"/>
  <c r="V47" i="11"/>
  <c r="U47" i="11"/>
  <c r="T47" i="11"/>
  <c r="O47" i="11"/>
  <c r="AB46" i="11"/>
  <c r="AA46" i="11"/>
  <c r="Z46" i="11"/>
  <c r="Y46" i="11"/>
  <c r="X46" i="11"/>
  <c r="W46" i="11"/>
  <c r="V46" i="11"/>
  <c r="U46" i="11"/>
  <c r="T46" i="11"/>
  <c r="O46" i="11"/>
  <c r="AB45" i="11"/>
  <c r="AA45" i="11"/>
  <c r="Z45" i="11"/>
  <c r="Y45" i="11"/>
  <c r="X45" i="11"/>
  <c r="W45" i="11"/>
  <c r="V45" i="11"/>
  <c r="U45" i="11"/>
  <c r="T45" i="11"/>
  <c r="O45" i="11"/>
  <c r="AB44" i="11"/>
  <c r="AA44" i="11"/>
  <c r="Z44" i="11"/>
  <c r="Y44" i="11"/>
  <c r="X44" i="11"/>
  <c r="W44" i="11"/>
  <c r="V44" i="11"/>
  <c r="U44" i="11"/>
  <c r="T44" i="11"/>
  <c r="O44" i="11"/>
  <c r="AB43" i="11"/>
  <c r="AA43" i="11"/>
  <c r="Z43" i="11"/>
  <c r="Y43" i="11"/>
  <c r="X43" i="11"/>
  <c r="W43" i="11"/>
  <c r="V43" i="11"/>
  <c r="U43" i="11"/>
  <c r="T43" i="11"/>
  <c r="O43" i="11"/>
  <c r="N42" i="1" s="1"/>
  <c r="AB42" i="11"/>
  <c r="AA42" i="11"/>
  <c r="Z42" i="11"/>
  <c r="Y42" i="11"/>
  <c r="X42" i="11"/>
  <c r="W42" i="11"/>
  <c r="V42" i="11"/>
  <c r="U42" i="11"/>
  <c r="T42" i="11"/>
  <c r="O42" i="11"/>
  <c r="AB41" i="11"/>
  <c r="AA41" i="11"/>
  <c r="Z41" i="11"/>
  <c r="Y41" i="11"/>
  <c r="X41" i="11"/>
  <c r="W41" i="11"/>
  <c r="V41" i="11"/>
  <c r="U41" i="11"/>
  <c r="T41" i="11"/>
  <c r="O41" i="11"/>
  <c r="AB40" i="11"/>
  <c r="AA40" i="11"/>
  <c r="Z40" i="11"/>
  <c r="Y40" i="11"/>
  <c r="X40" i="11"/>
  <c r="W40" i="11"/>
  <c r="V40" i="11"/>
  <c r="U40" i="11"/>
  <c r="T40" i="11"/>
  <c r="O40" i="11"/>
  <c r="AB39" i="11"/>
  <c r="AA39" i="11"/>
  <c r="Z39" i="11"/>
  <c r="Y39" i="11"/>
  <c r="X39" i="11"/>
  <c r="W39" i="11"/>
  <c r="V39" i="11"/>
  <c r="U39" i="11"/>
  <c r="T39" i="11"/>
  <c r="Q39" i="11"/>
  <c r="P39" i="11" s="1"/>
  <c r="O39" i="11"/>
  <c r="AB38" i="11"/>
  <c r="AA38" i="11"/>
  <c r="Z38" i="11"/>
  <c r="Y38" i="11"/>
  <c r="X38" i="11"/>
  <c r="W38" i="11"/>
  <c r="V38" i="11"/>
  <c r="U38" i="11"/>
  <c r="T38" i="11"/>
  <c r="Q38" i="11"/>
  <c r="P38" i="11" s="1"/>
  <c r="O38" i="11"/>
  <c r="N37" i="1" s="1"/>
  <c r="AB37" i="11"/>
  <c r="AA37" i="11"/>
  <c r="Z37" i="11"/>
  <c r="Y37" i="11"/>
  <c r="X37" i="11"/>
  <c r="W37" i="11"/>
  <c r="V37" i="11"/>
  <c r="U37" i="11"/>
  <c r="T37" i="11"/>
  <c r="O37" i="11"/>
  <c r="AB36" i="11"/>
  <c r="AA36" i="11"/>
  <c r="Z36" i="11"/>
  <c r="Y36" i="11"/>
  <c r="X36" i="11"/>
  <c r="W36" i="11"/>
  <c r="V36" i="11"/>
  <c r="U36" i="11"/>
  <c r="T36" i="11"/>
  <c r="O36" i="11"/>
  <c r="AB35" i="11"/>
  <c r="AA35" i="11"/>
  <c r="Z35" i="11"/>
  <c r="Y35" i="11"/>
  <c r="X35" i="11"/>
  <c r="W35" i="11"/>
  <c r="V35" i="11"/>
  <c r="U35" i="11"/>
  <c r="T35" i="11"/>
  <c r="O35" i="11"/>
  <c r="AB34" i="11"/>
  <c r="AA34" i="11"/>
  <c r="Z34" i="11"/>
  <c r="Y34" i="11"/>
  <c r="X34" i="11"/>
  <c r="W34" i="11"/>
  <c r="V34" i="11"/>
  <c r="U34" i="11"/>
  <c r="T34" i="11"/>
  <c r="O34" i="11"/>
  <c r="AB33" i="11"/>
  <c r="AA33" i="11"/>
  <c r="Z33" i="11"/>
  <c r="Y33" i="11"/>
  <c r="X33" i="11"/>
  <c r="W33" i="11"/>
  <c r="V33" i="11"/>
  <c r="U33" i="11"/>
  <c r="T33" i="11"/>
  <c r="O33" i="11"/>
  <c r="AB32" i="11"/>
  <c r="AA32" i="11"/>
  <c r="Z32" i="11"/>
  <c r="Y32" i="11"/>
  <c r="X32" i="11"/>
  <c r="W32" i="11"/>
  <c r="V32" i="11"/>
  <c r="U32" i="11"/>
  <c r="T32" i="11"/>
  <c r="O32" i="11"/>
  <c r="AB31" i="11"/>
  <c r="AA31" i="11"/>
  <c r="Z31" i="11"/>
  <c r="Y31" i="11"/>
  <c r="X31" i="11"/>
  <c r="W31" i="11"/>
  <c r="V31" i="11"/>
  <c r="U31" i="11"/>
  <c r="T31" i="11"/>
  <c r="Q31" i="11"/>
  <c r="P31" i="11" s="1"/>
  <c r="O31" i="11"/>
  <c r="AB30" i="11"/>
  <c r="AA30" i="11"/>
  <c r="Z30" i="11"/>
  <c r="Y30" i="11"/>
  <c r="X30" i="11"/>
  <c r="W30" i="11"/>
  <c r="V30" i="11"/>
  <c r="U30" i="11"/>
  <c r="T30" i="11"/>
  <c r="Q30" i="11"/>
  <c r="P30" i="11" s="1"/>
  <c r="O30" i="11"/>
  <c r="AB29" i="11"/>
  <c r="AA29" i="11"/>
  <c r="Z29" i="11"/>
  <c r="Y29" i="11"/>
  <c r="X29" i="11"/>
  <c r="W29" i="11"/>
  <c r="V29" i="11"/>
  <c r="U29" i="11"/>
  <c r="T29" i="11"/>
  <c r="O29" i="11"/>
  <c r="AB28" i="11"/>
  <c r="AA28" i="11"/>
  <c r="Z28" i="11"/>
  <c r="Y28" i="11"/>
  <c r="X28" i="11"/>
  <c r="W28" i="11"/>
  <c r="V28" i="11"/>
  <c r="U28" i="11"/>
  <c r="T28" i="11"/>
  <c r="O28" i="11"/>
  <c r="AB27" i="11"/>
  <c r="AA27" i="11"/>
  <c r="Z27" i="11"/>
  <c r="Y27" i="11"/>
  <c r="X27" i="11"/>
  <c r="W27" i="11"/>
  <c r="V27" i="11"/>
  <c r="U27" i="11"/>
  <c r="T27" i="11"/>
  <c r="O27" i="11"/>
  <c r="AB26" i="11"/>
  <c r="AA26" i="11"/>
  <c r="Z26" i="11"/>
  <c r="Y26" i="11"/>
  <c r="X26" i="11"/>
  <c r="W26" i="11"/>
  <c r="V26" i="11"/>
  <c r="U26" i="11"/>
  <c r="T26" i="11"/>
  <c r="O26" i="11"/>
  <c r="AB25" i="11"/>
  <c r="AA25" i="11"/>
  <c r="Z25" i="11"/>
  <c r="Y25" i="11"/>
  <c r="X25" i="11"/>
  <c r="W25" i="11"/>
  <c r="V25" i="11"/>
  <c r="U25" i="11"/>
  <c r="T25" i="11"/>
  <c r="O25" i="11"/>
  <c r="N24" i="1" s="1"/>
  <c r="AB24" i="11"/>
  <c r="AA24" i="11"/>
  <c r="Z24" i="11"/>
  <c r="Y24" i="11"/>
  <c r="X24" i="11"/>
  <c r="W24" i="11"/>
  <c r="V24" i="11"/>
  <c r="U24" i="11"/>
  <c r="T24" i="11"/>
  <c r="O24" i="11"/>
  <c r="AB23" i="11"/>
  <c r="AA23" i="11"/>
  <c r="Z23" i="11"/>
  <c r="Y23" i="11"/>
  <c r="X23" i="11"/>
  <c r="W23" i="11"/>
  <c r="V23" i="11"/>
  <c r="U23" i="11"/>
  <c r="T23" i="11"/>
  <c r="O23" i="11"/>
  <c r="N22" i="1" s="1"/>
  <c r="AB22" i="11"/>
  <c r="AA22" i="11"/>
  <c r="Z22" i="11"/>
  <c r="Y22" i="11"/>
  <c r="X22" i="11"/>
  <c r="W22" i="11"/>
  <c r="V22" i="11"/>
  <c r="U22" i="11"/>
  <c r="T22" i="11"/>
  <c r="Q22" i="11"/>
  <c r="P22" i="11" s="1"/>
  <c r="O22" i="11"/>
  <c r="AB21" i="11"/>
  <c r="AA21" i="11"/>
  <c r="Z21" i="11"/>
  <c r="Y21" i="11"/>
  <c r="X21" i="11"/>
  <c r="W21" i="11"/>
  <c r="V21" i="11"/>
  <c r="U21" i="11"/>
  <c r="T21" i="11"/>
  <c r="O21" i="11"/>
  <c r="AB20" i="11"/>
  <c r="AA20" i="11"/>
  <c r="Z20" i="11"/>
  <c r="Y20" i="11"/>
  <c r="X20" i="11"/>
  <c r="W20" i="11"/>
  <c r="V20" i="11"/>
  <c r="U20" i="11"/>
  <c r="T20" i="11"/>
  <c r="O20" i="11"/>
  <c r="N19" i="1" s="1"/>
  <c r="AB19" i="11"/>
  <c r="AA19" i="11"/>
  <c r="Z19" i="11"/>
  <c r="Y19" i="11"/>
  <c r="X19" i="11"/>
  <c r="W19" i="11"/>
  <c r="V19" i="11"/>
  <c r="U19" i="11"/>
  <c r="T19" i="11"/>
  <c r="O19" i="11"/>
  <c r="AB18" i="11"/>
  <c r="AA18" i="11"/>
  <c r="Z18" i="11"/>
  <c r="Y18" i="11"/>
  <c r="X18" i="11"/>
  <c r="W18" i="11"/>
  <c r="V18" i="11"/>
  <c r="U18" i="11"/>
  <c r="T18" i="11"/>
  <c r="O18" i="11"/>
  <c r="AB17" i="11"/>
  <c r="AA17" i="11"/>
  <c r="Z17" i="11"/>
  <c r="Y17" i="11"/>
  <c r="X17" i="11"/>
  <c r="W17" i="11"/>
  <c r="V17" i="11"/>
  <c r="U17" i="11"/>
  <c r="T17" i="11"/>
  <c r="O17" i="11"/>
  <c r="AB16" i="11"/>
  <c r="AA16" i="11"/>
  <c r="Z16" i="11"/>
  <c r="Y16" i="11"/>
  <c r="X16" i="11"/>
  <c r="W16" i="11"/>
  <c r="V16" i="11"/>
  <c r="U16" i="11"/>
  <c r="T16" i="11"/>
  <c r="O16" i="11"/>
  <c r="N15" i="1" s="1"/>
  <c r="AB15" i="11"/>
  <c r="AA15" i="11"/>
  <c r="Z15" i="11"/>
  <c r="Y15" i="11"/>
  <c r="X15" i="11"/>
  <c r="W15" i="11"/>
  <c r="V15" i="11"/>
  <c r="U15" i="11"/>
  <c r="T15" i="11"/>
  <c r="Q15" i="11"/>
  <c r="P15" i="11" s="1"/>
  <c r="O15" i="11"/>
  <c r="AB14" i="11"/>
  <c r="AA14" i="11"/>
  <c r="Z14" i="11"/>
  <c r="Y14" i="11"/>
  <c r="X14" i="11"/>
  <c r="W14" i="11"/>
  <c r="V14" i="11"/>
  <c r="U14" i="11"/>
  <c r="T14" i="11"/>
  <c r="Q14" i="11"/>
  <c r="P14" i="11" s="1"/>
  <c r="O14" i="11"/>
  <c r="AB13" i="11"/>
  <c r="AA13" i="11"/>
  <c r="Z13" i="11"/>
  <c r="Y13" i="11"/>
  <c r="X13" i="11"/>
  <c r="W13" i="11"/>
  <c r="V13" i="11"/>
  <c r="U13" i="11"/>
  <c r="T13" i="11"/>
  <c r="O13" i="11"/>
  <c r="AB12" i="11"/>
  <c r="AA12" i="11"/>
  <c r="Z12" i="11"/>
  <c r="Y12" i="11"/>
  <c r="X12" i="11"/>
  <c r="W12" i="11"/>
  <c r="V12" i="11"/>
  <c r="U12" i="11"/>
  <c r="T12" i="11"/>
  <c r="O12" i="11"/>
  <c r="AB11" i="11"/>
  <c r="AA11" i="11"/>
  <c r="Z11" i="11"/>
  <c r="Y11" i="11"/>
  <c r="X11" i="11"/>
  <c r="W11" i="11"/>
  <c r="V11" i="11"/>
  <c r="U11" i="11"/>
  <c r="T11" i="11"/>
  <c r="Q11" i="11"/>
  <c r="P11" i="11" s="1"/>
  <c r="O11" i="11"/>
  <c r="AB10" i="11"/>
  <c r="AA10" i="11"/>
  <c r="Z10" i="11"/>
  <c r="Y10" i="11"/>
  <c r="X10" i="11"/>
  <c r="W10" i="11"/>
  <c r="V10" i="11"/>
  <c r="U10" i="11"/>
  <c r="T10" i="11"/>
  <c r="Q10" i="11"/>
  <c r="P10" i="11" s="1"/>
  <c r="O10" i="11"/>
  <c r="AB9" i="11"/>
  <c r="AA9" i="11"/>
  <c r="Z9" i="11"/>
  <c r="Y9" i="11"/>
  <c r="X9" i="11"/>
  <c r="W9" i="11"/>
  <c r="V9" i="11"/>
  <c r="U9" i="11"/>
  <c r="T9" i="11"/>
  <c r="O9" i="11"/>
  <c r="AB8" i="11"/>
  <c r="AA8" i="11"/>
  <c r="Z8" i="11"/>
  <c r="Y8" i="11"/>
  <c r="X8" i="11"/>
  <c r="W8" i="11"/>
  <c r="V8" i="11"/>
  <c r="U8" i="11"/>
  <c r="T8" i="11"/>
  <c r="Q8" i="11"/>
  <c r="P8" i="11" s="1"/>
  <c r="O8" i="11"/>
  <c r="AB7" i="11"/>
  <c r="AA7" i="11"/>
  <c r="Z7" i="11"/>
  <c r="Y7" i="11"/>
  <c r="X7" i="11"/>
  <c r="W7" i="11"/>
  <c r="V7" i="11"/>
  <c r="U7" i="11"/>
  <c r="T7" i="11"/>
  <c r="O7" i="11"/>
  <c r="AB6" i="11"/>
  <c r="AA6" i="11"/>
  <c r="Z6" i="11"/>
  <c r="Y6" i="11"/>
  <c r="X6" i="11"/>
  <c r="W6" i="11"/>
  <c r="V6" i="11"/>
  <c r="U6" i="11"/>
  <c r="T6" i="11"/>
  <c r="O6" i="11"/>
  <c r="N5" i="1" s="1"/>
  <c r="AB5" i="11"/>
  <c r="AA5" i="11"/>
  <c r="Z5" i="11"/>
  <c r="Y5" i="11"/>
  <c r="X5" i="11"/>
  <c r="W5" i="11"/>
  <c r="V5" i="11"/>
  <c r="U5" i="11"/>
  <c r="T5" i="11"/>
  <c r="O5" i="11"/>
  <c r="N4" i="1" s="1"/>
  <c r="AB4" i="11"/>
  <c r="AA4" i="11"/>
  <c r="Z4" i="11"/>
  <c r="Y4" i="11"/>
  <c r="X4" i="11"/>
  <c r="W4" i="11"/>
  <c r="V4" i="11"/>
  <c r="U4" i="11"/>
  <c r="T4" i="11"/>
  <c r="O4" i="11"/>
  <c r="AB2" i="11"/>
  <c r="AA2" i="11"/>
  <c r="Z2" i="11"/>
  <c r="Y2" i="11"/>
  <c r="X2" i="11"/>
  <c r="W2" i="11"/>
  <c r="V2" i="11"/>
  <c r="U2" i="11"/>
  <c r="T2" i="11"/>
  <c r="Q2" i="11"/>
  <c r="P2" i="11"/>
  <c r="R14" i="11" l="1"/>
  <c r="M13" i="1" s="1"/>
  <c r="Q13" i="1" s="1"/>
  <c r="R13" i="1" s="1"/>
  <c r="U13" i="1" s="1"/>
  <c r="R39" i="11"/>
  <c r="S39" i="11" s="1"/>
  <c r="R8" i="11"/>
  <c r="M7" i="1" s="1"/>
  <c r="Q7" i="1" s="1"/>
  <c r="R7" i="1" s="1"/>
  <c r="U7" i="1" s="1"/>
  <c r="R11" i="11"/>
  <c r="S11" i="11" s="1"/>
  <c r="R38" i="11"/>
  <c r="M37" i="1" s="1"/>
  <c r="R10" i="11"/>
  <c r="S10" i="11" s="1"/>
  <c r="R22" i="11"/>
  <c r="M21" i="1" s="1"/>
  <c r="Q21" i="1" s="1"/>
  <c r="R21" i="1" s="1"/>
  <c r="U21" i="1" s="1"/>
  <c r="R31" i="11"/>
  <c r="S31" i="11" s="1"/>
  <c r="R15" i="11"/>
  <c r="M14" i="1" s="1"/>
  <c r="Q14" i="1" s="1"/>
  <c r="R14" i="1" s="1"/>
  <c r="U14" i="1" s="1"/>
  <c r="R30" i="11"/>
  <c r="S30" i="11" s="1"/>
  <c r="AC7" i="11"/>
  <c r="AC10" i="11"/>
  <c r="AC22" i="11"/>
  <c r="AC24" i="11"/>
  <c r="AC26" i="11"/>
  <c r="AC31" i="11"/>
  <c r="AC35" i="11"/>
  <c r="AC40" i="11"/>
  <c r="AC42" i="11"/>
  <c r="AC46" i="11"/>
  <c r="AC48" i="11"/>
  <c r="AC50" i="11"/>
  <c r="AC54" i="11"/>
  <c r="AC56" i="11"/>
  <c r="AC58" i="11"/>
  <c r="AC62" i="11"/>
  <c r="AC64" i="11"/>
  <c r="P63" i="1" s="1"/>
  <c r="T63" i="1" s="1"/>
  <c r="AC68" i="11"/>
  <c r="AC12" i="11"/>
  <c r="AC19" i="11"/>
  <c r="AC30" i="11"/>
  <c r="AC6" i="11"/>
  <c r="P5" i="1" s="1"/>
  <c r="T5" i="1" s="1"/>
  <c r="AC14" i="11"/>
  <c r="AC23" i="11"/>
  <c r="P22" i="1" s="1"/>
  <c r="T22" i="1" s="1"/>
  <c r="AC27" i="11"/>
  <c r="AC32" i="11"/>
  <c r="AC34" i="11"/>
  <c r="AC43" i="11"/>
  <c r="P42" i="1" s="1"/>
  <c r="T42" i="1" s="1"/>
  <c r="AC47" i="11"/>
  <c r="AC51" i="11"/>
  <c r="P50" i="1" s="1"/>
  <c r="T50" i="1" s="1"/>
  <c r="AC55" i="11"/>
  <c r="AC59" i="11"/>
  <c r="AC63" i="11"/>
  <c r="AC67" i="11"/>
  <c r="AC5" i="11"/>
  <c r="P4" i="1" s="1"/>
  <c r="T4" i="1" s="1"/>
  <c r="AC8" i="11"/>
  <c r="AC16" i="11"/>
  <c r="P15" i="1" s="1"/>
  <c r="T15" i="1" s="1"/>
  <c r="AC18" i="11"/>
  <c r="AC38" i="11"/>
  <c r="P37" i="1" s="1"/>
  <c r="T37" i="1" s="1"/>
  <c r="AC66" i="11"/>
  <c r="Q68" i="11"/>
  <c r="P68" i="11" s="1"/>
  <c r="Q64" i="11"/>
  <c r="P64" i="11" s="1"/>
  <c r="Q60" i="11"/>
  <c r="P60" i="11" s="1"/>
  <c r="Q56" i="11"/>
  <c r="P56" i="11" s="1"/>
  <c r="Q52" i="11"/>
  <c r="P52" i="11" s="1"/>
  <c r="Q48" i="11"/>
  <c r="P48" i="11" s="1"/>
  <c r="Q44" i="11"/>
  <c r="P44" i="11" s="1"/>
  <c r="Q40" i="11"/>
  <c r="P40" i="11" s="1"/>
  <c r="Q36" i="11"/>
  <c r="P36" i="11" s="1"/>
  <c r="Q32" i="11"/>
  <c r="P32" i="11" s="1"/>
  <c r="Q28" i="11"/>
  <c r="P28" i="11" s="1"/>
  <c r="Q24" i="11"/>
  <c r="P24" i="11" s="1"/>
  <c r="Q20" i="11"/>
  <c r="P20" i="11" s="1"/>
  <c r="Q16" i="11"/>
  <c r="P16" i="11" s="1"/>
  <c r="Q12" i="11"/>
  <c r="P12" i="11" s="1"/>
  <c r="Q65" i="11"/>
  <c r="P65" i="11" s="1"/>
  <c r="Q61" i="11"/>
  <c r="P61" i="11" s="1"/>
  <c r="Q57" i="11"/>
  <c r="P57" i="11" s="1"/>
  <c r="Q53" i="11"/>
  <c r="P53" i="11" s="1"/>
  <c r="Q49" i="11"/>
  <c r="P49" i="11" s="1"/>
  <c r="Q45" i="11"/>
  <c r="P45" i="11" s="1"/>
  <c r="Q41" i="11"/>
  <c r="P41" i="11" s="1"/>
  <c r="Q37" i="11"/>
  <c r="P37" i="11" s="1"/>
  <c r="Q33" i="11"/>
  <c r="P33" i="11" s="1"/>
  <c r="Q29" i="11"/>
  <c r="P29" i="11" s="1"/>
  <c r="Q25" i="11"/>
  <c r="P25" i="11" s="1"/>
  <c r="Q21" i="11"/>
  <c r="P21" i="11" s="1"/>
  <c r="Q17" i="11"/>
  <c r="P17" i="11" s="1"/>
  <c r="Q13" i="11"/>
  <c r="P13" i="11" s="1"/>
  <c r="Q9" i="11"/>
  <c r="P9" i="11" s="1"/>
  <c r="Q5" i="11"/>
  <c r="P5" i="11" s="1"/>
  <c r="Q66" i="11"/>
  <c r="P66" i="11" s="1"/>
  <c r="Q6" i="11"/>
  <c r="P6" i="11" s="1"/>
  <c r="Q4" i="11"/>
  <c r="P4" i="11" s="1"/>
  <c r="Q67" i="11"/>
  <c r="P67" i="11" s="1"/>
  <c r="Q63" i="11"/>
  <c r="P63" i="11" s="1"/>
  <c r="Q62" i="11"/>
  <c r="P62" i="11" s="1"/>
  <c r="Q55" i="11"/>
  <c r="P55" i="11" s="1"/>
  <c r="Q54" i="11"/>
  <c r="P54" i="11" s="1"/>
  <c r="Q47" i="11"/>
  <c r="P47" i="11" s="1"/>
  <c r="Q7" i="11"/>
  <c r="P7" i="11" s="1"/>
  <c r="Q59" i="11"/>
  <c r="P59" i="11" s="1"/>
  <c r="Q58" i="11"/>
  <c r="P58" i="11" s="1"/>
  <c r="Q51" i="11"/>
  <c r="P51" i="11" s="1"/>
  <c r="Q50" i="11"/>
  <c r="P50" i="11" s="1"/>
  <c r="Q43" i="11"/>
  <c r="P43" i="11" s="1"/>
  <c r="Q42" i="11"/>
  <c r="P42" i="11" s="1"/>
  <c r="Q35" i="11"/>
  <c r="P35" i="11" s="1"/>
  <c r="Q34" i="11"/>
  <c r="P34" i="11" s="1"/>
  <c r="Q27" i="11"/>
  <c r="P27" i="11" s="1"/>
  <c r="Q26" i="11"/>
  <c r="P26" i="11" s="1"/>
  <c r="Q19" i="11"/>
  <c r="P19" i="11" s="1"/>
  <c r="Q18" i="11"/>
  <c r="P18" i="11" s="1"/>
  <c r="AC11" i="11"/>
  <c r="Q23" i="11"/>
  <c r="P23" i="11" s="1"/>
  <c r="AC39" i="11"/>
  <c r="Q46" i="11"/>
  <c r="P46" i="11" s="1"/>
  <c r="AC4" i="11"/>
  <c r="AC15" i="11"/>
  <c r="AC20" i="11"/>
  <c r="P19" i="1" s="1"/>
  <c r="T19" i="1" s="1"/>
  <c r="AC28" i="11"/>
  <c r="AC36" i="11"/>
  <c r="AC44" i="11"/>
  <c r="AC52" i="11"/>
  <c r="AC60" i="11"/>
  <c r="AC9" i="11"/>
  <c r="AC17" i="11"/>
  <c r="AC25" i="11"/>
  <c r="P24" i="1" s="1"/>
  <c r="T24" i="1" s="1"/>
  <c r="AC33" i="11"/>
  <c r="AC41" i="11"/>
  <c r="AC49" i="11"/>
  <c r="AC57" i="11"/>
  <c r="AC65" i="11"/>
  <c r="AC13" i="11"/>
  <c r="AC21" i="11"/>
  <c r="AC29" i="11"/>
  <c r="AC37" i="11"/>
  <c r="AC45" i="11"/>
  <c r="AC53" i="11"/>
  <c r="AC61" i="11"/>
  <c r="AQ1" i="1"/>
  <c r="AS4" i="1"/>
  <c r="AS5" i="1"/>
  <c r="AS6" i="1"/>
  <c r="AS7" i="1"/>
  <c r="AS8" i="1"/>
  <c r="AS9" i="1"/>
  <c r="AS10" i="1"/>
  <c r="AS11" i="1"/>
  <c r="AS12" i="1"/>
  <c r="AS13" i="1"/>
  <c r="AS14" i="1"/>
  <c r="AS15" i="1"/>
  <c r="AS16" i="1"/>
  <c r="AS17" i="1"/>
  <c r="AS18" i="1"/>
  <c r="AS19" i="1"/>
  <c r="AS20" i="1"/>
  <c r="AS21" i="1"/>
  <c r="AS22" i="1"/>
  <c r="AS23" i="1"/>
  <c r="AS24" i="1"/>
  <c r="AS25" i="1"/>
  <c r="AS26" i="1"/>
  <c r="AS27" i="1"/>
  <c r="AS28" i="1"/>
  <c r="AS29" i="1"/>
  <c r="AS30" i="1"/>
  <c r="AS31" i="1"/>
  <c r="AS32" i="1"/>
  <c r="AS33" i="1"/>
  <c r="AS34" i="1"/>
  <c r="AS35" i="1"/>
  <c r="AS36" i="1"/>
  <c r="AS37" i="1"/>
  <c r="AS38" i="1"/>
  <c r="AS39" i="1"/>
  <c r="AS40" i="1"/>
  <c r="AS41" i="1"/>
  <c r="AS42" i="1"/>
  <c r="AS43" i="1"/>
  <c r="AS44" i="1"/>
  <c r="AS45" i="1"/>
  <c r="AS46" i="1"/>
  <c r="AS47" i="1"/>
  <c r="AS48" i="1"/>
  <c r="AS49" i="1"/>
  <c r="AS50" i="1"/>
  <c r="AS51" i="1"/>
  <c r="AS52" i="1"/>
  <c r="AS53" i="1"/>
  <c r="AS54" i="1"/>
  <c r="AS55" i="1"/>
  <c r="AS56" i="1"/>
  <c r="AS57" i="1"/>
  <c r="AS58" i="1"/>
  <c r="AS59" i="1"/>
  <c r="AS60" i="1"/>
  <c r="AS61" i="1"/>
  <c r="AS62" i="1"/>
  <c r="AS63" i="1"/>
  <c r="AS64" i="1"/>
  <c r="AS65" i="1"/>
  <c r="AS66" i="1"/>
  <c r="AS67" i="1"/>
  <c r="AS3" i="1"/>
  <c r="AR4" i="1"/>
  <c r="AR5" i="1"/>
  <c r="AR6" i="1"/>
  <c r="AR7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36" i="1"/>
  <c r="AR37" i="1"/>
  <c r="AR38" i="1"/>
  <c r="AR39" i="1"/>
  <c r="AR40" i="1"/>
  <c r="AR41" i="1"/>
  <c r="AR42" i="1"/>
  <c r="AR43" i="1"/>
  <c r="AR44" i="1"/>
  <c r="AR45" i="1"/>
  <c r="AR46" i="1"/>
  <c r="AR47" i="1"/>
  <c r="AR48" i="1"/>
  <c r="AR49" i="1"/>
  <c r="AR50" i="1"/>
  <c r="AR51" i="1"/>
  <c r="AR52" i="1"/>
  <c r="AR53" i="1"/>
  <c r="AR54" i="1"/>
  <c r="AR55" i="1"/>
  <c r="AR56" i="1"/>
  <c r="AR57" i="1"/>
  <c r="AR58" i="1"/>
  <c r="AR59" i="1"/>
  <c r="AR60" i="1"/>
  <c r="AR61" i="1"/>
  <c r="AR62" i="1"/>
  <c r="AR63" i="1"/>
  <c r="AR64" i="1"/>
  <c r="AR65" i="1"/>
  <c r="AR66" i="1"/>
  <c r="AR67" i="1"/>
  <c r="AR3" i="1"/>
  <c r="AQ4" i="1"/>
  <c r="AQ5" i="1"/>
  <c r="AQ6" i="1"/>
  <c r="AQ7" i="1"/>
  <c r="AQ8" i="1"/>
  <c r="AQ9" i="1"/>
  <c r="AQ10" i="1"/>
  <c r="AQ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5" i="1"/>
  <c r="AQ36" i="1"/>
  <c r="AQ37" i="1"/>
  <c r="AQ38" i="1"/>
  <c r="AQ39" i="1"/>
  <c r="AQ40" i="1"/>
  <c r="AQ41" i="1"/>
  <c r="AQ42" i="1"/>
  <c r="AQ43" i="1"/>
  <c r="AQ44" i="1"/>
  <c r="AQ45" i="1"/>
  <c r="AQ46" i="1"/>
  <c r="AQ47" i="1"/>
  <c r="AQ48" i="1"/>
  <c r="AQ49" i="1"/>
  <c r="AQ50" i="1"/>
  <c r="AQ51" i="1"/>
  <c r="AQ52" i="1"/>
  <c r="AQ53" i="1"/>
  <c r="AQ54" i="1"/>
  <c r="AQ55" i="1"/>
  <c r="AQ56" i="1"/>
  <c r="AQ57" i="1"/>
  <c r="AQ58" i="1"/>
  <c r="AQ59" i="1"/>
  <c r="AQ60" i="1"/>
  <c r="AQ61" i="1"/>
  <c r="AQ62" i="1"/>
  <c r="AQ63" i="1"/>
  <c r="AQ64" i="1"/>
  <c r="AQ65" i="1"/>
  <c r="AQ66" i="1"/>
  <c r="AQ67" i="1"/>
  <c r="AQ3" i="1"/>
  <c r="AP67" i="1"/>
  <c r="AP66" i="1"/>
  <c r="AP65" i="1"/>
  <c r="AP64" i="1"/>
  <c r="AP63" i="1"/>
  <c r="AP62" i="1"/>
  <c r="AP61" i="1"/>
  <c r="AP60" i="1"/>
  <c r="AP59" i="1"/>
  <c r="AP58" i="1"/>
  <c r="AP57" i="1"/>
  <c r="AP56" i="1"/>
  <c r="AP55" i="1"/>
  <c r="AP54" i="1"/>
  <c r="AP53" i="1"/>
  <c r="AP52" i="1"/>
  <c r="AP51" i="1"/>
  <c r="AP50" i="1"/>
  <c r="AP49" i="1"/>
  <c r="AP48" i="1"/>
  <c r="AP47" i="1"/>
  <c r="AP46" i="1"/>
  <c r="AP45" i="1"/>
  <c r="AP44" i="1"/>
  <c r="AP43" i="1"/>
  <c r="AP42" i="1"/>
  <c r="AP41" i="1"/>
  <c r="AP40" i="1"/>
  <c r="AP39" i="1"/>
  <c r="AP38" i="1"/>
  <c r="AP37" i="1"/>
  <c r="AP36" i="1"/>
  <c r="AP35" i="1"/>
  <c r="AP34" i="1"/>
  <c r="AP33" i="1"/>
  <c r="AP32" i="1"/>
  <c r="AP31" i="1"/>
  <c r="AP30" i="1"/>
  <c r="AP29" i="1"/>
  <c r="AP28" i="1"/>
  <c r="AP27" i="1"/>
  <c r="AP26" i="1"/>
  <c r="AP25" i="1"/>
  <c r="AP24" i="1"/>
  <c r="AP23" i="1"/>
  <c r="AP22" i="1"/>
  <c r="AP21" i="1"/>
  <c r="AP20" i="1"/>
  <c r="AP19" i="1"/>
  <c r="AP18" i="1"/>
  <c r="AP17" i="1"/>
  <c r="AP16" i="1"/>
  <c r="AP15" i="1"/>
  <c r="AP14" i="1"/>
  <c r="AP13" i="1"/>
  <c r="AP12" i="1"/>
  <c r="AP11" i="1"/>
  <c r="AP10" i="1"/>
  <c r="AP9" i="1"/>
  <c r="AP8" i="1"/>
  <c r="AP7" i="1"/>
  <c r="AP6" i="1"/>
  <c r="AP5" i="1"/>
  <c r="AP4" i="1"/>
  <c r="AP3" i="1"/>
  <c r="AO67" i="1"/>
  <c r="AO66" i="1"/>
  <c r="AO65" i="1"/>
  <c r="AO64" i="1"/>
  <c r="AO63" i="1"/>
  <c r="AO62" i="1"/>
  <c r="AO61" i="1"/>
  <c r="AO60" i="1"/>
  <c r="AO59" i="1"/>
  <c r="AO58" i="1"/>
  <c r="AO57" i="1"/>
  <c r="AO56" i="1"/>
  <c r="AO55" i="1"/>
  <c r="AO54" i="1"/>
  <c r="AO53" i="1"/>
  <c r="AO52" i="1"/>
  <c r="AO51" i="1"/>
  <c r="AO50" i="1"/>
  <c r="AO49" i="1"/>
  <c r="AO48" i="1"/>
  <c r="AO47" i="1"/>
  <c r="AO46" i="1"/>
  <c r="AO45" i="1"/>
  <c r="AO44" i="1"/>
  <c r="AO43" i="1"/>
  <c r="AO42" i="1"/>
  <c r="AO41" i="1"/>
  <c r="AO40" i="1"/>
  <c r="AO39" i="1"/>
  <c r="AO38" i="1"/>
  <c r="AO37" i="1"/>
  <c r="AO36" i="1"/>
  <c r="AO35" i="1"/>
  <c r="AO34" i="1"/>
  <c r="AO33" i="1"/>
  <c r="AO32" i="1"/>
  <c r="AO31" i="1"/>
  <c r="AO30" i="1"/>
  <c r="AO29" i="1"/>
  <c r="AO28" i="1"/>
  <c r="AO27" i="1"/>
  <c r="AO26" i="1"/>
  <c r="AO25" i="1"/>
  <c r="AO24" i="1"/>
  <c r="AO23" i="1"/>
  <c r="AO22" i="1"/>
  <c r="AO21" i="1"/>
  <c r="AO20" i="1"/>
  <c r="AO19" i="1"/>
  <c r="AO18" i="1"/>
  <c r="AO17" i="1"/>
  <c r="AO16" i="1"/>
  <c r="AO15" i="1"/>
  <c r="AO14" i="1"/>
  <c r="AO13" i="1"/>
  <c r="AO12" i="1"/>
  <c r="AO11" i="1"/>
  <c r="AO10" i="1"/>
  <c r="AO9" i="1"/>
  <c r="AO8" i="1"/>
  <c r="AO7" i="1"/>
  <c r="AO6" i="1"/>
  <c r="AO5" i="1"/>
  <c r="AO4" i="1"/>
  <c r="AO3" i="1"/>
  <c r="AN67" i="1"/>
  <c r="AN66" i="1"/>
  <c r="AN65" i="1"/>
  <c r="AN64" i="1"/>
  <c r="AN63" i="1"/>
  <c r="AN62" i="1"/>
  <c r="AN61" i="1"/>
  <c r="AN60" i="1"/>
  <c r="AN59" i="1"/>
  <c r="AN58" i="1"/>
  <c r="AN57" i="1"/>
  <c r="AN56" i="1"/>
  <c r="AN55" i="1"/>
  <c r="AN54" i="1"/>
  <c r="AN53" i="1"/>
  <c r="AN52" i="1"/>
  <c r="AN51" i="1"/>
  <c r="AN50" i="1"/>
  <c r="AN49" i="1"/>
  <c r="AN48" i="1"/>
  <c r="AN47" i="1"/>
  <c r="AN46" i="1"/>
  <c r="AN45" i="1"/>
  <c r="AN44" i="1"/>
  <c r="AN43" i="1"/>
  <c r="AN42" i="1"/>
  <c r="AN41" i="1"/>
  <c r="AN40" i="1"/>
  <c r="AN39" i="1"/>
  <c r="AN38" i="1"/>
  <c r="AN37" i="1"/>
  <c r="AN36" i="1"/>
  <c r="AN35" i="1"/>
  <c r="AN34" i="1"/>
  <c r="AN33" i="1"/>
  <c r="AN32" i="1"/>
  <c r="AN31" i="1"/>
  <c r="AN30" i="1"/>
  <c r="AN29" i="1"/>
  <c r="AN28" i="1"/>
  <c r="AN27" i="1"/>
  <c r="AN26" i="1"/>
  <c r="AN25" i="1"/>
  <c r="AN24" i="1"/>
  <c r="AN23" i="1"/>
  <c r="AN22" i="1"/>
  <c r="AN21" i="1"/>
  <c r="AN20" i="1"/>
  <c r="AN19" i="1"/>
  <c r="AN18" i="1"/>
  <c r="AN17" i="1"/>
  <c r="AN16" i="1"/>
  <c r="AN15" i="1"/>
  <c r="AN14" i="1"/>
  <c r="AN13" i="1"/>
  <c r="AN12" i="1"/>
  <c r="AN11" i="1"/>
  <c r="AN10" i="1"/>
  <c r="AN9" i="1"/>
  <c r="AN8" i="1"/>
  <c r="AN7" i="1"/>
  <c r="AN6" i="1"/>
  <c r="AN5" i="1"/>
  <c r="AN4" i="1"/>
  <c r="AN3" i="1"/>
  <c r="W5" i="10"/>
  <c r="W6" i="10"/>
  <c r="W7" i="10"/>
  <c r="W8" i="10"/>
  <c r="W9" i="10"/>
  <c r="W10" i="10"/>
  <c r="W11" i="10"/>
  <c r="W12" i="10"/>
  <c r="W13" i="10"/>
  <c r="W14" i="10"/>
  <c r="W15" i="10"/>
  <c r="W16" i="10"/>
  <c r="W17" i="10"/>
  <c r="W18" i="10"/>
  <c r="W19" i="10"/>
  <c r="W20" i="10"/>
  <c r="W21" i="10"/>
  <c r="W22" i="10"/>
  <c r="W23" i="10"/>
  <c r="W24" i="10"/>
  <c r="W25" i="10"/>
  <c r="W26" i="10"/>
  <c r="W27" i="10"/>
  <c r="W28" i="10"/>
  <c r="W29" i="10"/>
  <c r="W30" i="10"/>
  <c r="W31" i="10"/>
  <c r="W32" i="10"/>
  <c r="W33" i="10"/>
  <c r="W34" i="10"/>
  <c r="W35" i="10"/>
  <c r="W36" i="10"/>
  <c r="W37" i="10"/>
  <c r="W38" i="10"/>
  <c r="W39" i="10"/>
  <c r="W40" i="10"/>
  <c r="W41" i="10"/>
  <c r="W42" i="10"/>
  <c r="W44" i="10"/>
  <c r="W45" i="10"/>
  <c r="W46" i="10"/>
  <c r="W47" i="10"/>
  <c r="W48" i="10"/>
  <c r="W49" i="10"/>
  <c r="W50" i="10"/>
  <c r="W51" i="10"/>
  <c r="W52" i="10"/>
  <c r="W53" i="10"/>
  <c r="W54" i="10"/>
  <c r="W55" i="10"/>
  <c r="W56" i="10"/>
  <c r="W57" i="10"/>
  <c r="W58" i="10"/>
  <c r="W59" i="10"/>
  <c r="W60" i="10"/>
  <c r="W61" i="10"/>
  <c r="W62" i="10"/>
  <c r="W63" i="10"/>
  <c r="W64" i="10"/>
  <c r="W65" i="10"/>
  <c r="W66" i="10"/>
  <c r="W67" i="10"/>
  <c r="W68" i="10"/>
  <c r="W4" i="10"/>
  <c r="V5" i="10"/>
  <c r="V6" i="10"/>
  <c r="V7" i="10"/>
  <c r="V8" i="10"/>
  <c r="V9" i="10"/>
  <c r="V10" i="10"/>
  <c r="V11" i="10"/>
  <c r="V12" i="10"/>
  <c r="V13" i="10"/>
  <c r="V14" i="10"/>
  <c r="V15" i="10"/>
  <c r="V16" i="10"/>
  <c r="V17" i="10"/>
  <c r="V18" i="10"/>
  <c r="V19" i="10"/>
  <c r="V20" i="10"/>
  <c r="V21" i="10"/>
  <c r="V22" i="10"/>
  <c r="V23" i="10"/>
  <c r="V24" i="10"/>
  <c r="V25" i="10"/>
  <c r="V26" i="10"/>
  <c r="V27" i="10"/>
  <c r="V28" i="10"/>
  <c r="V29" i="10"/>
  <c r="V30" i="10"/>
  <c r="V31" i="10"/>
  <c r="V32" i="10"/>
  <c r="V33" i="10"/>
  <c r="V34" i="10"/>
  <c r="V35" i="10"/>
  <c r="V36" i="10"/>
  <c r="V37" i="10"/>
  <c r="V38" i="10"/>
  <c r="V39" i="10"/>
  <c r="V40" i="10"/>
  <c r="V41" i="10"/>
  <c r="V42" i="10"/>
  <c r="V44" i="10"/>
  <c r="V45" i="10"/>
  <c r="V46" i="10"/>
  <c r="V47" i="10"/>
  <c r="V48" i="10"/>
  <c r="V49" i="10"/>
  <c r="V50" i="10"/>
  <c r="V51" i="10"/>
  <c r="V52" i="10"/>
  <c r="V53" i="10"/>
  <c r="V54" i="10"/>
  <c r="V55" i="10"/>
  <c r="V56" i="10"/>
  <c r="V57" i="10"/>
  <c r="V58" i="10"/>
  <c r="V59" i="10"/>
  <c r="V60" i="10"/>
  <c r="V61" i="10"/>
  <c r="V62" i="10"/>
  <c r="V63" i="10"/>
  <c r="V64" i="10"/>
  <c r="V65" i="10"/>
  <c r="V66" i="10"/>
  <c r="V67" i="10"/>
  <c r="V68" i="10"/>
  <c r="V4" i="10"/>
  <c r="U5" i="10"/>
  <c r="U6" i="10"/>
  <c r="U7" i="10"/>
  <c r="U8" i="10"/>
  <c r="U9" i="10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U31" i="10"/>
  <c r="U32" i="10"/>
  <c r="U33" i="10"/>
  <c r="U34" i="10"/>
  <c r="U35" i="10"/>
  <c r="U36" i="10"/>
  <c r="U37" i="10"/>
  <c r="U38" i="10"/>
  <c r="U39" i="10"/>
  <c r="U40" i="10"/>
  <c r="U41" i="10"/>
  <c r="U42" i="10"/>
  <c r="U43" i="10"/>
  <c r="U44" i="10"/>
  <c r="U45" i="10"/>
  <c r="U46" i="10"/>
  <c r="U47" i="10"/>
  <c r="U48" i="10"/>
  <c r="U49" i="10"/>
  <c r="U50" i="10"/>
  <c r="U51" i="10"/>
  <c r="U52" i="10"/>
  <c r="U53" i="10"/>
  <c r="U54" i="10"/>
  <c r="U55" i="10"/>
  <c r="U56" i="10"/>
  <c r="U57" i="10"/>
  <c r="U58" i="10"/>
  <c r="U59" i="10"/>
  <c r="U60" i="10"/>
  <c r="U61" i="10"/>
  <c r="U62" i="10"/>
  <c r="U63" i="10"/>
  <c r="U64" i="10"/>
  <c r="U65" i="10"/>
  <c r="U66" i="10"/>
  <c r="U67" i="10"/>
  <c r="U68" i="10"/>
  <c r="U4" i="10"/>
  <c r="T5" i="10"/>
  <c r="T6" i="10"/>
  <c r="T7" i="10"/>
  <c r="T8" i="10"/>
  <c r="T9" i="10"/>
  <c r="T10" i="10"/>
  <c r="T11" i="10"/>
  <c r="T12" i="10"/>
  <c r="T13" i="10"/>
  <c r="T14" i="10"/>
  <c r="T15" i="10"/>
  <c r="T16" i="10"/>
  <c r="T17" i="10"/>
  <c r="T18" i="10"/>
  <c r="T19" i="10"/>
  <c r="T20" i="10"/>
  <c r="T21" i="10"/>
  <c r="T22" i="10"/>
  <c r="T23" i="10"/>
  <c r="T24" i="10"/>
  <c r="T25" i="10"/>
  <c r="T26" i="10"/>
  <c r="T27" i="10"/>
  <c r="T28" i="10"/>
  <c r="T29" i="10"/>
  <c r="T30" i="10"/>
  <c r="T31" i="10"/>
  <c r="T32" i="10"/>
  <c r="T33" i="10"/>
  <c r="T34" i="10"/>
  <c r="T35" i="10"/>
  <c r="T36" i="10"/>
  <c r="T37" i="10"/>
  <c r="T38" i="10"/>
  <c r="T39" i="10"/>
  <c r="T40" i="10"/>
  <c r="T41" i="10"/>
  <c r="T42" i="10"/>
  <c r="T43" i="10"/>
  <c r="T44" i="10"/>
  <c r="T45" i="10"/>
  <c r="T46" i="10"/>
  <c r="T47" i="10"/>
  <c r="T48" i="10"/>
  <c r="T49" i="10"/>
  <c r="T50" i="10"/>
  <c r="T51" i="10"/>
  <c r="T52" i="10"/>
  <c r="T53" i="10"/>
  <c r="T54" i="10"/>
  <c r="T55" i="10"/>
  <c r="T56" i="10"/>
  <c r="T57" i="10"/>
  <c r="T58" i="10"/>
  <c r="T59" i="10"/>
  <c r="T60" i="10"/>
  <c r="T61" i="10"/>
  <c r="T62" i="10"/>
  <c r="T63" i="10"/>
  <c r="T64" i="10"/>
  <c r="T65" i="10"/>
  <c r="T66" i="10"/>
  <c r="T67" i="10"/>
  <c r="T68" i="10"/>
  <c r="T4" i="10"/>
  <c r="S5" i="10"/>
  <c r="S6" i="10"/>
  <c r="S7" i="10"/>
  <c r="S8" i="10"/>
  <c r="S9" i="10"/>
  <c r="S10" i="10"/>
  <c r="S11" i="10"/>
  <c r="S12" i="10"/>
  <c r="S13" i="10"/>
  <c r="S14" i="10"/>
  <c r="S15" i="10"/>
  <c r="S16" i="10"/>
  <c r="S17" i="10"/>
  <c r="S18" i="10"/>
  <c r="S19" i="10"/>
  <c r="S20" i="10"/>
  <c r="S21" i="10"/>
  <c r="S22" i="10"/>
  <c r="S23" i="10"/>
  <c r="S24" i="10"/>
  <c r="S25" i="10"/>
  <c r="S26" i="10"/>
  <c r="S27" i="10"/>
  <c r="S28" i="10"/>
  <c r="S29" i="10"/>
  <c r="S30" i="10"/>
  <c r="S31" i="10"/>
  <c r="S32" i="10"/>
  <c r="S33" i="10"/>
  <c r="S34" i="10"/>
  <c r="S35" i="10"/>
  <c r="S36" i="10"/>
  <c r="S37" i="10"/>
  <c r="S38" i="10"/>
  <c r="S39" i="10"/>
  <c r="S40" i="10"/>
  <c r="S41" i="10"/>
  <c r="S42" i="10"/>
  <c r="S43" i="10"/>
  <c r="S44" i="10"/>
  <c r="S45" i="10"/>
  <c r="S46" i="10"/>
  <c r="S47" i="10"/>
  <c r="S48" i="10"/>
  <c r="S49" i="10"/>
  <c r="S50" i="10"/>
  <c r="S51" i="10"/>
  <c r="S52" i="10"/>
  <c r="S53" i="10"/>
  <c r="S54" i="10"/>
  <c r="S55" i="10"/>
  <c r="S56" i="10"/>
  <c r="S57" i="10"/>
  <c r="S58" i="10"/>
  <c r="S59" i="10"/>
  <c r="S60" i="10"/>
  <c r="S61" i="10"/>
  <c r="S62" i="10"/>
  <c r="S63" i="10"/>
  <c r="S64" i="10"/>
  <c r="S65" i="10"/>
  <c r="S66" i="10"/>
  <c r="S67" i="10"/>
  <c r="S68" i="10"/>
  <c r="S4" i="10"/>
  <c r="R5" i="10"/>
  <c r="R6" i="10"/>
  <c r="R7" i="10"/>
  <c r="R8" i="10"/>
  <c r="R9" i="10"/>
  <c r="R10" i="10"/>
  <c r="R11" i="10"/>
  <c r="R12" i="10"/>
  <c r="R13" i="10"/>
  <c r="R14" i="10"/>
  <c r="R15" i="10"/>
  <c r="R16" i="10"/>
  <c r="R17" i="10"/>
  <c r="R18" i="10"/>
  <c r="R19" i="10"/>
  <c r="R20" i="10"/>
  <c r="R21" i="10"/>
  <c r="R22" i="10"/>
  <c r="R23" i="10"/>
  <c r="R24" i="10"/>
  <c r="R25" i="10"/>
  <c r="R26" i="10"/>
  <c r="R27" i="10"/>
  <c r="R28" i="10"/>
  <c r="R29" i="10"/>
  <c r="R30" i="10"/>
  <c r="R31" i="10"/>
  <c r="R32" i="10"/>
  <c r="R33" i="10"/>
  <c r="R34" i="10"/>
  <c r="R35" i="10"/>
  <c r="R36" i="10"/>
  <c r="R37" i="10"/>
  <c r="R38" i="10"/>
  <c r="R39" i="10"/>
  <c r="R40" i="10"/>
  <c r="R41" i="10"/>
  <c r="R42" i="10"/>
  <c r="R43" i="10"/>
  <c r="R44" i="10"/>
  <c r="R45" i="10"/>
  <c r="R46" i="10"/>
  <c r="R47" i="10"/>
  <c r="R48" i="10"/>
  <c r="R49" i="10"/>
  <c r="R50" i="10"/>
  <c r="R51" i="10"/>
  <c r="R52" i="10"/>
  <c r="R53" i="10"/>
  <c r="R54" i="10"/>
  <c r="R55" i="10"/>
  <c r="R56" i="10"/>
  <c r="R57" i="10"/>
  <c r="R58" i="10"/>
  <c r="R59" i="10"/>
  <c r="R60" i="10"/>
  <c r="R61" i="10"/>
  <c r="R62" i="10"/>
  <c r="R63" i="10"/>
  <c r="R64" i="10"/>
  <c r="R65" i="10"/>
  <c r="R66" i="10"/>
  <c r="R67" i="10"/>
  <c r="R68" i="10"/>
  <c r="R4" i="10"/>
  <c r="Q5" i="10"/>
  <c r="Q6" i="10"/>
  <c r="Q7" i="10"/>
  <c r="Q8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4" i="10"/>
  <c r="P5" i="10"/>
  <c r="P6" i="10"/>
  <c r="P7" i="10"/>
  <c r="P8" i="10"/>
  <c r="P9" i="10"/>
  <c r="P10" i="10"/>
  <c r="P11" i="10"/>
  <c r="P12" i="10"/>
  <c r="P13" i="10"/>
  <c r="P14" i="10"/>
  <c r="P15" i="10"/>
  <c r="P16" i="10"/>
  <c r="P17" i="10"/>
  <c r="P18" i="10"/>
  <c r="P19" i="10"/>
  <c r="P20" i="10"/>
  <c r="P21" i="10"/>
  <c r="P22" i="10"/>
  <c r="P23" i="10"/>
  <c r="P24" i="10"/>
  <c r="P25" i="10"/>
  <c r="P26" i="10"/>
  <c r="P27" i="10"/>
  <c r="P28" i="10"/>
  <c r="P29" i="10"/>
  <c r="P30" i="10"/>
  <c r="P31" i="10"/>
  <c r="P32" i="10"/>
  <c r="P33" i="10"/>
  <c r="P34" i="10"/>
  <c r="P35" i="10"/>
  <c r="P36" i="10"/>
  <c r="P37" i="10"/>
  <c r="P38" i="10"/>
  <c r="P39" i="10"/>
  <c r="P40" i="10"/>
  <c r="P41" i="10"/>
  <c r="P42" i="10"/>
  <c r="P43" i="10"/>
  <c r="P44" i="10"/>
  <c r="P45" i="10"/>
  <c r="P46" i="10"/>
  <c r="P47" i="10"/>
  <c r="P48" i="10"/>
  <c r="P49" i="10"/>
  <c r="P50" i="10"/>
  <c r="P51" i="10"/>
  <c r="P52" i="10"/>
  <c r="P53" i="10"/>
  <c r="P54" i="10"/>
  <c r="P55" i="10"/>
  <c r="P56" i="10"/>
  <c r="P57" i="10"/>
  <c r="P58" i="10"/>
  <c r="P59" i="10"/>
  <c r="P60" i="10"/>
  <c r="P61" i="10"/>
  <c r="P62" i="10"/>
  <c r="P63" i="10"/>
  <c r="P64" i="10"/>
  <c r="P65" i="10"/>
  <c r="P66" i="10"/>
  <c r="P67" i="10"/>
  <c r="P68" i="10"/>
  <c r="P4" i="10"/>
  <c r="O5" i="10"/>
  <c r="O6" i="10"/>
  <c r="O7" i="10"/>
  <c r="O8" i="10"/>
  <c r="O9" i="10"/>
  <c r="O10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31" i="10"/>
  <c r="O32" i="10"/>
  <c r="O33" i="10"/>
  <c r="O34" i="10"/>
  <c r="O35" i="10"/>
  <c r="O36" i="10"/>
  <c r="O37" i="10"/>
  <c r="O38" i="10"/>
  <c r="O39" i="10"/>
  <c r="O40" i="10"/>
  <c r="O41" i="10"/>
  <c r="O42" i="10"/>
  <c r="O43" i="10"/>
  <c r="O44" i="10"/>
  <c r="O45" i="10"/>
  <c r="O46" i="10"/>
  <c r="O47" i="10"/>
  <c r="O48" i="10"/>
  <c r="O49" i="10"/>
  <c r="O50" i="10"/>
  <c r="O51" i="10"/>
  <c r="O52" i="10"/>
  <c r="O53" i="10"/>
  <c r="O54" i="10"/>
  <c r="O55" i="10"/>
  <c r="O56" i="10"/>
  <c r="O57" i="10"/>
  <c r="O58" i="10"/>
  <c r="O59" i="10"/>
  <c r="O60" i="10"/>
  <c r="O61" i="10"/>
  <c r="O62" i="10"/>
  <c r="O63" i="10"/>
  <c r="O64" i="10"/>
  <c r="O65" i="10"/>
  <c r="O66" i="10"/>
  <c r="O67" i="10"/>
  <c r="O68" i="10"/>
  <c r="O4" i="10"/>
  <c r="N5" i="10"/>
  <c r="N6" i="10"/>
  <c r="N7" i="10"/>
  <c r="N8" i="10"/>
  <c r="N9" i="10"/>
  <c r="N10" i="10"/>
  <c r="N11" i="10"/>
  <c r="N12" i="10"/>
  <c r="N13" i="10"/>
  <c r="N14" i="10"/>
  <c r="N15" i="10"/>
  <c r="N16" i="10"/>
  <c r="N17" i="10"/>
  <c r="N18" i="10"/>
  <c r="N19" i="10"/>
  <c r="N20" i="10"/>
  <c r="N21" i="10"/>
  <c r="N22" i="10"/>
  <c r="N23" i="10"/>
  <c r="N24" i="10"/>
  <c r="N25" i="10"/>
  <c r="N26" i="10"/>
  <c r="N27" i="10"/>
  <c r="N28" i="10"/>
  <c r="N29" i="10"/>
  <c r="N30" i="10"/>
  <c r="N31" i="10"/>
  <c r="N32" i="10"/>
  <c r="N33" i="10"/>
  <c r="N34" i="10"/>
  <c r="N35" i="10"/>
  <c r="N36" i="10"/>
  <c r="N37" i="10"/>
  <c r="N38" i="10"/>
  <c r="N39" i="10"/>
  <c r="N40" i="10"/>
  <c r="N41" i="10"/>
  <c r="N42" i="10"/>
  <c r="N43" i="10"/>
  <c r="N44" i="10"/>
  <c r="N45" i="10"/>
  <c r="N46" i="10"/>
  <c r="N47" i="10"/>
  <c r="N48" i="10"/>
  <c r="N49" i="10"/>
  <c r="N50" i="10"/>
  <c r="N51" i="10"/>
  <c r="N52" i="10"/>
  <c r="N53" i="10"/>
  <c r="N54" i="10"/>
  <c r="N55" i="10"/>
  <c r="N56" i="10"/>
  <c r="N57" i="10"/>
  <c r="N58" i="10"/>
  <c r="N59" i="10"/>
  <c r="N60" i="10"/>
  <c r="N61" i="10"/>
  <c r="N62" i="10"/>
  <c r="N63" i="10"/>
  <c r="N64" i="10"/>
  <c r="N65" i="10"/>
  <c r="N66" i="10"/>
  <c r="N67" i="10"/>
  <c r="N68" i="10"/>
  <c r="N4" i="10"/>
  <c r="M5" i="10"/>
  <c r="M6" i="10"/>
  <c r="M7" i="10"/>
  <c r="M8" i="10"/>
  <c r="M9" i="10"/>
  <c r="M10" i="10"/>
  <c r="M11" i="10"/>
  <c r="M12" i="10"/>
  <c r="M13" i="10"/>
  <c r="M14" i="10"/>
  <c r="M15" i="10"/>
  <c r="M16" i="10"/>
  <c r="M17" i="10"/>
  <c r="M18" i="10"/>
  <c r="M19" i="10"/>
  <c r="M20" i="10"/>
  <c r="M21" i="10"/>
  <c r="M22" i="10"/>
  <c r="M23" i="10"/>
  <c r="M24" i="10"/>
  <c r="M25" i="10"/>
  <c r="M26" i="10"/>
  <c r="M27" i="10"/>
  <c r="M28" i="10"/>
  <c r="M29" i="10"/>
  <c r="M30" i="10"/>
  <c r="M31" i="10"/>
  <c r="M32" i="10"/>
  <c r="M33" i="10"/>
  <c r="M34" i="10"/>
  <c r="M35" i="10"/>
  <c r="M36" i="10"/>
  <c r="M37" i="10"/>
  <c r="M38" i="10"/>
  <c r="M39" i="10"/>
  <c r="M40" i="10"/>
  <c r="M41" i="10"/>
  <c r="M42" i="10"/>
  <c r="M43" i="10"/>
  <c r="V43" i="10" s="1"/>
  <c r="W43" i="10" s="1"/>
  <c r="M44" i="10"/>
  <c r="M45" i="10"/>
  <c r="M46" i="10"/>
  <c r="M47" i="10"/>
  <c r="M48" i="10"/>
  <c r="M49" i="10"/>
  <c r="M50" i="10"/>
  <c r="M51" i="10"/>
  <c r="M52" i="10"/>
  <c r="M53" i="10"/>
  <c r="M54" i="10"/>
  <c r="M55" i="10"/>
  <c r="M56" i="10"/>
  <c r="M57" i="10"/>
  <c r="M58" i="10"/>
  <c r="M59" i="10"/>
  <c r="M60" i="10"/>
  <c r="M61" i="10"/>
  <c r="M62" i="10"/>
  <c r="M63" i="10"/>
  <c r="M64" i="10"/>
  <c r="M65" i="10"/>
  <c r="M66" i="10"/>
  <c r="M67" i="10"/>
  <c r="M68" i="10"/>
  <c r="M4" i="10"/>
  <c r="U2" i="10"/>
  <c r="T2" i="10"/>
  <c r="S2" i="10"/>
  <c r="R2" i="10"/>
  <c r="Q2" i="10"/>
  <c r="P2" i="10"/>
  <c r="O2" i="10"/>
  <c r="N2" i="10"/>
  <c r="M2" i="10"/>
  <c r="Q37" i="1" l="1"/>
  <c r="R37" i="1" s="1"/>
  <c r="U37" i="1" s="1"/>
  <c r="S22" i="11"/>
  <c r="O21" i="1" s="1"/>
  <c r="S21" i="1" s="1"/>
  <c r="M9" i="1"/>
  <c r="Q9" i="1" s="1"/>
  <c r="R9" i="1" s="1"/>
  <c r="U9" i="1" s="1"/>
  <c r="S38" i="11"/>
  <c r="O29" i="1"/>
  <c r="S29" i="1" s="1"/>
  <c r="O9" i="1"/>
  <c r="S9" i="1" s="1"/>
  <c r="O38" i="1"/>
  <c r="S38" i="1" s="1"/>
  <c r="O37" i="1"/>
  <c r="S37" i="1" s="1"/>
  <c r="O30" i="1"/>
  <c r="S30" i="1" s="1"/>
  <c r="O10" i="1"/>
  <c r="S10" i="1" s="1"/>
  <c r="S15" i="11"/>
  <c r="M29" i="1"/>
  <c r="Q29" i="1" s="1"/>
  <c r="R29" i="1" s="1"/>
  <c r="U29" i="1" s="1"/>
  <c r="M38" i="1"/>
  <c r="Q38" i="1" s="1"/>
  <c r="R38" i="1" s="1"/>
  <c r="U38" i="1" s="1"/>
  <c r="S14" i="11"/>
  <c r="M30" i="1"/>
  <c r="Q30" i="1" s="1"/>
  <c r="R30" i="1" s="1"/>
  <c r="U30" i="1" s="1"/>
  <c r="M10" i="1"/>
  <c r="Q10" i="1" s="1"/>
  <c r="R10" i="1" s="1"/>
  <c r="U10" i="1" s="1"/>
  <c r="S8" i="11"/>
  <c r="R43" i="11"/>
  <c r="S43" i="11" s="1"/>
  <c r="R55" i="11"/>
  <c r="M54" i="1" s="1"/>
  <c r="Q54" i="1" s="1"/>
  <c r="R54" i="1" s="1"/>
  <c r="U54" i="1" s="1"/>
  <c r="R9" i="11"/>
  <c r="S9" i="11" s="1"/>
  <c r="R57" i="11"/>
  <c r="S57" i="11" s="1"/>
  <c r="R19" i="11"/>
  <c r="M18" i="1" s="1"/>
  <c r="Q18" i="1" s="1"/>
  <c r="R18" i="1" s="1"/>
  <c r="U18" i="1" s="1"/>
  <c r="R35" i="11"/>
  <c r="M34" i="1" s="1"/>
  <c r="Q34" i="1" s="1"/>
  <c r="R34" i="1" s="1"/>
  <c r="U34" i="1" s="1"/>
  <c r="R51" i="11"/>
  <c r="M50" i="1" s="1"/>
  <c r="Q50" i="1" s="1"/>
  <c r="R50" i="1" s="1"/>
  <c r="U50" i="1" s="1"/>
  <c r="R47" i="11"/>
  <c r="M46" i="1" s="1"/>
  <c r="Q46" i="1" s="1"/>
  <c r="R46" i="1" s="1"/>
  <c r="U46" i="1" s="1"/>
  <c r="R63" i="11"/>
  <c r="M62" i="1" s="1"/>
  <c r="Q62" i="1" s="1"/>
  <c r="R62" i="1" s="1"/>
  <c r="U62" i="1" s="1"/>
  <c r="R66" i="11"/>
  <c r="M65" i="1" s="1"/>
  <c r="Q65" i="1" s="1"/>
  <c r="R65" i="1" s="1"/>
  <c r="U65" i="1" s="1"/>
  <c r="R17" i="11"/>
  <c r="S17" i="11" s="1"/>
  <c r="R33" i="11"/>
  <c r="M32" i="1" s="1"/>
  <c r="Q32" i="1" s="1"/>
  <c r="R32" i="1" s="1"/>
  <c r="U32" i="1" s="1"/>
  <c r="R49" i="11"/>
  <c r="M48" i="1" s="1"/>
  <c r="Q48" i="1" s="1"/>
  <c r="R48" i="1" s="1"/>
  <c r="U48" i="1" s="1"/>
  <c r="R65" i="11"/>
  <c r="M64" i="1" s="1"/>
  <c r="Q64" i="1" s="1"/>
  <c r="R64" i="1" s="1"/>
  <c r="U64" i="1" s="1"/>
  <c r="R24" i="11"/>
  <c r="M23" i="1" s="1"/>
  <c r="Q23" i="1" s="1"/>
  <c r="R23" i="1" s="1"/>
  <c r="U23" i="1" s="1"/>
  <c r="R40" i="11"/>
  <c r="M39" i="1" s="1"/>
  <c r="Q39" i="1" s="1"/>
  <c r="R39" i="1" s="1"/>
  <c r="U39" i="1" s="1"/>
  <c r="R56" i="11"/>
  <c r="S56" i="11" s="1"/>
  <c r="R23" i="11"/>
  <c r="M22" i="1" s="1"/>
  <c r="Q22" i="1" s="1"/>
  <c r="R22" i="1" s="1"/>
  <c r="U22" i="1" s="1"/>
  <c r="R26" i="11"/>
  <c r="M25" i="1" s="1"/>
  <c r="Q25" i="1" s="1"/>
  <c r="R25" i="1" s="1"/>
  <c r="U25" i="1" s="1"/>
  <c r="R42" i="11"/>
  <c r="S42" i="11" s="1"/>
  <c r="R58" i="11"/>
  <c r="S58" i="11" s="1"/>
  <c r="R54" i="11"/>
  <c r="M53" i="1" s="1"/>
  <c r="Q53" i="1" s="1"/>
  <c r="R53" i="1" s="1"/>
  <c r="U53" i="1" s="1"/>
  <c r="R67" i="11"/>
  <c r="S67" i="11" s="1"/>
  <c r="R5" i="11"/>
  <c r="S5" i="11" s="1"/>
  <c r="R21" i="11"/>
  <c r="S21" i="11" s="1"/>
  <c r="R37" i="11"/>
  <c r="S37" i="11" s="1"/>
  <c r="R53" i="11"/>
  <c r="M52" i="1" s="1"/>
  <c r="Q52" i="1" s="1"/>
  <c r="R52" i="1" s="1"/>
  <c r="U52" i="1" s="1"/>
  <c r="R12" i="11"/>
  <c r="S12" i="11" s="1"/>
  <c r="R28" i="11"/>
  <c r="M27" i="1" s="1"/>
  <c r="Q27" i="1" s="1"/>
  <c r="R27" i="1" s="1"/>
  <c r="U27" i="1" s="1"/>
  <c r="R44" i="11"/>
  <c r="S44" i="11" s="1"/>
  <c r="R60" i="11"/>
  <c r="M59" i="1" s="1"/>
  <c r="Q59" i="1" s="1"/>
  <c r="R59" i="1" s="1"/>
  <c r="U59" i="1" s="1"/>
  <c r="R27" i="11"/>
  <c r="S27" i="11" s="1"/>
  <c r="R59" i="11"/>
  <c r="M58" i="1" s="1"/>
  <c r="Q58" i="1" s="1"/>
  <c r="R58" i="1" s="1"/>
  <c r="U58" i="1" s="1"/>
  <c r="R4" i="11"/>
  <c r="M3" i="1" s="1"/>
  <c r="Q3" i="1" s="1"/>
  <c r="R3" i="1" s="1"/>
  <c r="U3" i="1" s="1"/>
  <c r="R25" i="11"/>
  <c r="S25" i="11" s="1"/>
  <c r="R41" i="11"/>
  <c r="S41" i="11" s="1"/>
  <c r="R16" i="11"/>
  <c r="M15" i="1" s="1"/>
  <c r="Q15" i="1" s="1"/>
  <c r="R15" i="1" s="1"/>
  <c r="U15" i="1" s="1"/>
  <c r="R32" i="11"/>
  <c r="M31" i="1" s="1"/>
  <c r="Q31" i="1" s="1"/>
  <c r="R31" i="1" s="1"/>
  <c r="U31" i="1" s="1"/>
  <c r="R48" i="11"/>
  <c r="S48" i="11" s="1"/>
  <c r="R64" i="11"/>
  <c r="M63" i="1" s="1"/>
  <c r="Q63" i="1" s="1"/>
  <c r="R63" i="1" s="1"/>
  <c r="U63" i="1" s="1"/>
  <c r="R46" i="11"/>
  <c r="S46" i="11" s="1"/>
  <c r="R18" i="11"/>
  <c r="S18" i="11" s="1"/>
  <c r="R34" i="11"/>
  <c r="M33" i="1" s="1"/>
  <c r="Q33" i="1" s="1"/>
  <c r="R33" i="1" s="1"/>
  <c r="U33" i="1" s="1"/>
  <c r="R50" i="11"/>
  <c r="S50" i="11" s="1"/>
  <c r="R7" i="11"/>
  <c r="M6" i="1" s="1"/>
  <c r="Q6" i="1" s="1"/>
  <c r="R6" i="1" s="1"/>
  <c r="U6" i="1" s="1"/>
  <c r="R62" i="11"/>
  <c r="M61" i="1" s="1"/>
  <c r="Q61" i="1" s="1"/>
  <c r="R61" i="1" s="1"/>
  <c r="U61" i="1" s="1"/>
  <c r="R6" i="11"/>
  <c r="M5" i="1" s="1"/>
  <c r="Q5" i="1" s="1"/>
  <c r="R5" i="1" s="1"/>
  <c r="U5" i="1" s="1"/>
  <c r="R13" i="11"/>
  <c r="S13" i="11" s="1"/>
  <c r="R29" i="11"/>
  <c r="M28" i="1" s="1"/>
  <c r="Q28" i="1" s="1"/>
  <c r="R28" i="1" s="1"/>
  <c r="U28" i="1" s="1"/>
  <c r="R45" i="11"/>
  <c r="M44" i="1" s="1"/>
  <c r="Q44" i="1" s="1"/>
  <c r="R44" i="1" s="1"/>
  <c r="U44" i="1" s="1"/>
  <c r="R61" i="11"/>
  <c r="S61" i="11" s="1"/>
  <c r="R20" i="11"/>
  <c r="M19" i="1" s="1"/>
  <c r="Q19" i="1" s="1"/>
  <c r="R19" i="1" s="1"/>
  <c r="U19" i="1" s="1"/>
  <c r="R36" i="11"/>
  <c r="M35" i="1" s="1"/>
  <c r="Q35" i="1" s="1"/>
  <c r="R35" i="1" s="1"/>
  <c r="U35" i="1" s="1"/>
  <c r="R52" i="11"/>
  <c r="M51" i="1" s="1"/>
  <c r="Q51" i="1" s="1"/>
  <c r="R51" i="1" s="1"/>
  <c r="U51" i="1" s="1"/>
  <c r="R68" i="11"/>
  <c r="M67" i="1" s="1"/>
  <c r="Q67" i="1" s="1"/>
  <c r="R67" i="1" s="1"/>
  <c r="U67" i="1" s="1"/>
  <c r="M12" i="1"/>
  <c r="Q12" i="1" s="1"/>
  <c r="R12" i="1" s="1"/>
  <c r="U12" i="1" s="1"/>
  <c r="S1" i="1"/>
  <c r="AX1" i="1"/>
  <c r="AJ1" i="1"/>
  <c r="AC1" i="1"/>
  <c r="J1" i="1"/>
  <c r="S54" i="11" l="1"/>
  <c r="O53" i="1" s="1"/>
  <c r="S53" i="1" s="1"/>
  <c r="M36" i="1"/>
  <c r="Q36" i="1" s="1"/>
  <c r="R36" i="1" s="1"/>
  <c r="U36" i="1" s="1"/>
  <c r="O45" i="1"/>
  <c r="S45" i="1" s="1"/>
  <c r="O20" i="1"/>
  <c r="S20" i="1" s="1"/>
  <c r="O57" i="1"/>
  <c r="S57" i="1" s="1"/>
  <c r="O55" i="1"/>
  <c r="S55" i="1" s="1"/>
  <c r="O42" i="1"/>
  <c r="S42" i="1" s="1"/>
  <c r="O13" i="1"/>
  <c r="S13" i="1" s="1"/>
  <c r="O12" i="1"/>
  <c r="S12" i="1" s="1"/>
  <c r="O49" i="1"/>
  <c r="S49" i="1" s="1"/>
  <c r="O40" i="1"/>
  <c r="S40" i="1" s="1"/>
  <c r="O26" i="1"/>
  <c r="S26" i="1" s="1"/>
  <c r="O11" i="1"/>
  <c r="S11" i="1" s="1"/>
  <c r="O4" i="1"/>
  <c r="S4" i="1" s="1"/>
  <c r="O41" i="1"/>
  <c r="S41" i="1" s="1"/>
  <c r="O56" i="1"/>
  <c r="S56" i="1" s="1"/>
  <c r="O7" i="1"/>
  <c r="S7" i="1" s="1"/>
  <c r="O60" i="1"/>
  <c r="S60" i="1" s="1"/>
  <c r="O47" i="1"/>
  <c r="S47" i="1" s="1"/>
  <c r="O24" i="1"/>
  <c r="S24" i="1" s="1"/>
  <c r="O66" i="1"/>
  <c r="S66" i="1" s="1"/>
  <c r="O16" i="1"/>
  <c r="S16" i="1" s="1"/>
  <c r="O8" i="1"/>
  <c r="S8" i="1" s="1"/>
  <c r="O17" i="1"/>
  <c r="S17" i="1" s="1"/>
  <c r="O43" i="1"/>
  <c r="S43" i="1" s="1"/>
  <c r="O36" i="1"/>
  <c r="S36" i="1" s="1"/>
  <c r="O14" i="1"/>
  <c r="S14" i="1" s="1"/>
  <c r="S64" i="11"/>
  <c r="S33" i="11"/>
  <c r="S51" i="11"/>
  <c r="S6" i="11"/>
  <c r="M24" i="1"/>
  <c r="Q24" i="1" s="1"/>
  <c r="R24" i="1" s="1"/>
  <c r="U24" i="1" s="1"/>
  <c r="S55" i="11"/>
  <c r="M60" i="1"/>
  <c r="Q60" i="1" s="1"/>
  <c r="R60" i="1" s="1"/>
  <c r="U60" i="1" s="1"/>
  <c r="S60" i="11"/>
  <c r="S26" i="11"/>
  <c r="S24" i="11"/>
  <c r="S68" i="11"/>
  <c r="S34" i="11"/>
  <c r="M66" i="1"/>
  <c r="Q66" i="1" s="1"/>
  <c r="R66" i="1" s="1"/>
  <c r="U66" i="1" s="1"/>
  <c r="M47" i="1"/>
  <c r="Q47" i="1" s="1"/>
  <c r="R47" i="1" s="1"/>
  <c r="U47" i="1" s="1"/>
  <c r="S53" i="11"/>
  <c r="S52" i="11"/>
  <c r="M43" i="1"/>
  <c r="Q43" i="1" s="1"/>
  <c r="R43" i="1" s="1"/>
  <c r="U43" i="1" s="1"/>
  <c r="M16" i="1"/>
  <c r="Q16" i="1" s="1"/>
  <c r="R16" i="1" s="1"/>
  <c r="U16" i="1" s="1"/>
  <c r="M8" i="1"/>
  <c r="Q8" i="1" s="1"/>
  <c r="R8" i="1" s="1"/>
  <c r="U8" i="1" s="1"/>
  <c r="S32" i="11"/>
  <c r="S23" i="11"/>
  <c r="S40" i="11"/>
  <c r="S47" i="11"/>
  <c r="M49" i="1"/>
  <c r="Q49" i="1" s="1"/>
  <c r="R49" i="1" s="1"/>
  <c r="U49" i="1" s="1"/>
  <c r="M20" i="1"/>
  <c r="Q20" i="1" s="1"/>
  <c r="R20" i="1" s="1"/>
  <c r="U20" i="1" s="1"/>
  <c r="M55" i="1"/>
  <c r="Q55" i="1" s="1"/>
  <c r="R55" i="1" s="1"/>
  <c r="U55" i="1" s="1"/>
  <c r="S28" i="11"/>
  <c r="S59" i="11"/>
  <c r="S49" i="11"/>
  <c r="S16" i="11"/>
  <c r="M45" i="1"/>
  <c r="Q45" i="1" s="1"/>
  <c r="R45" i="1" s="1"/>
  <c r="U45" i="1" s="1"/>
  <c r="S36" i="11"/>
  <c r="S7" i="11"/>
  <c r="M57" i="1"/>
  <c r="Q57" i="1" s="1"/>
  <c r="R57" i="1" s="1"/>
  <c r="U57" i="1" s="1"/>
  <c r="S19" i="11"/>
  <c r="S29" i="11"/>
  <c r="M42" i="1"/>
  <c r="Q42" i="1" s="1"/>
  <c r="R42" i="1" s="1"/>
  <c r="U42" i="1" s="1"/>
  <c r="S62" i="11"/>
  <c r="S4" i="11"/>
  <c r="S63" i="11"/>
  <c r="S66" i="11"/>
  <c r="M41" i="1"/>
  <c r="Q41" i="1" s="1"/>
  <c r="R41" i="1" s="1"/>
  <c r="U41" i="1" s="1"/>
  <c r="M56" i="1"/>
  <c r="Q56" i="1" s="1"/>
  <c r="R56" i="1" s="1"/>
  <c r="U56" i="1" s="1"/>
  <c r="M26" i="1"/>
  <c r="Q26" i="1" s="1"/>
  <c r="R26" i="1" s="1"/>
  <c r="U26" i="1" s="1"/>
  <c r="M40" i="1"/>
  <c r="Q40" i="1" s="1"/>
  <c r="R40" i="1" s="1"/>
  <c r="U40" i="1" s="1"/>
  <c r="S65" i="11"/>
  <c r="S35" i="11"/>
  <c r="S20" i="11"/>
  <c r="M11" i="1"/>
  <c r="Q11" i="1" s="1"/>
  <c r="R11" i="1" s="1"/>
  <c r="U11" i="1" s="1"/>
  <c r="M4" i="1"/>
  <c r="Q4" i="1" s="1"/>
  <c r="R4" i="1" s="1"/>
  <c r="U4" i="1" s="1"/>
  <c r="M17" i="1"/>
  <c r="Q17" i="1" s="1"/>
  <c r="R17" i="1" s="1"/>
  <c r="U17" i="1" s="1"/>
  <c r="S45" i="11"/>
  <c r="AB5" i="3"/>
  <c r="AB6" i="3"/>
  <c r="AB7" i="3"/>
  <c r="AB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4" i="3"/>
  <c r="AA5" i="3"/>
  <c r="AA6" i="3"/>
  <c r="AA7" i="3"/>
  <c r="AA8" i="3"/>
  <c r="AA9" i="3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AA55" i="3"/>
  <c r="AA56" i="3"/>
  <c r="AA57" i="3"/>
  <c r="AA58" i="3"/>
  <c r="AA59" i="3"/>
  <c r="AA60" i="3"/>
  <c r="AA61" i="3"/>
  <c r="AA62" i="3"/>
  <c r="AA63" i="3"/>
  <c r="AA64" i="3"/>
  <c r="AA65" i="3"/>
  <c r="AA66" i="3"/>
  <c r="AA67" i="3"/>
  <c r="AA68" i="3"/>
  <c r="AA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4" i="3"/>
  <c r="Y5" i="3"/>
  <c r="Y6" i="3"/>
  <c r="Y7" i="3"/>
  <c r="Y8" i="3"/>
  <c r="Y9" i="3"/>
  <c r="Y10" i="3"/>
  <c r="Y11" i="3"/>
  <c r="Y12" i="3"/>
  <c r="Y13" i="3"/>
  <c r="Y14" i="3"/>
  <c r="Y15" i="3"/>
  <c r="Y16" i="3"/>
  <c r="Y17" i="3"/>
  <c r="Y18" i="3"/>
  <c r="Y19" i="3"/>
  <c r="Y20" i="3"/>
  <c r="Y21" i="3"/>
  <c r="Y22" i="3"/>
  <c r="Y23" i="3"/>
  <c r="Y24" i="3"/>
  <c r="Y25" i="3"/>
  <c r="Y26" i="3"/>
  <c r="Y27" i="3"/>
  <c r="Y28" i="3"/>
  <c r="Y29" i="3"/>
  <c r="Y30" i="3"/>
  <c r="Y31" i="3"/>
  <c r="Y32" i="3"/>
  <c r="Y33" i="3"/>
  <c r="Y34" i="3"/>
  <c r="Y35" i="3"/>
  <c r="Y36" i="3"/>
  <c r="Y37" i="3"/>
  <c r="Y38" i="3"/>
  <c r="Y39" i="3"/>
  <c r="Y40" i="3"/>
  <c r="Y41" i="3"/>
  <c r="Y42" i="3"/>
  <c r="Y43" i="3"/>
  <c r="Y44" i="3"/>
  <c r="Y45" i="3"/>
  <c r="Y46" i="3"/>
  <c r="Y47" i="3"/>
  <c r="Y48" i="3"/>
  <c r="Y49" i="3"/>
  <c r="Y50" i="3"/>
  <c r="Y51" i="3"/>
  <c r="Y52" i="3"/>
  <c r="Y53" i="3"/>
  <c r="Y54" i="3"/>
  <c r="Y55" i="3"/>
  <c r="Y56" i="3"/>
  <c r="Y57" i="3"/>
  <c r="Y58" i="3"/>
  <c r="Y59" i="3"/>
  <c r="Y60" i="3"/>
  <c r="Y61" i="3"/>
  <c r="Y62" i="3"/>
  <c r="Y63" i="3"/>
  <c r="Y64" i="3"/>
  <c r="Y65" i="3"/>
  <c r="Y66" i="3"/>
  <c r="Y67" i="3"/>
  <c r="Y68" i="3"/>
  <c r="Y4" i="3"/>
  <c r="X5" i="3"/>
  <c r="X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4" i="3"/>
  <c r="W5" i="3"/>
  <c r="W6" i="3"/>
  <c r="W7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W42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W58" i="3"/>
  <c r="W59" i="3"/>
  <c r="W60" i="3"/>
  <c r="W61" i="3"/>
  <c r="W62" i="3"/>
  <c r="W63" i="3"/>
  <c r="W64" i="3"/>
  <c r="W65" i="3"/>
  <c r="W66" i="3"/>
  <c r="W67" i="3"/>
  <c r="W68" i="3"/>
  <c r="W4" i="3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U50" i="3"/>
  <c r="U51" i="3"/>
  <c r="U52" i="3"/>
  <c r="U53" i="3"/>
  <c r="U54" i="3"/>
  <c r="U55" i="3"/>
  <c r="U56" i="3"/>
  <c r="U57" i="3"/>
  <c r="U58" i="3"/>
  <c r="U59" i="3"/>
  <c r="U60" i="3"/>
  <c r="U61" i="3"/>
  <c r="U62" i="3"/>
  <c r="U63" i="3"/>
  <c r="U64" i="3"/>
  <c r="U65" i="3"/>
  <c r="U66" i="3"/>
  <c r="U67" i="3"/>
  <c r="U68" i="3"/>
  <c r="U4" i="3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6" i="3"/>
  <c r="T67" i="3"/>
  <c r="T68" i="3"/>
  <c r="T4" i="3"/>
  <c r="O51" i="1" l="1"/>
  <c r="S51" i="1" s="1"/>
  <c r="O33" i="1"/>
  <c r="S33" i="1" s="1"/>
  <c r="O59" i="1"/>
  <c r="S59" i="1" s="1"/>
  <c r="O5" i="1"/>
  <c r="S5" i="1" s="1"/>
  <c r="O34" i="1"/>
  <c r="S34" i="1" s="1"/>
  <c r="O27" i="1"/>
  <c r="S27" i="1" s="1"/>
  <c r="O46" i="1"/>
  <c r="S46" i="1" s="1"/>
  <c r="O52" i="1"/>
  <c r="S52" i="1" s="1"/>
  <c r="O67" i="1"/>
  <c r="S67" i="1" s="1"/>
  <c r="O64" i="1"/>
  <c r="S64" i="1" s="1"/>
  <c r="O61" i="1"/>
  <c r="S61" i="1" s="1"/>
  <c r="O15" i="1"/>
  <c r="S15" i="1" s="1"/>
  <c r="O39" i="1"/>
  <c r="S39" i="1" s="1"/>
  <c r="O23" i="1"/>
  <c r="S23" i="1" s="1"/>
  <c r="O54" i="1"/>
  <c r="S54" i="1" s="1"/>
  <c r="O32" i="1"/>
  <c r="S32" i="1" s="1"/>
  <c r="O44" i="1"/>
  <c r="S44" i="1" s="1"/>
  <c r="O19" i="1"/>
  <c r="S19" i="1" s="1"/>
  <c r="O62" i="1"/>
  <c r="S62" i="1" s="1"/>
  <c r="O28" i="1"/>
  <c r="S28" i="1" s="1"/>
  <c r="O35" i="1"/>
  <c r="S35" i="1" s="1"/>
  <c r="O58" i="1"/>
  <c r="S58" i="1" s="1"/>
  <c r="O31" i="1"/>
  <c r="S31" i="1" s="1"/>
  <c r="O3" i="1"/>
  <c r="S3" i="1" s="1"/>
  <c r="O18" i="1"/>
  <c r="S18" i="1" s="1"/>
  <c r="O50" i="1"/>
  <c r="S50" i="1" s="1"/>
  <c r="O65" i="1"/>
  <c r="S65" i="1" s="1"/>
  <c r="O6" i="1"/>
  <c r="S6" i="1" s="1"/>
  <c r="O48" i="1"/>
  <c r="S48" i="1" s="1"/>
  <c r="O22" i="1"/>
  <c r="S22" i="1" s="1"/>
  <c r="O25" i="1"/>
  <c r="S25" i="1" s="1"/>
  <c r="O63" i="1"/>
  <c r="S63" i="1" s="1"/>
  <c r="Q68" i="6"/>
  <c r="Q67" i="6"/>
  <c r="Q66" i="6"/>
  <c r="Q65" i="6"/>
  <c r="Q64" i="6"/>
  <c r="Q63" i="6"/>
  <c r="Q62" i="6"/>
  <c r="Q61" i="6"/>
  <c r="Q60" i="6"/>
  <c r="Q59" i="6"/>
  <c r="Q58" i="6"/>
  <c r="Q57" i="6"/>
  <c r="Q56" i="6"/>
  <c r="Q55" i="6"/>
  <c r="Q54" i="6"/>
  <c r="Q53" i="6"/>
  <c r="Q52" i="6"/>
  <c r="Q51" i="6"/>
  <c r="Q50" i="6"/>
  <c r="Q49" i="6"/>
  <c r="Q48" i="6"/>
  <c r="Q47" i="6"/>
  <c r="Q46" i="6"/>
  <c r="Q45" i="6"/>
  <c r="Q44" i="6"/>
  <c r="Q43" i="6"/>
  <c r="Q42" i="6"/>
  <c r="Q41" i="6"/>
  <c r="Q40" i="6"/>
  <c r="Q39" i="6"/>
  <c r="Q38" i="6"/>
  <c r="Q37" i="6"/>
  <c r="Q36" i="6"/>
  <c r="Q35" i="6"/>
  <c r="Q34" i="6"/>
  <c r="Q33" i="6"/>
  <c r="Q32" i="6"/>
  <c r="Q31" i="6"/>
  <c r="Q30" i="6"/>
  <c r="Q29" i="6"/>
  <c r="Q28" i="6"/>
  <c r="Q27" i="6"/>
  <c r="Q26" i="6"/>
  <c r="Q25" i="6"/>
  <c r="Q24" i="6"/>
  <c r="Q23" i="6"/>
  <c r="Q22" i="6"/>
  <c r="Q21" i="6"/>
  <c r="Q20" i="6"/>
  <c r="Q19" i="6"/>
  <c r="Q18" i="6"/>
  <c r="Q17" i="6"/>
  <c r="Q16" i="6"/>
  <c r="Q15" i="6"/>
  <c r="Q14" i="6"/>
  <c r="Q13" i="6"/>
  <c r="Q12" i="6"/>
  <c r="Q11" i="6"/>
  <c r="Q10" i="6"/>
  <c r="Q9" i="6"/>
  <c r="Q8" i="6"/>
  <c r="Q7" i="6"/>
  <c r="Q6" i="6"/>
  <c r="Q5" i="6"/>
  <c r="Q4" i="6"/>
  <c r="Q68" i="5"/>
  <c r="Q67" i="5"/>
  <c r="Q66" i="5"/>
  <c r="Q65" i="5"/>
  <c r="Q64" i="5"/>
  <c r="Q63" i="5"/>
  <c r="Q62" i="5"/>
  <c r="Q61" i="5"/>
  <c r="Q60" i="5"/>
  <c r="Q59" i="5"/>
  <c r="Q58" i="5"/>
  <c r="Q57" i="5"/>
  <c r="Q56" i="5"/>
  <c r="Q55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/>
  <c r="Q6" i="5"/>
  <c r="Q5" i="5"/>
  <c r="Q4" i="5"/>
  <c r="Q68" i="4"/>
  <c r="Q67" i="4"/>
  <c r="Q66" i="4"/>
  <c r="Q65" i="4"/>
  <c r="Q64" i="4"/>
  <c r="Q63" i="4"/>
  <c r="Q62" i="4"/>
  <c r="Q61" i="4"/>
  <c r="Q60" i="4"/>
  <c r="Q59" i="4"/>
  <c r="Q58" i="4"/>
  <c r="Q57" i="4"/>
  <c r="Q56" i="4"/>
  <c r="Q55" i="4"/>
  <c r="Q54" i="4"/>
  <c r="Q53" i="4"/>
  <c r="Q52" i="4"/>
  <c r="Q51" i="4"/>
  <c r="Q50" i="4"/>
  <c r="Q49" i="4"/>
  <c r="Q48" i="4"/>
  <c r="Q47" i="4"/>
  <c r="Q46" i="4"/>
  <c r="Q45" i="4"/>
  <c r="Q44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Q7" i="2"/>
  <c r="Q6" i="2"/>
  <c r="Q5" i="2"/>
  <c r="Q4" i="2"/>
  <c r="N68" i="6" l="1"/>
  <c r="N67" i="6"/>
  <c r="N66" i="6"/>
  <c r="N65" i="6"/>
  <c r="N64" i="6"/>
  <c r="N63" i="6"/>
  <c r="N62" i="6"/>
  <c r="N61" i="6"/>
  <c r="N60" i="6"/>
  <c r="N59" i="6"/>
  <c r="N58" i="6"/>
  <c r="N57" i="6"/>
  <c r="N56" i="6"/>
  <c r="N55" i="6"/>
  <c r="N54" i="6"/>
  <c r="N53" i="6"/>
  <c r="N52" i="6"/>
  <c r="N51" i="6"/>
  <c r="N50" i="6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N5" i="6"/>
  <c r="N4" i="6"/>
  <c r="M68" i="6"/>
  <c r="M67" i="6"/>
  <c r="M66" i="6"/>
  <c r="M65" i="6"/>
  <c r="M64" i="6"/>
  <c r="M63" i="6"/>
  <c r="M62" i="6"/>
  <c r="M61" i="6"/>
  <c r="M60" i="6"/>
  <c r="M59" i="6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  <c r="L68" i="6"/>
  <c r="L67" i="6"/>
  <c r="L66" i="6"/>
  <c r="L65" i="6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L4" i="6"/>
  <c r="K68" i="6"/>
  <c r="K67" i="6"/>
  <c r="K66" i="6"/>
  <c r="K65" i="6"/>
  <c r="K64" i="6"/>
  <c r="K63" i="6"/>
  <c r="K62" i="6"/>
  <c r="K61" i="6"/>
  <c r="K60" i="6"/>
  <c r="K59" i="6"/>
  <c r="K58" i="6"/>
  <c r="K57" i="6"/>
  <c r="K56" i="6"/>
  <c r="K55" i="6"/>
  <c r="K54" i="6"/>
  <c r="K53" i="6"/>
  <c r="K52" i="6"/>
  <c r="K51" i="6"/>
  <c r="K50" i="6"/>
  <c r="K49" i="6"/>
  <c r="K48" i="6"/>
  <c r="K47" i="6"/>
  <c r="K46" i="6"/>
  <c r="K45" i="6"/>
  <c r="K44" i="6"/>
  <c r="K43" i="6"/>
  <c r="K42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6" i="6"/>
  <c r="K5" i="6"/>
  <c r="K4" i="6"/>
  <c r="J68" i="6"/>
  <c r="J67" i="6"/>
  <c r="J66" i="6"/>
  <c r="J65" i="6"/>
  <c r="J64" i="6"/>
  <c r="J63" i="6"/>
  <c r="J62" i="6"/>
  <c r="J61" i="6"/>
  <c r="J60" i="6"/>
  <c r="J59" i="6"/>
  <c r="J58" i="6"/>
  <c r="J57" i="6"/>
  <c r="J56" i="6"/>
  <c r="J55" i="6"/>
  <c r="J54" i="6"/>
  <c r="J53" i="6"/>
  <c r="J52" i="6"/>
  <c r="J51" i="6"/>
  <c r="J50" i="6"/>
  <c r="J49" i="6"/>
  <c r="J48" i="6"/>
  <c r="J47" i="6"/>
  <c r="J46" i="6"/>
  <c r="J45" i="6"/>
  <c r="J44" i="6"/>
  <c r="J43" i="6"/>
  <c r="J42" i="6"/>
  <c r="J41" i="6"/>
  <c r="J40" i="6"/>
  <c r="J39" i="6"/>
  <c r="J38" i="6"/>
  <c r="J37" i="6"/>
  <c r="J36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J15" i="6"/>
  <c r="J14" i="6"/>
  <c r="J13" i="6"/>
  <c r="J12" i="6"/>
  <c r="J11" i="6"/>
  <c r="J10" i="6"/>
  <c r="J9" i="6"/>
  <c r="J8" i="6"/>
  <c r="J7" i="6"/>
  <c r="J6" i="6"/>
  <c r="J5" i="6"/>
  <c r="J4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5" i="6"/>
  <c r="I4" i="6"/>
  <c r="H68" i="6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H4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G4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C35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O68" i="4"/>
  <c r="O67" i="4"/>
  <c r="O66" i="4"/>
  <c r="O65" i="4"/>
  <c r="O64" i="4"/>
  <c r="O63" i="4"/>
  <c r="O62" i="4"/>
  <c r="O61" i="4"/>
  <c r="O60" i="4"/>
  <c r="O59" i="4"/>
  <c r="O58" i="4"/>
  <c r="O57" i="4"/>
  <c r="O56" i="4"/>
  <c r="O55" i="4"/>
  <c r="O54" i="4"/>
  <c r="O53" i="4"/>
  <c r="O52" i="4"/>
  <c r="O51" i="4"/>
  <c r="O50" i="4"/>
  <c r="O49" i="4"/>
  <c r="P48" i="4"/>
  <c r="R48" i="4" s="1"/>
  <c r="O48" i="4"/>
  <c r="P47" i="4"/>
  <c r="R47" i="4" s="1"/>
  <c r="O47" i="4"/>
  <c r="O46" i="4"/>
  <c r="P45" i="4"/>
  <c r="R45" i="4" s="1"/>
  <c r="O45" i="4"/>
  <c r="P44" i="4"/>
  <c r="R44" i="4" s="1"/>
  <c r="O44" i="4"/>
  <c r="P43" i="4"/>
  <c r="R43" i="4" s="1"/>
  <c r="O43" i="4"/>
  <c r="O42" i="4"/>
  <c r="P41" i="4"/>
  <c r="R41" i="4" s="1"/>
  <c r="O41" i="4"/>
  <c r="P40" i="4"/>
  <c r="R40" i="4" s="1"/>
  <c r="O40" i="4"/>
  <c r="P39" i="4"/>
  <c r="R39" i="4" s="1"/>
  <c r="O39" i="4"/>
  <c r="O38" i="4"/>
  <c r="P37" i="4"/>
  <c r="R37" i="4" s="1"/>
  <c r="O37" i="4"/>
  <c r="P36" i="4"/>
  <c r="R36" i="4" s="1"/>
  <c r="O36" i="4"/>
  <c r="P35" i="4"/>
  <c r="R35" i="4" s="1"/>
  <c r="O35" i="4"/>
  <c r="O34" i="4"/>
  <c r="P33" i="4"/>
  <c r="R33" i="4" s="1"/>
  <c r="O33" i="4"/>
  <c r="P32" i="4"/>
  <c r="R32" i="4" s="1"/>
  <c r="O32" i="4"/>
  <c r="P31" i="4"/>
  <c r="R31" i="4" s="1"/>
  <c r="O31" i="4"/>
  <c r="O30" i="4"/>
  <c r="P29" i="4"/>
  <c r="R29" i="4" s="1"/>
  <c r="O29" i="4"/>
  <c r="P28" i="4"/>
  <c r="R28" i="4" s="1"/>
  <c r="S28" i="4" s="1"/>
  <c r="O28" i="4"/>
  <c r="P27" i="4"/>
  <c r="R27" i="4" s="1"/>
  <c r="O27" i="4"/>
  <c r="O26" i="4"/>
  <c r="P25" i="4"/>
  <c r="R25" i="4" s="1"/>
  <c r="O25" i="4"/>
  <c r="P24" i="4"/>
  <c r="R24" i="4" s="1"/>
  <c r="O24" i="4"/>
  <c r="P23" i="4"/>
  <c r="R23" i="4" s="1"/>
  <c r="O23" i="4"/>
  <c r="O22" i="4"/>
  <c r="P21" i="4"/>
  <c r="R21" i="4" s="1"/>
  <c r="S21" i="4" s="1"/>
  <c r="O21" i="4"/>
  <c r="P20" i="4"/>
  <c r="R20" i="4" s="1"/>
  <c r="O20" i="4"/>
  <c r="P19" i="4"/>
  <c r="R19" i="4" s="1"/>
  <c r="O19" i="4"/>
  <c r="O18" i="4"/>
  <c r="P17" i="4"/>
  <c r="R17" i="4" s="1"/>
  <c r="O17" i="4"/>
  <c r="P16" i="4"/>
  <c r="R16" i="4" s="1"/>
  <c r="O16" i="4"/>
  <c r="P15" i="4"/>
  <c r="R15" i="4" s="1"/>
  <c r="O15" i="4"/>
  <c r="O14" i="4"/>
  <c r="P13" i="4"/>
  <c r="R13" i="4" s="1"/>
  <c r="O13" i="4"/>
  <c r="P12" i="4"/>
  <c r="R12" i="4" s="1"/>
  <c r="S12" i="4" s="1"/>
  <c r="O12" i="4"/>
  <c r="P11" i="4"/>
  <c r="R11" i="4" s="1"/>
  <c r="O11" i="4"/>
  <c r="O10" i="4"/>
  <c r="P9" i="4"/>
  <c r="R9" i="4" s="1"/>
  <c r="O9" i="4"/>
  <c r="P8" i="4"/>
  <c r="R8" i="4" s="1"/>
  <c r="O8" i="4"/>
  <c r="P7" i="4"/>
  <c r="R7" i="4" s="1"/>
  <c r="O7" i="4"/>
  <c r="O6" i="4"/>
  <c r="P5" i="4"/>
  <c r="R5" i="4" s="1"/>
  <c r="O5" i="4"/>
  <c r="P4" i="4"/>
  <c r="R4" i="4" s="1"/>
  <c r="O4" i="4"/>
  <c r="Q2" i="4"/>
  <c r="P2" i="4"/>
  <c r="P67" i="6"/>
  <c r="P63" i="6"/>
  <c r="P59" i="6"/>
  <c r="P55" i="6"/>
  <c r="P51" i="6"/>
  <c r="P47" i="6"/>
  <c r="P43" i="6"/>
  <c r="P39" i="6"/>
  <c r="P35" i="6"/>
  <c r="P31" i="6"/>
  <c r="P27" i="6"/>
  <c r="P23" i="6"/>
  <c r="P19" i="6"/>
  <c r="P15" i="6"/>
  <c r="P11" i="6"/>
  <c r="P10" i="6"/>
  <c r="P7" i="6"/>
  <c r="P6" i="6"/>
  <c r="Q2" i="6"/>
  <c r="P66" i="6" s="1"/>
  <c r="P2" i="6"/>
  <c r="W2" i="3"/>
  <c r="X2" i="3"/>
  <c r="Y2" i="3"/>
  <c r="Z2" i="3"/>
  <c r="AA2" i="3"/>
  <c r="AB2" i="3"/>
  <c r="V2" i="3"/>
  <c r="U2" i="3"/>
  <c r="T2" i="3"/>
  <c r="AC4" i="3"/>
  <c r="Z3" i="1" s="1"/>
  <c r="AD3" i="1" s="1"/>
  <c r="AC54" i="3"/>
  <c r="Z53" i="1" s="1"/>
  <c r="AD53" i="1" s="1"/>
  <c r="O5" i="3"/>
  <c r="X4" i="1" s="1"/>
  <c r="O6" i="3"/>
  <c r="X5" i="1" s="1"/>
  <c r="O7" i="3"/>
  <c r="X6" i="1" s="1"/>
  <c r="O8" i="3"/>
  <c r="X7" i="1" s="1"/>
  <c r="O9" i="3"/>
  <c r="X8" i="1" s="1"/>
  <c r="O10" i="3"/>
  <c r="X9" i="1" s="1"/>
  <c r="O11" i="3"/>
  <c r="X10" i="1" s="1"/>
  <c r="O12" i="3"/>
  <c r="X11" i="1" s="1"/>
  <c r="O13" i="3"/>
  <c r="X12" i="1" s="1"/>
  <c r="O14" i="3"/>
  <c r="X13" i="1" s="1"/>
  <c r="O15" i="3"/>
  <c r="X14" i="1" s="1"/>
  <c r="O16" i="3"/>
  <c r="X15" i="1" s="1"/>
  <c r="O17" i="3"/>
  <c r="X16" i="1" s="1"/>
  <c r="O18" i="3"/>
  <c r="X17" i="1" s="1"/>
  <c r="O19" i="3"/>
  <c r="X18" i="1" s="1"/>
  <c r="O20" i="3"/>
  <c r="X19" i="1" s="1"/>
  <c r="O21" i="3"/>
  <c r="X20" i="1" s="1"/>
  <c r="O22" i="3"/>
  <c r="X21" i="1" s="1"/>
  <c r="O23" i="3"/>
  <c r="X22" i="1" s="1"/>
  <c r="O24" i="3"/>
  <c r="X23" i="1" s="1"/>
  <c r="O25" i="3"/>
  <c r="X24" i="1" s="1"/>
  <c r="O26" i="3"/>
  <c r="X25" i="1" s="1"/>
  <c r="O27" i="3"/>
  <c r="X26" i="1" s="1"/>
  <c r="O28" i="3"/>
  <c r="X27" i="1" s="1"/>
  <c r="O29" i="3"/>
  <c r="X28" i="1" s="1"/>
  <c r="O30" i="3"/>
  <c r="X29" i="1" s="1"/>
  <c r="O31" i="3"/>
  <c r="X30" i="1" s="1"/>
  <c r="O32" i="3"/>
  <c r="X31" i="1" s="1"/>
  <c r="O33" i="3"/>
  <c r="X32" i="1" s="1"/>
  <c r="O34" i="3"/>
  <c r="X33" i="1" s="1"/>
  <c r="O35" i="3"/>
  <c r="X34" i="1" s="1"/>
  <c r="O36" i="3"/>
  <c r="X35" i="1" s="1"/>
  <c r="O37" i="3"/>
  <c r="X36" i="1" s="1"/>
  <c r="O38" i="3"/>
  <c r="X37" i="1" s="1"/>
  <c r="O39" i="3"/>
  <c r="X38" i="1" s="1"/>
  <c r="O40" i="3"/>
  <c r="X39" i="1" s="1"/>
  <c r="O41" i="3"/>
  <c r="X40" i="1" s="1"/>
  <c r="O42" i="3"/>
  <c r="X41" i="1" s="1"/>
  <c r="O43" i="3"/>
  <c r="X42" i="1" s="1"/>
  <c r="O44" i="3"/>
  <c r="X43" i="1" s="1"/>
  <c r="O45" i="3"/>
  <c r="X44" i="1" s="1"/>
  <c r="O46" i="3"/>
  <c r="X45" i="1" s="1"/>
  <c r="O47" i="3"/>
  <c r="X46" i="1" s="1"/>
  <c r="O48" i="3"/>
  <c r="X47" i="1" s="1"/>
  <c r="O49" i="3"/>
  <c r="X48" i="1" s="1"/>
  <c r="O50" i="3"/>
  <c r="X49" i="1" s="1"/>
  <c r="O51" i="3"/>
  <c r="X50" i="1" s="1"/>
  <c r="O52" i="3"/>
  <c r="X51" i="1" s="1"/>
  <c r="O53" i="3"/>
  <c r="X52" i="1" s="1"/>
  <c r="O54" i="3"/>
  <c r="X53" i="1" s="1"/>
  <c r="O55" i="3"/>
  <c r="X54" i="1" s="1"/>
  <c r="O56" i="3"/>
  <c r="X55" i="1" s="1"/>
  <c r="O57" i="3"/>
  <c r="X56" i="1" s="1"/>
  <c r="O58" i="3"/>
  <c r="X57" i="1" s="1"/>
  <c r="O59" i="3"/>
  <c r="X58" i="1" s="1"/>
  <c r="O60" i="3"/>
  <c r="X59" i="1" s="1"/>
  <c r="O61" i="3"/>
  <c r="X60" i="1" s="1"/>
  <c r="O62" i="3"/>
  <c r="X61" i="1" s="1"/>
  <c r="O63" i="3"/>
  <c r="X62" i="1" s="1"/>
  <c r="O64" i="3"/>
  <c r="X63" i="1" s="1"/>
  <c r="O65" i="3"/>
  <c r="X64" i="1" s="1"/>
  <c r="AB64" i="1" s="1"/>
  <c r="AE64" i="1" s="1"/>
  <c r="O66" i="3"/>
  <c r="X65" i="1" s="1"/>
  <c r="O67" i="3"/>
  <c r="X66" i="1" s="1"/>
  <c r="O68" i="3"/>
  <c r="X67" i="1" s="1"/>
  <c r="O4" i="3"/>
  <c r="X3" i="1" s="1"/>
  <c r="P11" i="3"/>
  <c r="R11" i="3" s="1"/>
  <c r="W10" i="1" s="1"/>
  <c r="Q2" i="3"/>
  <c r="P66" i="3" s="1"/>
  <c r="R66" i="3" s="1"/>
  <c r="S66" i="3" s="1"/>
  <c r="Y65" i="1" s="1"/>
  <c r="AC65" i="1" s="1"/>
  <c r="P2" i="3"/>
  <c r="AH67" i="1"/>
  <c r="AK67" i="1" s="1"/>
  <c r="AH64" i="1"/>
  <c r="AK64" i="1" s="1"/>
  <c r="AH62" i="1"/>
  <c r="AK62" i="1" s="1"/>
  <c r="AH54" i="1"/>
  <c r="AK54" i="1" s="1"/>
  <c r="AH44" i="1"/>
  <c r="AK44" i="1" s="1"/>
  <c r="AH42" i="1"/>
  <c r="AK42" i="1" s="1"/>
  <c r="AH41" i="1"/>
  <c r="AK41" i="1" s="1"/>
  <c r="AH40" i="1"/>
  <c r="AK40" i="1" s="1"/>
  <c r="AH34" i="1"/>
  <c r="AK34" i="1" s="1"/>
  <c r="AH22" i="1"/>
  <c r="AK22" i="1" s="1"/>
  <c r="AH20" i="1"/>
  <c r="AK20" i="1" s="1"/>
  <c r="AH11" i="1"/>
  <c r="AK11" i="1" s="1"/>
  <c r="AH7" i="1"/>
  <c r="AK7" i="1" s="1"/>
  <c r="AH3" i="1"/>
  <c r="AK3" i="1" s="1"/>
  <c r="O5" i="5"/>
  <c r="AH4" i="1" s="1"/>
  <c r="AK4" i="1" s="1"/>
  <c r="O6" i="5"/>
  <c r="AH5" i="1" s="1"/>
  <c r="AK5" i="1" s="1"/>
  <c r="O7" i="5"/>
  <c r="AH6" i="1" s="1"/>
  <c r="AK6" i="1" s="1"/>
  <c r="O8" i="5"/>
  <c r="O9" i="5"/>
  <c r="AH8" i="1" s="1"/>
  <c r="AK8" i="1" s="1"/>
  <c r="O10" i="5"/>
  <c r="AH9" i="1" s="1"/>
  <c r="AK9" i="1" s="1"/>
  <c r="O11" i="5"/>
  <c r="AH10" i="1" s="1"/>
  <c r="AK10" i="1" s="1"/>
  <c r="O12" i="5"/>
  <c r="O13" i="5"/>
  <c r="AH12" i="1" s="1"/>
  <c r="AK12" i="1" s="1"/>
  <c r="O14" i="5"/>
  <c r="AH13" i="1" s="1"/>
  <c r="AK13" i="1" s="1"/>
  <c r="O15" i="5"/>
  <c r="AH14" i="1" s="1"/>
  <c r="AK14" i="1" s="1"/>
  <c r="O16" i="5"/>
  <c r="AH15" i="1" s="1"/>
  <c r="AK15" i="1" s="1"/>
  <c r="O17" i="5"/>
  <c r="AH16" i="1" s="1"/>
  <c r="AK16" i="1" s="1"/>
  <c r="O18" i="5"/>
  <c r="AH17" i="1" s="1"/>
  <c r="AK17" i="1" s="1"/>
  <c r="O19" i="5"/>
  <c r="AH18" i="1" s="1"/>
  <c r="AK18" i="1" s="1"/>
  <c r="O20" i="5"/>
  <c r="AH19" i="1" s="1"/>
  <c r="AK19" i="1" s="1"/>
  <c r="O21" i="5"/>
  <c r="O22" i="5"/>
  <c r="AH21" i="1" s="1"/>
  <c r="AK21" i="1" s="1"/>
  <c r="O23" i="5"/>
  <c r="O24" i="5"/>
  <c r="AH23" i="1" s="1"/>
  <c r="AK23" i="1" s="1"/>
  <c r="O25" i="5"/>
  <c r="AH24" i="1" s="1"/>
  <c r="AK24" i="1" s="1"/>
  <c r="O26" i="5"/>
  <c r="AH25" i="1" s="1"/>
  <c r="AK25" i="1" s="1"/>
  <c r="O27" i="5"/>
  <c r="AH26" i="1" s="1"/>
  <c r="AK26" i="1" s="1"/>
  <c r="O28" i="5"/>
  <c r="AH27" i="1" s="1"/>
  <c r="AK27" i="1" s="1"/>
  <c r="O29" i="5"/>
  <c r="AH28" i="1" s="1"/>
  <c r="AK28" i="1" s="1"/>
  <c r="O30" i="5"/>
  <c r="AH29" i="1" s="1"/>
  <c r="AK29" i="1" s="1"/>
  <c r="O31" i="5"/>
  <c r="AH30" i="1" s="1"/>
  <c r="AK30" i="1" s="1"/>
  <c r="O32" i="5"/>
  <c r="AH31" i="1" s="1"/>
  <c r="AK31" i="1" s="1"/>
  <c r="O33" i="5"/>
  <c r="AH32" i="1" s="1"/>
  <c r="AK32" i="1" s="1"/>
  <c r="O34" i="5"/>
  <c r="AH33" i="1" s="1"/>
  <c r="AK33" i="1" s="1"/>
  <c r="O35" i="5"/>
  <c r="O36" i="5"/>
  <c r="AH35" i="1" s="1"/>
  <c r="AK35" i="1" s="1"/>
  <c r="O37" i="5"/>
  <c r="AH36" i="1" s="1"/>
  <c r="AK36" i="1" s="1"/>
  <c r="O38" i="5"/>
  <c r="AH37" i="1" s="1"/>
  <c r="AK37" i="1" s="1"/>
  <c r="O39" i="5"/>
  <c r="AH38" i="1" s="1"/>
  <c r="AK38" i="1" s="1"/>
  <c r="O40" i="5"/>
  <c r="AH39" i="1" s="1"/>
  <c r="AK39" i="1" s="1"/>
  <c r="O41" i="5"/>
  <c r="O42" i="5"/>
  <c r="O43" i="5"/>
  <c r="O44" i="5"/>
  <c r="AH43" i="1" s="1"/>
  <c r="AK43" i="1" s="1"/>
  <c r="O45" i="5"/>
  <c r="O46" i="5"/>
  <c r="AH45" i="1" s="1"/>
  <c r="AK45" i="1" s="1"/>
  <c r="O47" i="5"/>
  <c r="AH46" i="1" s="1"/>
  <c r="AK46" i="1" s="1"/>
  <c r="O48" i="5"/>
  <c r="AH47" i="1" s="1"/>
  <c r="AK47" i="1" s="1"/>
  <c r="O49" i="5"/>
  <c r="AH48" i="1" s="1"/>
  <c r="AK48" i="1" s="1"/>
  <c r="O50" i="5"/>
  <c r="AH49" i="1" s="1"/>
  <c r="AK49" i="1" s="1"/>
  <c r="O51" i="5"/>
  <c r="AH50" i="1" s="1"/>
  <c r="AK50" i="1" s="1"/>
  <c r="O52" i="5"/>
  <c r="AH51" i="1" s="1"/>
  <c r="AK51" i="1" s="1"/>
  <c r="O53" i="5"/>
  <c r="AH52" i="1" s="1"/>
  <c r="AK52" i="1" s="1"/>
  <c r="O54" i="5"/>
  <c r="AH53" i="1" s="1"/>
  <c r="AK53" i="1" s="1"/>
  <c r="O55" i="5"/>
  <c r="O56" i="5"/>
  <c r="AH55" i="1" s="1"/>
  <c r="AK55" i="1" s="1"/>
  <c r="O57" i="5"/>
  <c r="AH56" i="1" s="1"/>
  <c r="AK56" i="1" s="1"/>
  <c r="O58" i="5"/>
  <c r="AH57" i="1" s="1"/>
  <c r="AK57" i="1" s="1"/>
  <c r="O59" i="5"/>
  <c r="AH58" i="1" s="1"/>
  <c r="AK58" i="1" s="1"/>
  <c r="O60" i="5"/>
  <c r="AH59" i="1" s="1"/>
  <c r="AK59" i="1" s="1"/>
  <c r="O61" i="5"/>
  <c r="AH60" i="1" s="1"/>
  <c r="AK60" i="1" s="1"/>
  <c r="O62" i="5"/>
  <c r="AH61" i="1" s="1"/>
  <c r="AK61" i="1" s="1"/>
  <c r="O63" i="5"/>
  <c r="O64" i="5"/>
  <c r="AH63" i="1" s="1"/>
  <c r="AK63" i="1" s="1"/>
  <c r="O65" i="5"/>
  <c r="O66" i="5"/>
  <c r="AH65" i="1" s="1"/>
  <c r="AK65" i="1" s="1"/>
  <c r="O67" i="5"/>
  <c r="AH66" i="1" s="1"/>
  <c r="AK66" i="1" s="1"/>
  <c r="O68" i="5"/>
  <c r="O4" i="5"/>
  <c r="P48" i="5"/>
  <c r="R48" i="5" s="1"/>
  <c r="P47" i="5"/>
  <c r="R47" i="5" s="1"/>
  <c r="P45" i="5"/>
  <c r="R45" i="5" s="1"/>
  <c r="P44" i="5"/>
  <c r="R44" i="5" s="1"/>
  <c r="P43" i="5"/>
  <c r="R43" i="5" s="1"/>
  <c r="P41" i="5"/>
  <c r="R41" i="5" s="1"/>
  <c r="P40" i="5"/>
  <c r="R40" i="5" s="1"/>
  <c r="P39" i="5"/>
  <c r="R39" i="5" s="1"/>
  <c r="P37" i="5"/>
  <c r="R37" i="5" s="1"/>
  <c r="P36" i="5"/>
  <c r="R36" i="5" s="1"/>
  <c r="P35" i="5"/>
  <c r="R35" i="5" s="1"/>
  <c r="P33" i="5"/>
  <c r="R33" i="5" s="1"/>
  <c r="P32" i="5"/>
  <c r="R32" i="5" s="1"/>
  <c r="P31" i="5"/>
  <c r="R31" i="5" s="1"/>
  <c r="P29" i="5"/>
  <c r="R29" i="5" s="1"/>
  <c r="P28" i="5"/>
  <c r="R28" i="5" s="1"/>
  <c r="P27" i="5"/>
  <c r="R27" i="5" s="1"/>
  <c r="P25" i="5"/>
  <c r="R25" i="5" s="1"/>
  <c r="P24" i="5"/>
  <c r="R24" i="5" s="1"/>
  <c r="P23" i="5"/>
  <c r="R23" i="5" s="1"/>
  <c r="P21" i="5"/>
  <c r="R21" i="5" s="1"/>
  <c r="P20" i="5"/>
  <c r="R20" i="5" s="1"/>
  <c r="P19" i="5"/>
  <c r="R19" i="5" s="1"/>
  <c r="P17" i="5"/>
  <c r="R17" i="5" s="1"/>
  <c r="P16" i="5"/>
  <c r="R16" i="5" s="1"/>
  <c r="P15" i="5"/>
  <c r="R15" i="5" s="1"/>
  <c r="P13" i="5"/>
  <c r="R13" i="5" s="1"/>
  <c r="P12" i="5"/>
  <c r="R12" i="5" s="1"/>
  <c r="P11" i="5"/>
  <c r="R11" i="5" s="1"/>
  <c r="P9" i="5"/>
  <c r="R9" i="5" s="1"/>
  <c r="P8" i="5"/>
  <c r="R8" i="5" s="1"/>
  <c r="P7" i="5"/>
  <c r="R7" i="5" s="1"/>
  <c r="P5" i="5"/>
  <c r="R5" i="5" s="1"/>
  <c r="P4" i="5"/>
  <c r="R4" i="5" s="1"/>
  <c r="Q2" i="5"/>
  <c r="P2" i="5"/>
  <c r="F56" i="1"/>
  <c r="F55" i="1"/>
  <c r="F54" i="1"/>
  <c r="F37" i="1"/>
  <c r="F22" i="1"/>
  <c r="F9" i="1"/>
  <c r="F8" i="1"/>
  <c r="O5" i="2"/>
  <c r="F4" i="1" s="1"/>
  <c r="O6" i="2"/>
  <c r="F5" i="1" s="1"/>
  <c r="O7" i="2"/>
  <c r="F6" i="1" s="1"/>
  <c r="O8" i="2"/>
  <c r="F7" i="1" s="1"/>
  <c r="O9" i="2"/>
  <c r="O10" i="2"/>
  <c r="O11" i="2"/>
  <c r="F10" i="1" s="1"/>
  <c r="O12" i="2"/>
  <c r="F11" i="1" s="1"/>
  <c r="O13" i="2"/>
  <c r="F12" i="1" s="1"/>
  <c r="O14" i="2"/>
  <c r="F13" i="1" s="1"/>
  <c r="O15" i="2"/>
  <c r="F14" i="1" s="1"/>
  <c r="O16" i="2"/>
  <c r="F15" i="1" s="1"/>
  <c r="O17" i="2"/>
  <c r="F16" i="1" s="1"/>
  <c r="O18" i="2"/>
  <c r="F17" i="1" s="1"/>
  <c r="O19" i="2"/>
  <c r="F18" i="1" s="1"/>
  <c r="O20" i="2"/>
  <c r="F19" i="1" s="1"/>
  <c r="O21" i="2"/>
  <c r="F20" i="1" s="1"/>
  <c r="O22" i="2"/>
  <c r="F21" i="1" s="1"/>
  <c r="O23" i="2"/>
  <c r="O24" i="2"/>
  <c r="F23" i="1" s="1"/>
  <c r="O25" i="2"/>
  <c r="F24" i="1" s="1"/>
  <c r="O26" i="2"/>
  <c r="F25" i="1" s="1"/>
  <c r="O27" i="2"/>
  <c r="F26" i="1" s="1"/>
  <c r="O28" i="2"/>
  <c r="F27" i="1" s="1"/>
  <c r="O29" i="2"/>
  <c r="F28" i="1" s="1"/>
  <c r="O30" i="2"/>
  <c r="F29" i="1" s="1"/>
  <c r="O31" i="2"/>
  <c r="F30" i="1" s="1"/>
  <c r="O32" i="2"/>
  <c r="F31" i="1" s="1"/>
  <c r="O33" i="2"/>
  <c r="F32" i="1" s="1"/>
  <c r="O34" i="2"/>
  <c r="F33" i="1" s="1"/>
  <c r="O35" i="2"/>
  <c r="F34" i="1" s="1"/>
  <c r="O36" i="2"/>
  <c r="F35" i="1" s="1"/>
  <c r="O37" i="2"/>
  <c r="F36" i="1" s="1"/>
  <c r="O38" i="2"/>
  <c r="O39" i="2"/>
  <c r="F38" i="1" s="1"/>
  <c r="O40" i="2"/>
  <c r="F39" i="1" s="1"/>
  <c r="O41" i="2"/>
  <c r="F40" i="1" s="1"/>
  <c r="O42" i="2"/>
  <c r="F41" i="1" s="1"/>
  <c r="O43" i="2"/>
  <c r="F42" i="1" s="1"/>
  <c r="O44" i="2"/>
  <c r="F43" i="1" s="1"/>
  <c r="O45" i="2"/>
  <c r="F44" i="1" s="1"/>
  <c r="O46" i="2"/>
  <c r="F45" i="1" s="1"/>
  <c r="O47" i="2"/>
  <c r="F46" i="1" s="1"/>
  <c r="O48" i="2"/>
  <c r="F47" i="1" s="1"/>
  <c r="O49" i="2"/>
  <c r="F48" i="1" s="1"/>
  <c r="O50" i="2"/>
  <c r="F49" i="1" s="1"/>
  <c r="O51" i="2"/>
  <c r="F50" i="1" s="1"/>
  <c r="O52" i="2"/>
  <c r="F51" i="1" s="1"/>
  <c r="O53" i="2"/>
  <c r="F52" i="1" s="1"/>
  <c r="O54" i="2"/>
  <c r="F53" i="1" s="1"/>
  <c r="O55" i="2"/>
  <c r="O56" i="2"/>
  <c r="O57" i="2"/>
  <c r="O58" i="2"/>
  <c r="F57" i="1" s="1"/>
  <c r="O59" i="2"/>
  <c r="F58" i="1" s="1"/>
  <c r="O60" i="2"/>
  <c r="F59" i="1" s="1"/>
  <c r="O61" i="2"/>
  <c r="F60" i="1" s="1"/>
  <c r="O62" i="2"/>
  <c r="F61" i="1" s="1"/>
  <c r="O63" i="2"/>
  <c r="F62" i="1" s="1"/>
  <c r="O64" i="2"/>
  <c r="F63" i="1" s="1"/>
  <c r="O65" i="2"/>
  <c r="F64" i="1" s="1"/>
  <c r="O66" i="2"/>
  <c r="F65" i="1" s="1"/>
  <c r="O67" i="2"/>
  <c r="F66" i="1" s="1"/>
  <c r="O68" i="2"/>
  <c r="F67" i="1" s="1"/>
  <c r="O4" i="2"/>
  <c r="F3" i="1" s="1"/>
  <c r="P5" i="2"/>
  <c r="R5" i="2" s="1"/>
  <c r="P7" i="2"/>
  <c r="R7" i="2" s="1"/>
  <c r="Q2" i="2"/>
  <c r="P2" i="2"/>
  <c r="AG23" i="1" l="1"/>
  <c r="AJ23" i="1" s="1"/>
  <c r="AG34" i="1"/>
  <c r="AJ34" i="1" s="1"/>
  <c r="AG39" i="1"/>
  <c r="AJ39" i="1" s="1"/>
  <c r="AG3" i="1"/>
  <c r="AJ3" i="1" s="1"/>
  <c r="S15" i="5"/>
  <c r="AI14" i="1" s="1"/>
  <c r="AL14" i="1" s="1"/>
  <c r="S31" i="5"/>
  <c r="AI30" i="1" s="1"/>
  <c r="AL30" i="1" s="1"/>
  <c r="S41" i="5"/>
  <c r="AI40" i="1" s="1"/>
  <c r="AL40" i="1" s="1"/>
  <c r="AG6" i="1"/>
  <c r="AJ6" i="1" s="1"/>
  <c r="AG11" i="1"/>
  <c r="AJ11" i="1" s="1"/>
  <c r="S17" i="5"/>
  <c r="AI16" i="1" s="1"/>
  <c r="AL16" i="1" s="1"/>
  <c r="AG22" i="1"/>
  <c r="AJ22" i="1" s="1"/>
  <c r="AG27" i="1"/>
  <c r="AJ27" i="1" s="1"/>
  <c r="S33" i="5"/>
  <c r="AI32" i="1" s="1"/>
  <c r="AL32" i="1" s="1"/>
  <c r="AG38" i="1"/>
  <c r="AJ38" i="1" s="1"/>
  <c r="AG43" i="1"/>
  <c r="AJ43" i="1" s="1"/>
  <c r="AG7" i="1"/>
  <c r="AJ7" i="1" s="1"/>
  <c r="AG18" i="1"/>
  <c r="AJ18" i="1" s="1"/>
  <c r="S47" i="5"/>
  <c r="AI46" i="1" s="1"/>
  <c r="AL46" i="1" s="1"/>
  <c r="AG15" i="1"/>
  <c r="AJ15" i="1" s="1"/>
  <c r="S21" i="5"/>
  <c r="AI20" i="1" s="1"/>
  <c r="AL20" i="1" s="1"/>
  <c r="AG31" i="1"/>
  <c r="AJ31" i="1" s="1"/>
  <c r="S43" i="5"/>
  <c r="AI42" i="1" s="1"/>
  <c r="AL42" i="1" s="1"/>
  <c r="AG47" i="1"/>
  <c r="AJ47" i="1" s="1"/>
  <c r="S15" i="4"/>
  <c r="AC15" i="3"/>
  <c r="Z14" i="1" s="1"/>
  <c r="AD14" i="1" s="1"/>
  <c r="AC14" i="3"/>
  <c r="Z13" i="1" s="1"/>
  <c r="AD13" i="1" s="1"/>
  <c r="S13" i="5"/>
  <c r="AI12" i="1" s="1"/>
  <c r="S13" i="4"/>
  <c r="AC13" i="3"/>
  <c r="Z12" i="1" s="1"/>
  <c r="AD12" i="1" s="1"/>
  <c r="AC12" i="3"/>
  <c r="Z11" i="1" s="1"/>
  <c r="AD11" i="1" s="1"/>
  <c r="S11" i="5"/>
  <c r="AI10" i="1" s="1"/>
  <c r="S11" i="4"/>
  <c r="AC11" i="3"/>
  <c r="Z10" i="1" s="1"/>
  <c r="AC10" i="3"/>
  <c r="Z9" i="1" s="1"/>
  <c r="AD9" i="1" s="1"/>
  <c r="S9" i="5"/>
  <c r="AI8" i="1" s="1"/>
  <c r="S9" i="4"/>
  <c r="AC9" i="3"/>
  <c r="Z8" i="1" s="1"/>
  <c r="AD8" i="1" s="1"/>
  <c r="S8" i="4"/>
  <c r="AC8" i="3"/>
  <c r="Z7" i="1" s="1"/>
  <c r="AD7" i="1" s="1"/>
  <c r="S7" i="4"/>
  <c r="AC7" i="3"/>
  <c r="Z6" i="1" s="1"/>
  <c r="AD6" i="1" s="1"/>
  <c r="S7" i="2"/>
  <c r="G6" i="1" s="1"/>
  <c r="J6" i="1" s="1"/>
  <c r="S37" i="5"/>
  <c r="AI36" i="1" s="1"/>
  <c r="S37" i="4"/>
  <c r="AC37" i="3"/>
  <c r="Z36" i="1" s="1"/>
  <c r="AD36" i="1" s="1"/>
  <c r="S36" i="5"/>
  <c r="AI35" i="1" s="1"/>
  <c r="S36" i="4"/>
  <c r="AC36" i="3"/>
  <c r="Z35" i="1" s="1"/>
  <c r="AD35" i="1" s="1"/>
  <c r="S35" i="4"/>
  <c r="AC35" i="3"/>
  <c r="Z34" i="1" s="1"/>
  <c r="AD34" i="1" s="1"/>
  <c r="AC34" i="3"/>
  <c r="Z33" i="1" s="1"/>
  <c r="AD33" i="1" s="1"/>
  <c r="AC51" i="3"/>
  <c r="Z50" i="1" s="1"/>
  <c r="AD50" i="1" s="1"/>
  <c r="AC50" i="3"/>
  <c r="Z49" i="1" s="1"/>
  <c r="AD49" i="1" s="1"/>
  <c r="AC49" i="3"/>
  <c r="Z48" i="1" s="1"/>
  <c r="AD48" i="1" s="1"/>
  <c r="S48" i="4"/>
  <c r="AC48" i="3"/>
  <c r="Z47" i="1" s="1"/>
  <c r="AD47" i="1" s="1"/>
  <c r="AC58" i="3"/>
  <c r="Z57" i="1" s="1"/>
  <c r="AD57" i="1" s="1"/>
  <c r="AC57" i="3"/>
  <c r="Z56" i="1" s="1"/>
  <c r="AD56" i="1" s="1"/>
  <c r="AC56" i="3"/>
  <c r="Z55" i="1" s="1"/>
  <c r="AD55" i="1" s="1"/>
  <c r="AC55" i="3"/>
  <c r="Z54" i="1" s="1"/>
  <c r="AD54" i="1" s="1"/>
  <c r="AC59" i="3"/>
  <c r="Z58" i="1" s="1"/>
  <c r="AD58" i="1" s="1"/>
  <c r="AC63" i="3"/>
  <c r="Z62" i="1" s="1"/>
  <c r="AD62" i="1" s="1"/>
  <c r="AC62" i="3"/>
  <c r="Z61" i="1" s="1"/>
  <c r="AD61" i="1" s="1"/>
  <c r="AC61" i="3"/>
  <c r="Z60" i="1" s="1"/>
  <c r="AD60" i="1" s="1"/>
  <c r="S44" i="4"/>
  <c r="AC44" i="3"/>
  <c r="Z43" i="1" s="1"/>
  <c r="AD43" i="1" s="1"/>
  <c r="S43" i="4"/>
  <c r="AC43" i="3"/>
  <c r="Z42" i="1" s="1"/>
  <c r="AD42" i="1" s="1"/>
  <c r="AC42" i="3"/>
  <c r="Z41" i="1" s="1"/>
  <c r="AD41" i="1" s="1"/>
  <c r="AC22" i="3"/>
  <c r="Z21" i="1" s="1"/>
  <c r="AD21" i="1" s="1"/>
  <c r="AC21" i="3"/>
  <c r="Z20" i="1" s="1"/>
  <c r="AD20" i="1" s="1"/>
  <c r="S20" i="5"/>
  <c r="AI19" i="1" s="1"/>
  <c r="S20" i="4"/>
  <c r="AC20" i="3"/>
  <c r="Z19" i="1" s="1"/>
  <c r="AD19" i="1" s="1"/>
  <c r="S31" i="4"/>
  <c r="AC31" i="3"/>
  <c r="Z30" i="1" s="1"/>
  <c r="AD30" i="1" s="1"/>
  <c r="AC30" i="3"/>
  <c r="Z29" i="1" s="1"/>
  <c r="AD29" i="1" s="1"/>
  <c r="AC65" i="3"/>
  <c r="Z64" i="1" s="1"/>
  <c r="AD64" i="1" s="1"/>
  <c r="AC28" i="3"/>
  <c r="Z27" i="1" s="1"/>
  <c r="AD27" i="1" s="1"/>
  <c r="S39" i="4"/>
  <c r="AC39" i="3"/>
  <c r="Z38" i="1" s="1"/>
  <c r="AD38" i="1" s="1"/>
  <c r="AC26" i="3"/>
  <c r="Z25" i="1" s="1"/>
  <c r="AD25" i="1" s="1"/>
  <c r="S25" i="5"/>
  <c r="AI24" i="1" s="1"/>
  <c r="S25" i="4"/>
  <c r="AC25" i="3"/>
  <c r="Z24" i="1" s="1"/>
  <c r="AD24" i="1" s="1"/>
  <c r="AC18" i="3"/>
  <c r="Z17" i="1" s="1"/>
  <c r="AD17" i="1" s="1"/>
  <c r="S17" i="4"/>
  <c r="AC17" i="3"/>
  <c r="Z16" i="1" s="1"/>
  <c r="AD16" i="1" s="1"/>
  <c r="S16" i="4"/>
  <c r="AC16" i="3"/>
  <c r="Z15" i="1" s="1"/>
  <c r="AD15" i="1" s="1"/>
  <c r="AC46" i="3"/>
  <c r="Z45" i="1" s="1"/>
  <c r="AD45" i="1" s="1"/>
  <c r="S5" i="5"/>
  <c r="AI4" i="1" s="1"/>
  <c r="S5" i="4"/>
  <c r="AC5" i="3"/>
  <c r="Z4" i="1" s="1"/>
  <c r="AD4" i="1" s="1"/>
  <c r="S5" i="2"/>
  <c r="G4" i="1" s="1"/>
  <c r="J4" i="1" s="1"/>
  <c r="AC6" i="3"/>
  <c r="Z5" i="1" s="1"/>
  <c r="AD5" i="1" s="1"/>
  <c r="AC66" i="3"/>
  <c r="Z65" i="1" s="1"/>
  <c r="AD65" i="1" s="1"/>
  <c r="S47" i="4"/>
  <c r="AC47" i="3"/>
  <c r="Z46" i="1" s="1"/>
  <c r="AD46" i="1" s="1"/>
  <c r="AC38" i="3"/>
  <c r="Z37" i="1" s="1"/>
  <c r="AD37" i="1" s="1"/>
  <c r="AC67" i="3"/>
  <c r="Z66" i="1" s="1"/>
  <c r="AD66" i="1" s="1"/>
  <c r="AC68" i="3"/>
  <c r="Z67" i="1" s="1"/>
  <c r="AD67" i="1" s="1"/>
  <c r="AC60" i="3"/>
  <c r="Z59" i="1" s="1"/>
  <c r="AD59" i="1" s="1"/>
  <c r="S45" i="5"/>
  <c r="AI44" i="1" s="1"/>
  <c r="AL44" i="1" s="1"/>
  <c r="S45" i="4"/>
  <c r="AC45" i="3"/>
  <c r="Z44" i="1" s="1"/>
  <c r="AD44" i="1" s="1"/>
  <c r="S33" i="4"/>
  <c r="AC33" i="3"/>
  <c r="Z32" i="1" s="1"/>
  <c r="AD32" i="1" s="1"/>
  <c r="S32" i="4"/>
  <c r="AC32" i="3"/>
  <c r="Z31" i="1" s="1"/>
  <c r="AD31" i="1" s="1"/>
  <c r="S40" i="4"/>
  <c r="AC40" i="3"/>
  <c r="Z39" i="1" s="1"/>
  <c r="AD39" i="1" s="1"/>
  <c r="AC53" i="3"/>
  <c r="Z52" i="1" s="1"/>
  <c r="AD52" i="1" s="1"/>
  <c r="S41" i="4"/>
  <c r="AC41" i="3"/>
  <c r="Z40" i="1" s="1"/>
  <c r="AD40" i="1" s="1"/>
  <c r="S27" i="5"/>
  <c r="AI26" i="1" s="1"/>
  <c r="AL26" i="1" s="1"/>
  <c r="S27" i="4"/>
  <c r="AC27" i="3"/>
  <c r="Z26" i="1" s="1"/>
  <c r="AD26" i="1" s="1"/>
  <c r="S19" i="4"/>
  <c r="AC19" i="3"/>
  <c r="Z18" i="1" s="1"/>
  <c r="AD18" i="1" s="1"/>
  <c r="S24" i="4"/>
  <c r="AC24" i="3"/>
  <c r="Z23" i="1" s="1"/>
  <c r="AD23" i="1" s="1"/>
  <c r="O10" i="6"/>
  <c r="AV9" i="1" s="1"/>
  <c r="AY9" i="1" s="1"/>
  <c r="O14" i="6"/>
  <c r="AV13" i="1" s="1"/>
  <c r="AY13" i="1" s="1"/>
  <c r="O26" i="6"/>
  <c r="AV25" i="1" s="1"/>
  <c r="AY25" i="1" s="1"/>
  <c r="O38" i="6"/>
  <c r="AV37" i="1" s="1"/>
  <c r="AY37" i="1" s="1"/>
  <c r="O46" i="6"/>
  <c r="AV45" i="1" s="1"/>
  <c r="AY45" i="1" s="1"/>
  <c r="O54" i="6"/>
  <c r="AV53" i="1" s="1"/>
  <c r="AY53" i="1" s="1"/>
  <c r="O66" i="6"/>
  <c r="AV65" i="1" s="1"/>
  <c r="AY65" i="1" s="1"/>
  <c r="O7" i="6"/>
  <c r="AV6" i="1" s="1"/>
  <c r="AY6" i="1" s="1"/>
  <c r="O11" i="6"/>
  <c r="AV10" i="1" s="1"/>
  <c r="AY10" i="1" s="1"/>
  <c r="O23" i="6"/>
  <c r="AV22" i="1" s="1"/>
  <c r="AY22" i="1" s="1"/>
  <c r="O27" i="6"/>
  <c r="AV26" i="1" s="1"/>
  <c r="AY26" i="1" s="1"/>
  <c r="O35" i="6"/>
  <c r="AV34" i="1" s="1"/>
  <c r="AY34" i="1" s="1"/>
  <c r="O47" i="6"/>
  <c r="AV46" i="1" s="1"/>
  <c r="AY46" i="1" s="1"/>
  <c r="O51" i="6"/>
  <c r="AV50" i="1" s="1"/>
  <c r="AY50" i="1" s="1"/>
  <c r="O55" i="6"/>
  <c r="AV54" i="1" s="1"/>
  <c r="AY54" i="1" s="1"/>
  <c r="O67" i="6"/>
  <c r="AV66" i="1" s="1"/>
  <c r="AY66" i="1" s="1"/>
  <c r="O4" i="6"/>
  <c r="AV3" i="1" s="1"/>
  <c r="AY3" i="1" s="1"/>
  <c r="O8" i="6"/>
  <c r="AV7" i="1" s="1"/>
  <c r="AY7" i="1" s="1"/>
  <c r="O12" i="6"/>
  <c r="AV11" i="1" s="1"/>
  <c r="AY11" i="1" s="1"/>
  <c r="O16" i="6"/>
  <c r="AV15" i="1" s="1"/>
  <c r="AY15" i="1" s="1"/>
  <c r="O20" i="6"/>
  <c r="AV19" i="1" s="1"/>
  <c r="AY19" i="1" s="1"/>
  <c r="O24" i="6"/>
  <c r="AV23" i="1" s="1"/>
  <c r="AY23" i="1" s="1"/>
  <c r="O28" i="6"/>
  <c r="AV27" i="1" s="1"/>
  <c r="AY27" i="1" s="1"/>
  <c r="O32" i="6"/>
  <c r="AV31" i="1" s="1"/>
  <c r="AY31" i="1" s="1"/>
  <c r="O36" i="6"/>
  <c r="AV35" i="1" s="1"/>
  <c r="AY35" i="1" s="1"/>
  <c r="O40" i="6"/>
  <c r="AV39" i="1" s="1"/>
  <c r="AY39" i="1" s="1"/>
  <c r="O44" i="6"/>
  <c r="AV43" i="1" s="1"/>
  <c r="AY43" i="1" s="1"/>
  <c r="O48" i="6"/>
  <c r="AV47" i="1" s="1"/>
  <c r="AY47" i="1" s="1"/>
  <c r="O52" i="6"/>
  <c r="AV51" i="1" s="1"/>
  <c r="AY51" i="1" s="1"/>
  <c r="O56" i="6"/>
  <c r="AV55" i="1" s="1"/>
  <c r="AY55" i="1" s="1"/>
  <c r="O60" i="6"/>
  <c r="AV59" i="1" s="1"/>
  <c r="AY59" i="1" s="1"/>
  <c r="O64" i="6"/>
  <c r="AV63" i="1" s="1"/>
  <c r="AY63" i="1" s="1"/>
  <c r="O68" i="6"/>
  <c r="AV67" i="1" s="1"/>
  <c r="AY67" i="1" s="1"/>
  <c r="O6" i="6"/>
  <c r="AV5" i="1" s="1"/>
  <c r="AY5" i="1" s="1"/>
  <c r="O18" i="6"/>
  <c r="AV17" i="1" s="1"/>
  <c r="AY17" i="1" s="1"/>
  <c r="O22" i="6"/>
  <c r="AV21" i="1" s="1"/>
  <c r="AY21" i="1" s="1"/>
  <c r="O30" i="6"/>
  <c r="AV29" i="1" s="1"/>
  <c r="AY29" i="1" s="1"/>
  <c r="O34" i="6"/>
  <c r="AV33" i="1" s="1"/>
  <c r="AY33" i="1" s="1"/>
  <c r="O42" i="6"/>
  <c r="AV41" i="1" s="1"/>
  <c r="AY41" i="1" s="1"/>
  <c r="O50" i="6"/>
  <c r="AV49" i="1" s="1"/>
  <c r="AY49" i="1" s="1"/>
  <c r="O58" i="6"/>
  <c r="AV57" i="1" s="1"/>
  <c r="AY57" i="1" s="1"/>
  <c r="O62" i="6"/>
  <c r="AV61" i="1" s="1"/>
  <c r="AY61" i="1" s="1"/>
  <c r="O15" i="6"/>
  <c r="AV14" i="1" s="1"/>
  <c r="AY14" i="1" s="1"/>
  <c r="O19" i="6"/>
  <c r="AV18" i="1" s="1"/>
  <c r="AY18" i="1" s="1"/>
  <c r="O31" i="6"/>
  <c r="AV30" i="1" s="1"/>
  <c r="AY30" i="1" s="1"/>
  <c r="O39" i="6"/>
  <c r="AV38" i="1" s="1"/>
  <c r="AY38" i="1" s="1"/>
  <c r="O43" i="6"/>
  <c r="AV42" i="1" s="1"/>
  <c r="AY42" i="1" s="1"/>
  <c r="O59" i="6"/>
  <c r="AV58" i="1" s="1"/>
  <c r="AY58" i="1" s="1"/>
  <c r="O63" i="6"/>
  <c r="AV62" i="1" s="1"/>
  <c r="AY62" i="1" s="1"/>
  <c r="O5" i="6"/>
  <c r="AV4" i="1" s="1"/>
  <c r="AY4" i="1" s="1"/>
  <c r="O9" i="6"/>
  <c r="AV8" i="1" s="1"/>
  <c r="AY8" i="1" s="1"/>
  <c r="O13" i="6"/>
  <c r="AV12" i="1" s="1"/>
  <c r="AY12" i="1" s="1"/>
  <c r="O17" i="6"/>
  <c r="AV16" i="1" s="1"/>
  <c r="AY16" i="1" s="1"/>
  <c r="O21" i="6"/>
  <c r="AV20" i="1" s="1"/>
  <c r="AY20" i="1" s="1"/>
  <c r="O25" i="6"/>
  <c r="AV24" i="1" s="1"/>
  <c r="AY24" i="1" s="1"/>
  <c r="O29" i="6"/>
  <c r="AV28" i="1" s="1"/>
  <c r="AY28" i="1" s="1"/>
  <c r="O33" i="6"/>
  <c r="AV32" i="1" s="1"/>
  <c r="AY32" i="1" s="1"/>
  <c r="O37" i="6"/>
  <c r="AV36" i="1" s="1"/>
  <c r="AY36" i="1" s="1"/>
  <c r="O41" i="6"/>
  <c r="AV40" i="1" s="1"/>
  <c r="AY40" i="1" s="1"/>
  <c r="O45" i="6"/>
  <c r="AV44" i="1" s="1"/>
  <c r="AY44" i="1" s="1"/>
  <c r="O49" i="6"/>
  <c r="AV48" i="1" s="1"/>
  <c r="AY48" i="1" s="1"/>
  <c r="O53" i="6"/>
  <c r="AV52" i="1" s="1"/>
  <c r="AY52" i="1" s="1"/>
  <c r="O57" i="6"/>
  <c r="AV56" i="1" s="1"/>
  <c r="AY56" i="1" s="1"/>
  <c r="O61" i="6"/>
  <c r="AV60" i="1" s="1"/>
  <c r="AY60" i="1" s="1"/>
  <c r="O65" i="6"/>
  <c r="AV64" i="1" s="1"/>
  <c r="AY64" i="1" s="1"/>
  <c r="S23" i="4"/>
  <c r="AC23" i="3"/>
  <c r="Z22" i="1" s="1"/>
  <c r="AD22" i="1" s="1"/>
  <c r="S29" i="5"/>
  <c r="AI28" i="1" s="1"/>
  <c r="AL28" i="1" s="1"/>
  <c r="S29" i="4"/>
  <c r="AC29" i="3"/>
  <c r="Z28" i="1" s="1"/>
  <c r="AD28" i="1" s="1"/>
  <c r="AC52" i="3"/>
  <c r="Z51" i="1" s="1"/>
  <c r="AD51" i="1" s="1"/>
  <c r="AC64" i="3"/>
  <c r="Z63" i="1" s="1"/>
  <c r="AD63" i="1" s="1"/>
  <c r="R23" i="6"/>
  <c r="R39" i="6"/>
  <c r="R55" i="6"/>
  <c r="R7" i="6"/>
  <c r="R19" i="6"/>
  <c r="R35" i="6"/>
  <c r="R51" i="6"/>
  <c r="R67" i="6"/>
  <c r="R10" i="6"/>
  <c r="R66" i="6"/>
  <c r="R6" i="6"/>
  <c r="R15" i="6"/>
  <c r="R31" i="6"/>
  <c r="R47" i="6"/>
  <c r="R63" i="6"/>
  <c r="R11" i="6"/>
  <c r="R27" i="6"/>
  <c r="R43" i="6"/>
  <c r="R59" i="6"/>
  <c r="S4" i="4"/>
  <c r="P66" i="4"/>
  <c r="R66" i="4" s="1"/>
  <c r="S66" i="4" s="1"/>
  <c r="P62" i="4"/>
  <c r="R62" i="4" s="1"/>
  <c r="S62" i="4" s="1"/>
  <c r="P58" i="4"/>
  <c r="R58" i="4" s="1"/>
  <c r="S58" i="4" s="1"/>
  <c r="P54" i="4"/>
  <c r="R54" i="4" s="1"/>
  <c r="S54" i="4" s="1"/>
  <c r="P50" i="4"/>
  <c r="R50" i="4" s="1"/>
  <c r="S50" i="4" s="1"/>
  <c r="P46" i="4"/>
  <c r="R46" i="4" s="1"/>
  <c r="S46" i="4" s="1"/>
  <c r="P42" i="4"/>
  <c r="R42" i="4" s="1"/>
  <c r="S42" i="4" s="1"/>
  <c r="P38" i="4"/>
  <c r="R38" i="4" s="1"/>
  <c r="S38" i="4" s="1"/>
  <c r="P34" i="4"/>
  <c r="R34" i="4" s="1"/>
  <c r="S34" i="4" s="1"/>
  <c r="P30" i="4"/>
  <c r="R30" i="4" s="1"/>
  <c r="S30" i="4" s="1"/>
  <c r="P26" i="4"/>
  <c r="R26" i="4" s="1"/>
  <c r="S26" i="4" s="1"/>
  <c r="P22" i="4"/>
  <c r="R22" i="4" s="1"/>
  <c r="S22" i="4" s="1"/>
  <c r="P18" i="4"/>
  <c r="R18" i="4" s="1"/>
  <c r="S18" i="4" s="1"/>
  <c r="P14" i="4"/>
  <c r="R14" i="4" s="1"/>
  <c r="S14" i="4" s="1"/>
  <c r="P10" i="4"/>
  <c r="R10" i="4" s="1"/>
  <c r="S10" i="4" s="1"/>
  <c r="P6" i="4"/>
  <c r="R6" i="4" s="1"/>
  <c r="S6" i="4" s="1"/>
  <c r="P65" i="4"/>
  <c r="R65" i="4" s="1"/>
  <c r="S65" i="4" s="1"/>
  <c r="P61" i="4"/>
  <c r="R61" i="4" s="1"/>
  <c r="S61" i="4" s="1"/>
  <c r="P57" i="4"/>
  <c r="R57" i="4" s="1"/>
  <c r="S57" i="4" s="1"/>
  <c r="P53" i="4"/>
  <c r="R53" i="4" s="1"/>
  <c r="S53" i="4" s="1"/>
  <c r="P49" i="4"/>
  <c r="R49" i="4" s="1"/>
  <c r="S49" i="4" s="1"/>
  <c r="P51" i="4"/>
  <c r="R51" i="4" s="1"/>
  <c r="S51" i="4" s="1"/>
  <c r="P52" i="4"/>
  <c r="R52" i="4" s="1"/>
  <c r="S52" i="4" s="1"/>
  <c r="P55" i="4"/>
  <c r="R55" i="4" s="1"/>
  <c r="S55" i="4" s="1"/>
  <c r="P56" i="4"/>
  <c r="R56" i="4" s="1"/>
  <c r="S56" i="4" s="1"/>
  <c r="P59" i="4"/>
  <c r="R59" i="4" s="1"/>
  <c r="S59" i="4" s="1"/>
  <c r="P60" i="4"/>
  <c r="R60" i="4" s="1"/>
  <c r="S60" i="4" s="1"/>
  <c r="P63" i="4"/>
  <c r="R63" i="4" s="1"/>
  <c r="S63" i="4" s="1"/>
  <c r="P64" i="4"/>
  <c r="R64" i="4" s="1"/>
  <c r="S64" i="4" s="1"/>
  <c r="P67" i="4"/>
  <c r="R67" i="4" s="1"/>
  <c r="S67" i="4" s="1"/>
  <c r="P68" i="4"/>
  <c r="R68" i="4" s="1"/>
  <c r="S68" i="4" s="1"/>
  <c r="P4" i="6"/>
  <c r="R4" i="6" s="1"/>
  <c r="P8" i="6"/>
  <c r="R8" i="6" s="1"/>
  <c r="P12" i="6"/>
  <c r="R12" i="6" s="1"/>
  <c r="P16" i="6"/>
  <c r="R16" i="6" s="1"/>
  <c r="P20" i="6"/>
  <c r="R20" i="6" s="1"/>
  <c r="P24" i="6"/>
  <c r="R24" i="6" s="1"/>
  <c r="P28" i="6"/>
  <c r="R28" i="6" s="1"/>
  <c r="P32" i="6"/>
  <c r="R32" i="6" s="1"/>
  <c r="P36" i="6"/>
  <c r="R36" i="6" s="1"/>
  <c r="P40" i="6"/>
  <c r="R40" i="6" s="1"/>
  <c r="P44" i="6"/>
  <c r="R44" i="6" s="1"/>
  <c r="P48" i="6"/>
  <c r="R48" i="6" s="1"/>
  <c r="P52" i="6"/>
  <c r="R52" i="6" s="1"/>
  <c r="P56" i="6"/>
  <c r="R56" i="6" s="1"/>
  <c r="P60" i="6"/>
  <c r="R60" i="6" s="1"/>
  <c r="P64" i="6"/>
  <c r="R64" i="6" s="1"/>
  <c r="P68" i="6"/>
  <c r="R68" i="6" s="1"/>
  <c r="P5" i="6"/>
  <c r="R5" i="6" s="1"/>
  <c r="P9" i="6"/>
  <c r="R9" i="6" s="1"/>
  <c r="P13" i="6"/>
  <c r="R13" i="6" s="1"/>
  <c r="P17" i="6"/>
  <c r="R17" i="6" s="1"/>
  <c r="P21" i="6"/>
  <c r="R21" i="6" s="1"/>
  <c r="P25" i="6"/>
  <c r="R25" i="6" s="1"/>
  <c r="P29" i="6"/>
  <c r="R29" i="6" s="1"/>
  <c r="P33" i="6"/>
  <c r="R33" i="6" s="1"/>
  <c r="P37" i="6"/>
  <c r="R37" i="6" s="1"/>
  <c r="P41" i="6"/>
  <c r="R41" i="6" s="1"/>
  <c r="P45" i="6"/>
  <c r="R45" i="6" s="1"/>
  <c r="P49" i="6"/>
  <c r="R49" i="6" s="1"/>
  <c r="P53" i="6"/>
  <c r="R53" i="6" s="1"/>
  <c r="P57" i="6"/>
  <c r="R57" i="6" s="1"/>
  <c r="P61" i="6"/>
  <c r="R61" i="6" s="1"/>
  <c r="P65" i="6"/>
  <c r="R65" i="6" s="1"/>
  <c r="P14" i="6"/>
  <c r="R14" i="6" s="1"/>
  <c r="P18" i="6"/>
  <c r="R18" i="6" s="1"/>
  <c r="P22" i="6"/>
  <c r="R22" i="6" s="1"/>
  <c r="P26" i="6"/>
  <c r="R26" i="6" s="1"/>
  <c r="P30" i="6"/>
  <c r="R30" i="6" s="1"/>
  <c r="P34" i="6"/>
  <c r="R34" i="6" s="1"/>
  <c r="P38" i="6"/>
  <c r="R38" i="6" s="1"/>
  <c r="P42" i="6"/>
  <c r="R42" i="6" s="1"/>
  <c r="P46" i="6"/>
  <c r="R46" i="6" s="1"/>
  <c r="P50" i="6"/>
  <c r="R50" i="6" s="1"/>
  <c r="P54" i="6"/>
  <c r="R54" i="6" s="1"/>
  <c r="P58" i="6"/>
  <c r="R58" i="6" s="1"/>
  <c r="P62" i="6"/>
  <c r="R62" i="6" s="1"/>
  <c r="P19" i="3"/>
  <c r="R19" i="3" s="1"/>
  <c r="W18" i="1" s="1"/>
  <c r="AA18" i="1" s="1"/>
  <c r="P35" i="3"/>
  <c r="R35" i="3" s="1"/>
  <c r="W34" i="1" s="1"/>
  <c r="P43" i="3"/>
  <c r="R43" i="3" s="1"/>
  <c r="W42" i="1" s="1"/>
  <c r="P6" i="3"/>
  <c r="R6" i="3" s="1"/>
  <c r="S6" i="3" s="1"/>
  <c r="P22" i="3"/>
  <c r="R22" i="3" s="1"/>
  <c r="S22" i="3" s="1"/>
  <c r="P30" i="3"/>
  <c r="R30" i="3" s="1"/>
  <c r="S30" i="3" s="1"/>
  <c r="P38" i="3"/>
  <c r="R38" i="3" s="1"/>
  <c r="S38" i="3" s="1"/>
  <c r="P59" i="3"/>
  <c r="R59" i="3" s="1"/>
  <c r="S59" i="3" s="1"/>
  <c r="P10" i="3"/>
  <c r="R10" i="3" s="1"/>
  <c r="S10" i="3" s="1"/>
  <c r="P18" i="3"/>
  <c r="R18" i="3" s="1"/>
  <c r="S18" i="3" s="1"/>
  <c r="P26" i="3"/>
  <c r="R26" i="3" s="1"/>
  <c r="S26" i="3" s="1"/>
  <c r="P34" i="3"/>
  <c r="R34" i="3" s="1"/>
  <c r="S34" i="3" s="1"/>
  <c r="P42" i="3"/>
  <c r="R42" i="3" s="1"/>
  <c r="S42" i="3" s="1"/>
  <c r="P51" i="3"/>
  <c r="R51" i="3" s="1"/>
  <c r="W50" i="1" s="1"/>
  <c r="P67" i="3"/>
  <c r="R67" i="3" s="1"/>
  <c r="W66" i="1" s="1"/>
  <c r="P27" i="3"/>
  <c r="R27" i="3" s="1"/>
  <c r="W26" i="1" s="1"/>
  <c r="P55" i="3"/>
  <c r="R55" i="3" s="1"/>
  <c r="W54" i="1" s="1"/>
  <c r="P14" i="3"/>
  <c r="R14" i="3" s="1"/>
  <c r="S14" i="3" s="1"/>
  <c r="P46" i="3"/>
  <c r="R46" i="3" s="1"/>
  <c r="S46" i="3" s="1"/>
  <c r="P7" i="3"/>
  <c r="R7" i="3" s="1"/>
  <c r="S7" i="3" s="1"/>
  <c r="P15" i="3"/>
  <c r="R15" i="3" s="1"/>
  <c r="S15" i="3" s="1"/>
  <c r="P23" i="3"/>
  <c r="R23" i="3" s="1"/>
  <c r="S23" i="3" s="1"/>
  <c r="P31" i="3"/>
  <c r="R31" i="3" s="1"/>
  <c r="S31" i="3" s="1"/>
  <c r="P39" i="3"/>
  <c r="R39" i="3" s="1"/>
  <c r="S39" i="3" s="1"/>
  <c r="P47" i="3"/>
  <c r="R47" i="3" s="1"/>
  <c r="S47" i="3" s="1"/>
  <c r="P63" i="3"/>
  <c r="R63" i="3" s="1"/>
  <c r="S63" i="3" s="1"/>
  <c r="W65" i="1"/>
  <c r="S11" i="3"/>
  <c r="P4" i="3"/>
  <c r="R4" i="3" s="1"/>
  <c r="W3" i="1" s="1"/>
  <c r="P8" i="3"/>
  <c r="R8" i="3" s="1"/>
  <c r="W7" i="1" s="1"/>
  <c r="P12" i="3"/>
  <c r="R12" i="3" s="1"/>
  <c r="W11" i="1" s="1"/>
  <c r="P16" i="3"/>
  <c r="R16" i="3" s="1"/>
  <c r="W15" i="1" s="1"/>
  <c r="P20" i="3"/>
  <c r="R20" i="3" s="1"/>
  <c r="W19" i="1" s="1"/>
  <c r="P24" i="3"/>
  <c r="R24" i="3" s="1"/>
  <c r="W23" i="1" s="1"/>
  <c r="P28" i="3"/>
  <c r="R28" i="3" s="1"/>
  <c r="W27" i="1" s="1"/>
  <c r="P32" i="3"/>
  <c r="R32" i="3" s="1"/>
  <c r="W31" i="1" s="1"/>
  <c r="P36" i="3"/>
  <c r="R36" i="3" s="1"/>
  <c r="W35" i="1" s="1"/>
  <c r="P40" i="3"/>
  <c r="R40" i="3" s="1"/>
  <c r="W39" i="1" s="1"/>
  <c r="P44" i="3"/>
  <c r="R44" i="3" s="1"/>
  <c r="W43" i="1" s="1"/>
  <c r="P48" i="3"/>
  <c r="R48" i="3" s="1"/>
  <c r="W47" i="1" s="1"/>
  <c r="P52" i="3"/>
  <c r="R52" i="3" s="1"/>
  <c r="W51" i="1" s="1"/>
  <c r="P56" i="3"/>
  <c r="R56" i="3" s="1"/>
  <c r="W55" i="1" s="1"/>
  <c r="P60" i="3"/>
  <c r="R60" i="3" s="1"/>
  <c r="W59" i="1" s="1"/>
  <c r="P64" i="3"/>
  <c r="R64" i="3" s="1"/>
  <c r="W63" i="1" s="1"/>
  <c r="P68" i="3"/>
  <c r="R68" i="3" s="1"/>
  <c r="W67" i="1" s="1"/>
  <c r="P5" i="3"/>
  <c r="R5" i="3" s="1"/>
  <c r="W4" i="1" s="1"/>
  <c r="P9" i="3"/>
  <c r="R9" i="3" s="1"/>
  <c r="W8" i="1" s="1"/>
  <c r="P13" i="3"/>
  <c r="R13" i="3" s="1"/>
  <c r="W12" i="1" s="1"/>
  <c r="P17" i="3"/>
  <c r="R17" i="3" s="1"/>
  <c r="W16" i="1" s="1"/>
  <c r="P21" i="3"/>
  <c r="R21" i="3" s="1"/>
  <c r="W20" i="1" s="1"/>
  <c r="P25" i="3"/>
  <c r="R25" i="3" s="1"/>
  <c r="W24" i="1" s="1"/>
  <c r="P29" i="3"/>
  <c r="R29" i="3" s="1"/>
  <c r="W28" i="1" s="1"/>
  <c r="P33" i="3"/>
  <c r="R33" i="3" s="1"/>
  <c r="W32" i="1" s="1"/>
  <c r="AA32" i="1" s="1"/>
  <c r="P37" i="3"/>
  <c r="R37" i="3" s="1"/>
  <c r="W36" i="1" s="1"/>
  <c r="P41" i="3"/>
  <c r="R41" i="3" s="1"/>
  <c r="W40" i="1" s="1"/>
  <c r="P45" i="3"/>
  <c r="R45" i="3" s="1"/>
  <c r="W44" i="1" s="1"/>
  <c r="P49" i="3"/>
  <c r="R49" i="3" s="1"/>
  <c r="W48" i="1" s="1"/>
  <c r="P53" i="3"/>
  <c r="R53" i="3" s="1"/>
  <c r="W52" i="1" s="1"/>
  <c r="AA52" i="1" s="1"/>
  <c r="P57" i="3"/>
  <c r="R57" i="3" s="1"/>
  <c r="W56" i="1" s="1"/>
  <c r="P61" i="3"/>
  <c r="R61" i="3" s="1"/>
  <c r="W60" i="1" s="1"/>
  <c r="P65" i="3"/>
  <c r="R65" i="3" s="1"/>
  <c r="W64" i="1" s="1"/>
  <c r="P50" i="3"/>
  <c r="R50" i="3" s="1"/>
  <c r="W49" i="1" s="1"/>
  <c r="P54" i="3"/>
  <c r="R54" i="3" s="1"/>
  <c r="W53" i="1" s="1"/>
  <c r="AA53" i="1" s="1"/>
  <c r="AB53" i="1" s="1"/>
  <c r="AE53" i="1" s="1"/>
  <c r="P58" i="3"/>
  <c r="R58" i="3" s="1"/>
  <c r="W57" i="1" s="1"/>
  <c r="P62" i="3"/>
  <c r="R62" i="3" s="1"/>
  <c r="W61" i="1" s="1"/>
  <c r="AG4" i="1"/>
  <c r="AJ4" i="1" s="1"/>
  <c r="AG20" i="1"/>
  <c r="AJ20" i="1" s="1"/>
  <c r="AG36" i="1"/>
  <c r="AJ36" i="1" s="1"/>
  <c r="AG32" i="1"/>
  <c r="AJ32" i="1" s="1"/>
  <c r="AG12" i="1"/>
  <c r="AJ12" i="1" s="1"/>
  <c r="AG28" i="1"/>
  <c r="AJ28" i="1" s="1"/>
  <c r="AG44" i="1"/>
  <c r="AJ44" i="1" s="1"/>
  <c r="AG16" i="1"/>
  <c r="AJ16" i="1" s="1"/>
  <c r="AG24" i="1"/>
  <c r="AJ24" i="1" s="1"/>
  <c r="AG40" i="1"/>
  <c r="AJ40" i="1" s="1"/>
  <c r="AG10" i="1"/>
  <c r="AJ10" i="1" s="1"/>
  <c r="AG14" i="1"/>
  <c r="AJ14" i="1" s="1"/>
  <c r="AG26" i="1"/>
  <c r="AJ26" i="1" s="1"/>
  <c r="AG30" i="1"/>
  <c r="AJ30" i="1" s="1"/>
  <c r="AG42" i="1"/>
  <c r="AJ42" i="1" s="1"/>
  <c r="AG46" i="1"/>
  <c r="AJ46" i="1" s="1"/>
  <c r="AG8" i="1"/>
  <c r="AJ8" i="1" s="1"/>
  <c r="AG19" i="1"/>
  <c r="AJ19" i="1" s="1"/>
  <c r="AG35" i="1"/>
  <c r="AJ35" i="1" s="1"/>
  <c r="S32" i="5"/>
  <c r="AI31" i="1" s="1"/>
  <c r="AL31" i="1" s="1"/>
  <c r="S7" i="5"/>
  <c r="AI6" i="1" s="1"/>
  <c r="AL6" i="1" s="1"/>
  <c r="S12" i="5"/>
  <c r="AI11" i="1" s="1"/>
  <c r="AL11" i="1" s="1"/>
  <c r="S23" i="5"/>
  <c r="AI22" i="1" s="1"/>
  <c r="AL22" i="1" s="1"/>
  <c r="S28" i="5"/>
  <c r="AI27" i="1" s="1"/>
  <c r="AL27" i="1" s="1"/>
  <c r="S39" i="5"/>
  <c r="AI38" i="1" s="1"/>
  <c r="AL38" i="1" s="1"/>
  <c r="S44" i="5"/>
  <c r="AI43" i="1" s="1"/>
  <c r="AL43" i="1" s="1"/>
  <c r="S48" i="5"/>
  <c r="AI47" i="1" s="1"/>
  <c r="AL47" i="1" s="1"/>
  <c r="S16" i="5"/>
  <c r="AI15" i="1" s="1"/>
  <c r="AL15" i="1" s="1"/>
  <c r="S8" i="5"/>
  <c r="AI7" i="1" s="1"/>
  <c r="AL7" i="1" s="1"/>
  <c r="S19" i="5"/>
  <c r="AI18" i="1" s="1"/>
  <c r="AL18" i="1" s="1"/>
  <c r="S24" i="5"/>
  <c r="AI23" i="1" s="1"/>
  <c r="AL23" i="1" s="1"/>
  <c r="S35" i="5"/>
  <c r="AI34" i="1" s="1"/>
  <c r="AL34" i="1" s="1"/>
  <c r="S40" i="5"/>
  <c r="AI39" i="1" s="1"/>
  <c r="AL39" i="1" s="1"/>
  <c r="S4" i="5"/>
  <c r="AI3" i="1" s="1"/>
  <c r="AL3" i="1" s="1"/>
  <c r="P66" i="5"/>
  <c r="P62" i="5"/>
  <c r="P58" i="5"/>
  <c r="P54" i="5"/>
  <c r="P50" i="5"/>
  <c r="P46" i="5"/>
  <c r="P42" i="5"/>
  <c r="P38" i="5"/>
  <c r="P34" i="5"/>
  <c r="P30" i="5"/>
  <c r="P26" i="5"/>
  <c r="P22" i="5"/>
  <c r="P18" i="5"/>
  <c r="P14" i="5"/>
  <c r="P10" i="5"/>
  <c r="P6" i="5"/>
  <c r="P65" i="5"/>
  <c r="P61" i="5"/>
  <c r="P57" i="5"/>
  <c r="P53" i="5"/>
  <c r="P49" i="5"/>
  <c r="P51" i="5"/>
  <c r="P52" i="5"/>
  <c r="P55" i="5"/>
  <c r="P56" i="5"/>
  <c r="P59" i="5"/>
  <c r="P60" i="5"/>
  <c r="P63" i="5"/>
  <c r="P64" i="5"/>
  <c r="P67" i="5"/>
  <c r="P68" i="5"/>
  <c r="E6" i="1"/>
  <c r="E4" i="1"/>
  <c r="P4" i="2"/>
  <c r="AU53" i="1" l="1"/>
  <c r="AX53" i="1" s="1"/>
  <c r="AU37" i="1"/>
  <c r="AX37" i="1" s="1"/>
  <c r="AU21" i="1"/>
  <c r="AX21" i="1" s="1"/>
  <c r="AU60" i="1"/>
  <c r="AX60" i="1" s="1"/>
  <c r="AU44" i="1"/>
  <c r="AX44" i="1" s="1"/>
  <c r="AU28" i="1"/>
  <c r="AX28" i="1" s="1"/>
  <c r="AU12" i="1"/>
  <c r="AX12" i="1" s="1"/>
  <c r="AU63" i="1"/>
  <c r="AX63" i="1" s="1"/>
  <c r="AU47" i="1"/>
  <c r="AX47" i="1" s="1"/>
  <c r="AU31" i="1"/>
  <c r="AX31" i="1" s="1"/>
  <c r="AU15" i="1"/>
  <c r="AX15" i="1" s="1"/>
  <c r="AU58" i="1"/>
  <c r="AX58" i="1" s="1"/>
  <c r="AU62" i="1"/>
  <c r="AX62" i="1" s="1"/>
  <c r="AU5" i="1"/>
  <c r="AX5" i="1" s="1"/>
  <c r="AU50" i="1"/>
  <c r="AX50" i="1" s="1"/>
  <c r="AU54" i="1"/>
  <c r="AX54" i="1" s="1"/>
  <c r="AU49" i="1"/>
  <c r="AX49" i="1" s="1"/>
  <c r="AU33" i="1"/>
  <c r="AX33" i="1" s="1"/>
  <c r="AU17" i="1"/>
  <c r="AX17" i="1" s="1"/>
  <c r="AU56" i="1"/>
  <c r="AX56" i="1" s="1"/>
  <c r="AU40" i="1"/>
  <c r="AX40" i="1" s="1"/>
  <c r="AU24" i="1"/>
  <c r="AX24" i="1" s="1"/>
  <c r="AU8" i="1"/>
  <c r="AX8" i="1" s="1"/>
  <c r="AU59" i="1"/>
  <c r="AX59" i="1" s="1"/>
  <c r="AU43" i="1"/>
  <c r="AX43" i="1" s="1"/>
  <c r="AU27" i="1"/>
  <c r="AX27" i="1" s="1"/>
  <c r="AU11" i="1"/>
  <c r="AX11" i="1" s="1"/>
  <c r="AU42" i="1"/>
  <c r="AX42" i="1" s="1"/>
  <c r="AU46" i="1"/>
  <c r="AX46" i="1" s="1"/>
  <c r="AU65" i="1"/>
  <c r="AX65" i="1" s="1"/>
  <c r="AU34" i="1"/>
  <c r="AX34" i="1" s="1"/>
  <c r="AU38" i="1"/>
  <c r="AX38" i="1" s="1"/>
  <c r="AU61" i="1"/>
  <c r="AX61" i="1" s="1"/>
  <c r="AU45" i="1"/>
  <c r="AX45" i="1" s="1"/>
  <c r="AU29" i="1"/>
  <c r="AX29" i="1" s="1"/>
  <c r="AU13" i="1"/>
  <c r="AX13" i="1" s="1"/>
  <c r="AU52" i="1"/>
  <c r="AX52" i="1" s="1"/>
  <c r="AU36" i="1"/>
  <c r="AX36" i="1" s="1"/>
  <c r="AU20" i="1"/>
  <c r="AX20" i="1" s="1"/>
  <c r="AU4" i="1"/>
  <c r="AX4" i="1" s="1"/>
  <c r="AU55" i="1"/>
  <c r="AX55" i="1" s="1"/>
  <c r="AU39" i="1"/>
  <c r="AX39" i="1" s="1"/>
  <c r="AU23" i="1"/>
  <c r="AX23" i="1" s="1"/>
  <c r="AU7" i="1"/>
  <c r="AX7" i="1" s="1"/>
  <c r="AU26" i="1"/>
  <c r="AX26" i="1" s="1"/>
  <c r="AU30" i="1"/>
  <c r="AX30" i="1" s="1"/>
  <c r="AU9" i="1"/>
  <c r="AX9" i="1" s="1"/>
  <c r="AU18" i="1"/>
  <c r="AX18" i="1" s="1"/>
  <c r="AU22" i="1"/>
  <c r="AX22" i="1" s="1"/>
  <c r="AU57" i="1"/>
  <c r="AX57" i="1" s="1"/>
  <c r="AU41" i="1"/>
  <c r="AX41" i="1" s="1"/>
  <c r="AU25" i="1"/>
  <c r="AX25" i="1" s="1"/>
  <c r="AU64" i="1"/>
  <c r="AX64" i="1" s="1"/>
  <c r="AU48" i="1"/>
  <c r="AX48" i="1" s="1"/>
  <c r="AU32" i="1"/>
  <c r="AX32" i="1" s="1"/>
  <c r="AU16" i="1"/>
  <c r="AX16" i="1" s="1"/>
  <c r="AU67" i="1"/>
  <c r="AX67" i="1" s="1"/>
  <c r="AU51" i="1"/>
  <c r="AX51" i="1" s="1"/>
  <c r="AU35" i="1"/>
  <c r="AX35" i="1" s="1"/>
  <c r="AU19" i="1"/>
  <c r="AX19" i="1" s="1"/>
  <c r="AU3" i="1"/>
  <c r="AX3" i="1" s="1"/>
  <c r="AU10" i="1"/>
  <c r="AX10" i="1" s="1"/>
  <c r="AU14" i="1"/>
  <c r="AX14" i="1" s="1"/>
  <c r="AU66" i="1"/>
  <c r="AX66" i="1" s="1"/>
  <c r="AU6" i="1"/>
  <c r="AX6" i="1" s="1"/>
  <c r="AA10" i="1"/>
  <c r="AB10" i="1" s="1"/>
  <c r="AE10" i="1" s="1"/>
  <c r="AD10" i="1"/>
  <c r="AL24" i="1"/>
  <c r="AL8" i="1"/>
  <c r="AL12" i="1"/>
  <c r="AL35" i="1"/>
  <c r="AL36" i="1"/>
  <c r="AL10" i="1"/>
  <c r="AL4" i="1"/>
  <c r="AL19" i="1"/>
  <c r="AA12" i="1"/>
  <c r="AB12" i="1" s="1"/>
  <c r="AA11" i="1"/>
  <c r="AB11" i="1" s="1"/>
  <c r="AA7" i="1"/>
  <c r="AB7" i="1" s="1"/>
  <c r="AA8" i="1"/>
  <c r="AB8" i="1" s="1"/>
  <c r="H6" i="1"/>
  <c r="AA20" i="1"/>
  <c r="AB20" i="1" s="1"/>
  <c r="AA50" i="1"/>
  <c r="AB50" i="1" s="1"/>
  <c r="AA36" i="1"/>
  <c r="AB36" i="1" s="1"/>
  <c r="AA64" i="1"/>
  <c r="AA61" i="1"/>
  <c r="AB61" i="1" s="1"/>
  <c r="AA19" i="1"/>
  <c r="AB19" i="1" s="1"/>
  <c r="AA35" i="1"/>
  <c r="AB35" i="1" s="1"/>
  <c r="AA34" i="1"/>
  <c r="AB34" i="1" s="1"/>
  <c r="AA49" i="1"/>
  <c r="AB49" i="1" s="1"/>
  <c r="AA48" i="1"/>
  <c r="AB48" i="1" s="1"/>
  <c r="AA47" i="1"/>
  <c r="AB47" i="1" s="1"/>
  <c r="AA57" i="1"/>
  <c r="AB57" i="1" s="1"/>
  <c r="AA56" i="1"/>
  <c r="AB56" i="1" s="1"/>
  <c r="AA55" i="1"/>
  <c r="AB55" i="1" s="1"/>
  <c r="AA54" i="1"/>
  <c r="AB54" i="1" s="1"/>
  <c r="AA60" i="1"/>
  <c r="AB60" i="1" s="1"/>
  <c r="AA43" i="1"/>
  <c r="AB43" i="1" s="1"/>
  <c r="AA42" i="1"/>
  <c r="AB42" i="1" s="1"/>
  <c r="AA16" i="1"/>
  <c r="AA67" i="1"/>
  <c r="AB67" i="1" s="1"/>
  <c r="AE67" i="1" s="1"/>
  <c r="AA4" i="1"/>
  <c r="AB4" i="1" s="1"/>
  <c r="AA39" i="1"/>
  <c r="AB39" i="1" s="1"/>
  <c r="AE39" i="1" s="1"/>
  <c r="H4" i="1"/>
  <c r="AA44" i="1"/>
  <c r="AB44" i="1" s="1"/>
  <c r="AE44" i="1" s="1"/>
  <c r="AA28" i="1"/>
  <c r="AB28" i="1" s="1"/>
  <c r="AE28" i="1" s="1"/>
  <c r="AA63" i="1"/>
  <c r="AB63" i="1" s="1"/>
  <c r="AE63" i="1" s="1"/>
  <c r="AA31" i="1"/>
  <c r="AB31" i="1" s="1"/>
  <c r="AE31" i="1" s="1"/>
  <c r="AA15" i="1"/>
  <c r="AA26" i="1"/>
  <c r="AB26" i="1" s="1"/>
  <c r="AE26" i="1" s="1"/>
  <c r="AA24" i="1"/>
  <c r="AB24" i="1" s="1"/>
  <c r="AA27" i="1"/>
  <c r="AA65" i="1"/>
  <c r="AA66" i="1"/>
  <c r="AA51" i="1"/>
  <c r="AB51" i="1" s="1"/>
  <c r="AE51" i="1" s="1"/>
  <c r="AA23" i="1"/>
  <c r="AB23" i="1" s="1"/>
  <c r="AA40" i="1"/>
  <c r="AB40" i="1" s="1"/>
  <c r="AA59" i="1"/>
  <c r="AB59" i="1" s="1"/>
  <c r="AA3" i="1"/>
  <c r="AB3" i="1" s="1"/>
  <c r="AB32" i="1"/>
  <c r="AE32" i="1" s="1"/>
  <c r="AB52" i="1"/>
  <c r="AE52" i="1" s="1"/>
  <c r="AB18" i="1"/>
  <c r="AE18" i="1" s="1"/>
  <c r="S39" i="6"/>
  <c r="AW38" i="1" s="1"/>
  <c r="AZ38" i="1" s="1"/>
  <c r="S23" i="6"/>
  <c r="AW22" i="1" s="1"/>
  <c r="AZ22" i="1" s="1"/>
  <c r="S55" i="6"/>
  <c r="AW54" i="1" s="1"/>
  <c r="AZ54" i="1" s="1"/>
  <c r="S42" i="6"/>
  <c r="AW41" i="1" s="1"/>
  <c r="AZ41" i="1" s="1"/>
  <c r="S65" i="6"/>
  <c r="AW64" i="1" s="1"/>
  <c r="AZ64" i="1" s="1"/>
  <c r="S33" i="6"/>
  <c r="AW32" i="1" s="1"/>
  <c r="AZ32" i="1" s="1"/>
  <c r="S68" i="6"/>
  <c r="AW67" i="1" s="1"/>
  <c r="AZ67" i="1" s="1"/>
  <c r="S36" i="6"/>
  <c r="AW35" i="1" s="1"/>
  <c r="AZ35" i="1" s="1"/>
  <c r="S4" i="6"/>
  <c r="AW3" i="1" s="1"/>
  <c r="AZ3" i="1" s="1"/>
  <c r="S67" i="6"/>
  <c r="AW66" i="1" s="1"/>
  <c r="AZ66" i="1" s="1"/>
  <c r="S54" i="6"/>
  <c r="AW53" i="1" s="1"/>
  <c r="AZ53" i="1" s="1"/>
  <c r="S22" i="6"/>
  <c r="AW21" i="1" s="1"/>
  <c r="AZ21" i="1" s="1"/>
  <c r="S45" i="6"/>
  <c r="AW44" i="1" s="1"/>
  <c r="AZ44" i="1" s="1"/>
  <c r="S13" i="6"/>
  <c r="AW12" i="1" s="1"/>
  <c r="AZ12" i="1" s="1"/>
  <c r="S48" i="6"/>
  <c r="AW47" i="1" s="1"/>
  <c r="AZ47" i="1" s="1"/>
  <c r="S16" i="6"/>
  <c r="AW15" i="1" s="1"/>
  <c r="AZ15" i="1" s="1"/>
  <c r="S59" i="6"/>
  <c r="AW58" i="1" s="1"/>
  <c r="AZ58" i="1" s="1"/>
  <c r="S63" i="6"/>
  <c r="AW62" i="1" s="1"/>
  <c r="AZ62" i="1" s="1"/>
  <c r="S6" i="6"/>
  <c r="AW5" i="1" s="1"/>
  <c r="AZ5" i="1" s="1"/>
  <c r="S50" i="6"/>
  <c r="AW49" i="1" s="1"/>
  <c r="AZ49" i="1" s="1"/>
  <c r="S34" i="6"/>
  <c r="AW33" i="1" s="1"/>
  <c r="AZ33" i="1" s="1"/>
  <c r="S18" i="6"/>
  <c r="AW17" i="1" s="1"/>
  <c r="AZ17" i="1" s="1"/>
  <c r="S57" i="6"/>
  <c r="AW56" i="1" s="1"/>
  <c r="AZ56" i="1" s="1"/>
  <c r="S41" i="6"/>
  <c r="AW40" i="1" s="1"/>
  <c r="AZ40" i="1" s="1"/>
  <c r="S25" i="6"/>
  <c r="AW24" i="1" s="1"/>
  <c r="AZ24" i="1" s="1"/>
  <c r="S9" i="6"/>
  <c r="AW8" i="1" s="1"/>
  <c r="AZ8" i="1" s="1"/>
  <c r="S60" i="6"/>
  <c r="AW59" i="1" s="1"/>
  <c r="AZ59" i="1" s="1"/>
  <c r="S44" i="6"/>
  <c r="AW43" i="1" s="1"/>
  <c r="AZ43" i="1" s="1"/>
  <c r="S28" i="6"/>
  <c r="AW27" i="1" s="1"/>
  <c r="AZ27" i="1" s="1"/>
  <c r="S12" i="6"/>
  <c r="AW11" i="1" s="1"/>
  <c r="AZ11" i="1" s="1"/>
  <c r="S43" i="6"/>
  <c r="AW42" i="1" s="1"/>
  <c r="AZ42" i="1" s="1"/>
  <c r="S47" i="6"/>
  <c r="AW46" i="1" s="1"/>
  <c r="AZ46" i="1" s="1"/>
  <c r="S66" i="6"/>
  <c r="AW65" i="1" s="1"/>
  <c r="AZ65" i="1" s="1"/>
  <c r="S35" i="6"/>
  <c r="AW34" i="1" s="1"/>
  <c r="AZ34" i="1" s="1"/>
  <c r="S58" i="6"/>
  <c r="AW57" i="1" s="1"/>
  <c r="AZ57" i="1" s="1"/>
  <c r="S26" i="6"/>
  <c r="AW25" i="1" s="1"/>
  <c r="AZ25" i="1" s="1"/>
  <c r="S49" i="6"/>
  <c r="AW48" i="1" s="1"/>
  <c r="AZ48" i="1" s="1"/>
  <c r="S17" i="6"/>
  <c r="AW16" i="1" s="1"/>
  <c r="AZ16" i="1" s="1"/>
  <c r="S52" i="6"/>
  <c r="AW51" i="1" s="1"/>
  <c r="AZ51" i="1" s="1"/>
  <c r="S20" i="6"/>
  <c r="AW19" i="1" s="1"/>
  <c r="AZ19" i="1" s="1"/>
  <c r="S11" i="6"/>
  <c r="AW10" i="1" s="1"/>
  <c r="AZ10" i="1" s="1"/>
  <c r="S15" i="6"/>
  <c r="AW14" i="1" s="1"/>
  <c r="AZ14" i="1" s="1"/>
  <c r="S7" i="6"/>
  <c r="AW6" i="1" s="1"/>
  <c r="AZ6" i="1" s="1"/>
  <c r="S38" i="6"/>
  <c r="AW37" i="1" s="1"/>
  <c r="AZ37" i="1" s="1"/>
  <c r="S61" i="6"/>
  <c r="AW60" i="1" s="1"/>
  <c r="AZ60" i="1" s="1"/>
  <c r="S29" i="6"/>
  <c r="AW28" i="1" s="1"/>
  <c r="AZ28" i="1" s="1"/>
  <c r="S64" i="6"/>
  <c r="AW63" i="1" s="1"/>
  <c r="AZ63" i="1" s="1"/>
  <c r="S32" i="6"/>
  <c r="AW31" i="1" s="1"/>
  <c r="AZ31" i="1" s="1"/>
  <c r="S51" i="6"/>
  <c r="AW50" i="1" s="1"/>
  <c r="AZ50" i="1" s="1"/>
  <c r="S62" i="6"/>
  <c r="AW61" i="1" s="1"/>
  <c r="AZ61" i="1" s="1"/>
  <c r="S46" i="6"/>
  <c r="AW45" i="1" s="1"/>
  <c r="AZ45" i="1" s="1"/>
  <c r="S30" i="6"/>
  <c r="AW29" i="1" s="1"/>
  <c r="AZ29" i="1" s="1"/>
  <c r="S14" i="6"/>
  <c r="AW13" i="1" s="1"/>
  <c r="AZ13" i="1" s="1"/>
  <c r="S53" i="6"/>
  <c r="AW52" i="1" s="1"/>
  <c r="AZ52" i="1" s="1"/>
  <c r="S37" i="6"/>
  <c r="AW36" i="1" s="1"/>
  <c r="AZ36" i="1" s="1"/>
  <c r="S21" i="6"/>
  <c r="AW20" i="1" s="1"/>
  <c r="AZ20" i="1" s="1"/>
  <c r="S5" i="6"/>
  <c r="AW4" i="1" s="1"/>
  <c r="AZ4" i="1" s="1"/>
  <c r="S56" i="6"/>
  <c r="AW55" i="1" s="1"/>
  <c r="AZ55" i="1" s="1"/>
  <c r="S40" i="6"/>
  <c r="AW39" i="1" s="1"/>
  <c r="AZ39" i="1" s="1"/>
  <c r="S24" i="6"/>
  <c r="AW23" i="1" s="1"/>
  <c r="AZ23" i="1" s="1"/>
  <c r="S8" i="6"/>
  <c r="AW7" i="1" s="1"/>
  <c r="AZ7" i="1" s="1"/>
  <c r="S27" i="6"/>
  <c r="AW26" i="1" s="1"/>
  <c r="AZ26" i="1" s="1"/>
  <c r="S31" i="6"/>
  <c r="AW30" i="1" s="1"/>
  <c r="AZ30" i="1" s="1"/>
  <c r="S10" i="6"/>
  <c r="AW9" i="1" s="1"/>
  <c r="AZ9" i="1" s="1"/>
  <c r="S19" i="6"/>
  <c r="AW18" i="1" s="1"/>
  <c r="AZ18" i="1" s="1"/>
  <c r="W41" i="1"/>
  <c r="AA41" i="1" s="1"/>
  <c r="AB41" i="1" s="1"/>
  <c r="AE41" i="1" s="1"/>
  <c r="Y30" i="1"/>
  <c r="AC30" i="1" s="1"/>
  <c r="Y38" i="1"/>
  <c r="AC38" i="1" s="1"/>
  <c r="Y6" i="1"/>
  <c r="AC6" i="1" s="1"/>
  <c r="Y33" i="1"/>
  <c r="AC33" i="1" s="1"/>
  <c r="Y58" i="1"/>
  <c r="AC58" i="1" s="1"/>
  <c r="Y5" i="1"/>
  <c r="AC5" i="1" s="1"/>
  <c r="Y45" i="1"/>
  <c r="AC45" i="1" s="1"/>
  <c r="Y25" i="1"/>
  <c r="AC25" i="1" s="1"/>
  <c r="Y62" i="1"/>
  <c r="AC62" i="1" s="1"/>
  <c r="Y22" i="1"/>
  <c r="AC22" i="1" s="1"/>
  <c r="Y13" i="1"/>
  <c r="AC13" i="1" s="1"/>
  <c r="Y17" i="1"/>
  <c r="AC17" i="1" s="1"/>
  <c r="Y29" i="1"/>
  <c r="AC29" i="1" s="1"/>
  <c r="Y37" i="1"/>
  <c r="AC37" i="1" s="1"/>
  <c r="Y10" i="1"/>
  <c r="AC10" i="1" s="1"/>
  <c r="Y46" i="1"/>
  <c r="AC46" i="1" s="1"/>
  <c r="Y14" i="1"/>
  <c r="AC14" i="1" s="1"/>
  <c r="Y41" i="1"/>
  <c r="AC41" i="1" s="1"/>
  <c r="Y9" i="1"/>
  <c r="AC9" i="1" s="1"/>
  <c r="Y21" i="1"/>
  <c r="AC21" i="1" s="1"/>
  <c r="W33" i="1"/>
  <c r="AA33" i="1" s="1"/>
  <c r="AB33" i="1" s="1"/>
  <c r="AE33" i="1" s="1"/>
  <c r="W17" i="1"/>
  <c r="S55" i="3"/>
  <c r="W21" i="1"/>
  <c r="W9" i="1"/>
  <c r="AA9" i="1" s="1"/>
  <c r="AB9" i="1" s="1"/>
  <c r="AE9" i="1" s="1"/>
  <c r="S19" i="3"/>
  <c r="S35" i="3"/>
  <c r="W22" i="1"/>
  <c r="W46" i="1"/>
  <c r="W62" i="1"/>
  <c r="AA62" i="1" s="1"/>
  <c r="AB62" i="1" s="1"/>
  <c r="AE62" i="1" s="1"/>
  <c r="W29" i="1"/>
  <c r="S51" i="3"/>
  <c r="S67" i="3"/>
  <c r="W13" i="1"/>
  <c r="AA13" i="1" s="1"/>
  <c r="AB13" i="1" s="1"/>
  <c r="AE13" i="1" s="1"/>
  <c r="W14" i="1"/>
  <c r="AA14" i="1" s="1"/>
  <c r="AB14" i="1" s="1"/>
  <c r="AE14" i="1" s="1"/>
  <c r="W5" i="1"/>
  <c r="W45" i="1"/>
  <c r="W30" i="1"/>
  <c r="W25" i="1"/>
  <c r="S27" i="3"/>
  <c r="W38" i="1"/>
  <c r="W6" i="1"/>
  <c r="AA6" i="1" s="1"/>
  <c r="AB6" i="1" s="1"/>
  <c r="AE6" i="1" s="1"/>
  <c r="S43" i="3"/>
  <c r="W37" i="1"/>
  <c r="W58" i="1"/>
  <c r="AA58" i="1" s="1"/>
  <c r="AB58" i="1" s="1"/>
  <c r="AE58" i="1" s="1"/>
  <c r="S58" i="3"/>
  <c r="S45" i="3"/>
  <c r="S13" i="3"/>
  <c r="S48" i="3"/>
  <c r="S16" i="3"/>
  <c r="S57" i="3"/>
  <c r="S25" i="3"/>
  <c r="S60" i="3"/>
  <c r="S28" i="3"/>
  <c r="S62" i="3"/>
  <c r="S65" i="3"/>
  <c r="S49" i="3"/>
  <c r="S33" i="3"/>
  <c r="S17" i="3"/>
  <c r="S68" i="3"/>
  <c r="S52" i="3"/>
  <c r="S36" i="3"/>
  <c r="S20" i="3"/>
  <c r="S4" i="3"/>
  <c r="S61" i="3"/>
  <c r="S29" i="3"/>
  <c r="S64" i="3"/>
  <c r="S32" i="3"/>
  <c r="S54" i="3"/>
  <c r="S41" i="3"/>
  <c r="S9" i="3"/>
  <c r="S44" i="3"/>
  <c r="S12" i="3"/>
  <c r="S50" i="3"/>
  <c r="S53" i="3"/>
  <c r="S37" i="3"/>
  <c r="S21" i="3"/>
  <c r="S5" i="3"/>
  <c r="S56" i="3"/>
  <c r="S40" i="3"/>
  <c r="S24" i="3"/>
  <c r="S8" i="3"/>
  <c r="R63" i="5"/>
  <c r="R53" i="5"/>
  <c r="R22" i="5"/>
  <c r="R54" i="5"/>
  <c r="R68" i="5"/>
  <c r="R52" i="5"/>
  <c r="R10" i="5"/>
  <c r="R42" i="5"/>
  <c r="R67" i="5"/>
  <c r="R59" i="5"/>
  <c r="R51" i="5"/>
  <c r="R61" i="5"/>
  <c r="R14" i="5"/>
  <c r="R30" i="5"/>
  <c r="R46" i="5"/>
  <c r="R62" i="5"/>
  <c r="R55" i="5"/>
  <c r="R6" i="5"/>
  <c r="R38" i="5"/>
  <c r="R60" i="5"/>
  <c r="R57" i="5"/>
  <c r="R26" i="5"/>
  <c r="R58" i="5"/>
  <c r="R64" i="5"/>
  <c r="R56" i="5"/>
  <c r="R49" i="5"/>
  <c r="R65" i="5"/>
  <c r="R18" i="5"/>
  <c r="R34" i="5"/>
  <c r="R50" i="5"/>
  <c r="R66" i="5"/>
  <c r="R4" i="2"/>
  <c r="E3" i="1" s="1"/>
  <c r="P6" i="2"/>
  <c r="P9" i="2"/>
  <c r="I6" i="1" l="1"/>
  <c r="I4" i="1"/>
  <c r="AG49" i="1"/>
  <c r="AJ49" i="1" s="1"/>
  <c r="AG48" i="1"/>
  <c r="AJ48" i="1" s="1"/>
  <c r="AG25" i="1"/>
  <c r="AJ25" i="1" s="1"/>
  <c r="S6" i="5"/>
  <c r="AI5" i="1" s="1"/>
  <c r="AL5" i="1" s="1"/>
  <c r="AG29" i="1"/>
  <c r="AJ29" i="1" s="1"/>
  <c r="S59" i="5"/>
  <c r="AI58" i="1" s="1"/>
  <c r="AL58" i="1" s="1"/>
  <c r="S52" i="5"/>
  <c r="AI51" i="1" s="1"/>
  <c r="AL51" i="1" s="1"/>
  <c r="AG52" i="1"/>
  <c r="AJ52" i="1" s="1"/>
  <c r="S34" i="5"/>
  <c r="AI33" i="1" s="1"/>
  <c r="AL33" i="1" s="1"/>
  <c r="AG55" i="1"/>
  <c r="AJ55" i="1" s="1"/>
  <c r="S57" i="5"/>
  <c r="AI56" i="1" s="1"/>
  <c r="AL56" i="1" s="1"/>
  <c r="AG54" i="1"/>
  <c r="AJ54" i="1" s="1"/>
  <c r="S14" i="5"/>
  <c r="AI13" i="1" s="1"/>
  <c r="AL13" i="1" s="1"/>
  <c r="S67" i="5"/>
  <c r="AI66" i="1" s="1"/>
  <c r="AL66" i="1" s="1"/>
  <c r="S68" i="5"/>
  <c r="AI67" i="1" s="1"/>
  <c r="AL67" i="1" s="1"/>
  <c r="AG62" i="1"/>
  <c r="AJ62" i="1" s="1"/>
  <c r="AG65" i="1"/>
  <c r="AJ65" i="1" s="1"/>
  <c r="S65" i="5"/>
  <c r="AI64" i="1" s="1"/>
  <c r="AL64" i="1" s="1"/>
  <c r="S58" i="5"/>
  <c r="AI57" i="1" s="1"/>
  <c r="AL57" i="1" s="1"/>
  <c r="AG37" i="1"/>
  <c r="AJ37" i="1" s="1"/>
  <c r="AG45" i="1"/>
  <c r="AJ45" i="1" s="1"/>
  <c r="AG50" i="1"/>
  <c r="AJ50" i="1" s="1"/>
  <c r="AG9" i="1"/>
  <c r="AJ9" i="1" s="1"/>
  <c r="AG21" i="1"/>
  <c r="AJ21" i="1" s="1"/>
  <c r="AG17" i="1"/>
  <c r="AJ17" i="1" s="1"/>
  <c r="S64" i="5"/>
  <c r="AI63" i="1" s="1"/>
  <c r="AL63" i="1" s="1"/>
  <c r="S60" i="5"/>
  <c r="AI59" i="1" s="1"/>
  <c r="AL59" i="1" s="1"/>
  <c r="S62" i="5"/>
  <c r="AI61" i="1" s="1"/>
  <c r="AL61" i="1" s="1"/>
  <c r="AG60" i="1"/>
  <c r="AJ60" i="1" s="1"/>
  <c r="AG41" i="1"/>
  <c r="AJ41" i="1" s="1"/>
  <c r="S54" i="5"/>
  <c r="AI53" i="1" s="1"/>
  <c r="AL53" i="1" s="1"/>
  <c r="H3" i="1"/>
  <c r="AE23" i="1"/>
  <c r="AE54" i="1"/>
  <c r="AE47" i="1"/>
  <c r="AE35" i="1"/>
  <c r="AE36" i="1"/>
  <c r="AE8" i="1"/>
  <c r="AE59" i="1"/>
  <c r="AE4" i="1"/>
  <c r="AE43" i="1"/>
  <c r="AE56" i="1"/>
  <c r="AE49" i="1"/>
  <c r="AE61" i="1"/>
  <c r="AE20" i="1"/>
  <c r="AE11" i="1"/>
  <c r="AE40" i="1"/>
  <c r="AE60" i="1"/>
  <c r="AE57" i="1"/>
  <c r="AE34" i="1"/>
  <c r="AE12" i="1"/>
  <c r="AE24" i="1"/>
  <c r="AE42" i="1"/>
  <c r="AE55" i="1"/>
  <c r="AE48" i="1"/>
  <c r="AE19" i="1"/>
  <c r="AE50" i="1"/>
  <c r="AE7" i="1"/>
  <c r="AE3" i="1"/>
  <c r="AA38" i="1"/>
  <c r="AB38" i="1" s="1"/>
  <c r="AA46" i="1"/>
  <c r="AB46" i="1" s="1"/>
  <c r="AA25" i="1"/>
  <c r="AB25" i="1" s="1"/>
  <c r="AA29" i="1"/>
  <c r="AB29" i="1" s="1"/>
  <c r="AA30" i="1"/>
  <c r="AB30" i="1" s="1"/>
  <c r="AA17" i="1"/>
  <c r="AB17" i="1" s="1"/>
  <c r="AA45" i="1"/>
  <c r="AB45" i="1" s="1"/>
  <c r="AA37" i="1"/>
  <c r="AB37" i="1" s="1"/>
  <c r="AA5" i="1"/>
  <c r="AB5" i="1" s="1"/>
  <c r="AA22" i="1"/>
  <c r="AB22" i="1" s="1"/>
  <c r="AA21" i="1"/>
  <c r="AB21" i="1" s="1"/>
  <c r="AB66" i="1"/>
  <c r="AB65" i="1"/>
  <c r="AB16" i="1"/>
  <c r="AB15" i="1"/>
  <c r="AB27" i="1"/>
  <c r="Y55" i="1"/>
  <c r="AC55" i="1" s="1"/>
  <c r="Y52" i="1"/>
  <c r="AC52" i="1" s="1"/>
  <c r="Y8" i="1"/>
  <c r="AC8" i="1" s="1"/>
  <c r="Y63" i="1"/>
  <c r="AC63" i="1" s="1"/>
  <c r="Y19" i="1"/>
  <c r="AC19" i="1" s="1"/>
  <c r="Y16" i="1"/>
  <c r="AC16" i="1" s="1"/>
  <c r="Y61" i="1"/>
  <c r="AC61" i="1" s="1"/>
  <c r="Y56" i="1"/>
  <c r="AC56" i="1" s="1"/>
  <c r="Y44" i="1"/>
  <c r="AC44" i="1" s="1"/>
  <c r="Y42" i="1"/>
  <c r="AC42" i="1" s="1"/>
  <c r="Y34" i="1"/>
  <c r="AC34" i="1" s="1"/>
  <c r="Y54" i="1"/>
  <c r="AC54" i="1" s="1"/>
  <c r="Y7" i="1"/>
  <c r="AC7" i="1" s="1"/>
  <c r="Y49" i="1"/>
  <c r="AC49" i="1" s="1"/>
  <c r="Y28" i="1"/>
  <c r="AC28" i="1" s="1"/>
  <c r="Y18" i="1"/>
  <c r="AC18" i="1" s="1"/>
  <c r="Y66" i="1"/>
  <c r="AC66" i="1" s="1"/>
  <c r="Y39" i="1"/>
  <c r="AC39" i="1" s="1"/>
  <c r="Y36" i="1"/>
  <c r="AC36" i="1" s="1"/>
  <c r="Y43" i="1"/>
  <c r="AC43" i="1" s="1"/>
  <c r="Y31" i="1"/>
  <c r="AC31" i="1" s="1"/>
  <c r="Y3" i="1"/>
  <c r="AC3" i="1" s="1"/>
  <c r="Y67" i="1"/>
  <c r="AC67" i="1" s="1"/>
  <c r="Y64" i="1"/>
  <c r="AC64" i="1" s="1"/>
  <c r="Y24" i="1"/>
  <c r="AC24" i="1" s="1"/>
  <c r="Y12" i="1"/>
  <c r="AC12" i="1" s="1"/>
  <c r="Y26" i="1"/>
  <c r="AC26" i="1" s="1"/>
  <c r="Y50" i="1"/>
  <c r="AC50" i="1" s="1"/>
  <c r="Y4" i="1"/>
  <c r="AC4" i="1" s="1"/>
  <c r="Y40" i="1"/>
  <c r="AC40" i="1" s="1"/>
  <c r="Y35" i="1"/>
  <c r="AC35" i="1" s="1"/>
  <c r="Y32" i="1"/>
  <c r="AC32" i="1" s="1"/>
  <c r="Y27" i="1"/>
  <c r="AC27" i="1" s="1"/>
  <c r="Y15" i="1"/>
  <c r="AC15" i="1" s="1"/>
  <c r="Y57" i="1"/>
  <c r="AC57" i="1" s="1"/>
  <c r="Y23" i="1"/>
  <c r="AC23" i="1" s="1"/>
  <c r="Y20" i="1"/>
  <c r="AC20" i="1" s="1"/>
  <c r="Y11" i="1"/>
  <c r="AC11" i="1" s="1"/>
  <c r="Y53" i="1"/>
  <c r="AC53" i="1" s="1"/>
  <c r="Y60" i="1"/>
  <c r="AC60" i="1" s="1"/>
  <c r="Y51" i="1"/>
  <c r="AC51" i="1" s="1"/>
  <c r="Y48" i="1"/>
  <c r="AC48" i="1" s="1"/>
  <c r="Y59" i="1"/>
  <c r="AC59" i="1" s="1"/>
  <c r="Y47" i="1"/>
  <c r="AC47" i="1" s="1"/>
  <c r="AG33" i="1"/>
  <c r="AJ33" i="1" s="1"/>
  <c r="AG66" i="1"/>
  <c r="AJ66" i="1" s="1"/>
  <c r="S56" i="5"/>
  <c r="AI55" i="1" s="1"/>
  <c r="AL55" i="1" s="1"/>
  <c r="AG56" i="1"/>
  <c r="AJ56" i="1" s="1"/>
  <c r="S55" i="5"/>
  <c r="AI54" i="1" s="1"/>
  <c r="AL54" i="1" s="1"/>
  <c r="AG67" i="1"/>
  <c r="AJ67" i="1" s="1"/>
  <c r="S63" i="5"/>
  <c r="AI62" i="1" s="1"/>
  <c r="AL62" i="1" s="1"/>
  <c r="AG13" i="1"/>
  <c r="AJ13" i="1" s="1"/>
  <c r="S61" i="5"/>
  <c r="AI60" i="1" s="1"/>
  <c r="AL60" i="1" s="1"/>
  <c r="S49" i="5"/>
  <c r="AI48" i="1" s="1"/>
  <c r="AL48" i="1" s="1"/>
  <c r="S42" i="5"/>
  <c r="AI41" i="1" s="1"/>
  <c r="AL41" i="1" s="1"/>
  <c r="AG59" i="1"/>
  <c r="AJ59" i="1" s="1"/>
  <c r="S22" i="5"/>
  <c r="AI21" i="1" s="1"/>
  <c r="AL21" i="1" s="1"/>
  <c r="AG64" i="1"/>
  <c r="AJ64" i="1" s="1"/>
  <c r="S10" i="5"/>
  <c r="AI9" i="1" s="1"/>
  <c r="AL9" i="1" s="1"/>
  <c r="S46" i="5"/>
  <c r="AI45" i="1" s="1"/>
  <c r="AL45" i="1" s="1"/>
  <c r="S38" i="5"/>
  <c r="AI37" i="1" s="1"/>
  <c r="AL37" i="1" s="1"/>
  <c r="S66" i="5"/>
  <c r="AI65" i="1" s="1"/>
  <c r="AL65" i="1" s="1"/>
  <c r="AG51" i="1"/>
  <c r="AJ51" i="1" s="1"/>
  <c r="AG57" i="1"/>
  <c r="AJ57" i="1" s="1"/>
  <c r="S51" i="5"/>
  <c r="AI50" i="1" s="1"/>
  <c r="AL50" i="1" s="1"/>
  <c r="AG63" i="1"/>
  <c r="AJ63" i="1" s="1"/>
  <c r="AG61" i="1"/>
  <c r="AJ61" i="1" s="1"/>
  <c r="AG53" i="1"/>
  <c r="AJ53" i="1" s="1"/>
  <c r="S50" i="5"/>
  <c r="AI49" i="1" s="1"/>
  <c r="AL49" i="1" s="1"/>
  <c r="S53" i="5"/>
  <c r="AI52" i="1" s="1"/>
  <c r="AL52" i="1" s="1"/>
  <c r="S18" i="5"/>
  <c r="AI17" i="1" s="1"/>
  <c r="AL17" i="1" s="1"/>
  <c r="S30" i="5"/>
  <c r="AI29" i="1" s="1"/>
  <c r="AL29" i="1" s="1"/>
  <c r="AG5" i="1"/>
  <c r="AJ5" i="1" s="1"/>
  <c r="AG58" i="1"/>
  <c r="AJ58" i="1" s="1"/>
  <c r="S26" i="5"/>
  <c r="AI25" i="1" s="1"/>
  <c r="AL25" i="1" s="1"/>
  <c r="S4" i="2"/>
  <c r="G3" i="1" s="1"/>
  <c r="J3" i="1" s="1"/>
  <c r="R9" i="2"/>
  <c r="S9" i="2" s="1"/>
  <c r="G8" i="1" s="1"/>
  <c r="J8" i="1" s="1"/>
  <c r="R6" i="2"/>
  <c r="E5" i="1" s="1"/>
  <c r="H5" i="1" s="1"/>
  <c r="P8" i="2"/>
  <c r="P11" i="2"/>
  <c r="K4" i="1" l="1"/>
  <c r="C4" i="1" s="1"/>
  <c r="K6" i="1"/>
  <c r="C6" i="1" s="1"/>
  <c r="AE16" i="1"/>
  <c r="AE17" i="1"/>
  <c r="AE22" i="1"/>
  <c r="AE46" i="1"/>
  <c r="AE65" i="1"/>
  <c r="AE5" i="1"/>
  <c r="AE30" i="1"/>
  <c r="AE38" i="1"/>
  <c r="AE27" i="1"/>
  <c r="AE66" i="1"/>
  <c r="AE37" i="1"/>
  <c r="AE29" i="1"/>
  <c r="AE15" i="1"/>
  <c r="AE21" i="1"/>
  <c r="AE45" i="1"/>
  <c r="AE25" i="1"/>
  <c r="I5" i="1"/>
  <c r="I3" i="1"/>
  <c r="E8" i="1"/>
  <c r="H8" i="1" s="1"/>
  <c r="S6" i="2"/>
  <c r="G5" i="1" s="1"/>
  <c r="J5" i="1" s="1"/>
  <c r="R11" i="2"/>
  <c r="E10" i="1" s="1"/>
  <c r="H10" i="1" s="1"/>
  <c r="R8" i="2"/>
  <c r="E7" i="1" s="1"/>
  <c r="P10" i="2"/>
  <c r="P13" i="2"/>
  <c r="K3" i="1" l="1"/>
  <c r="C3" i="1" s="1"/>
  <c r="K5" i="1"/>
  <c r="C5" i="1" s="1"/>
  <c r="H7" i="1"/>
  <c r="I10" i="1"/>
  <c r="I8" i="1"/>
  <c r="S11" i="2"/>
  <c r="G10" i="1" s="1"/>
  <c r="J10" i="1" s="1"/>
  <c r="S8" i="2"/>
  <c r="G7" i="1" s="1"/>
  <c r="J7" i="1" s="1"/>
  <c r="R13" i="2"/>
  <c r="S13" i="2" s="1"/>
  <c r="G12" i="1" s="1"/>
  <c r="J12" i="1" s="1"/>
  <c r="R10" i="2"/>
  <c r="E9" i="1" s="1"/>
  <c r="H9" i="1" s="1"/>
  <c r="P15" i="2"/>
  <c r="P12" i="2"/>
  <c r="K10" i="1" l="1"/>
  <c r="C10" i="1" s="1"/>
  <c r="I7" i="1"/>
  <c r="K8" i="1"/>
  <c r="C8" i="1" s="1"/>
  <c r="S10" i="2"/>
  <c r="G9" i="1" s="1"/>
  <c r="J9" i="1" s="1"/>
  <c r="E12" i="1"/>
  <c r="H12" i="1" s="1"/>
  <c r="R12" i="2"/>
  <c r="E11" i="1" s="1"/>
  <c r="R15" i="2"/>
  <c r="E14" i="1" s="1"/>
  <c r="H14" i="1" s="1"/>
  <c r="P14" i="2"/>
  <c r="P17" i="2"/>
  <c r="K7" i="1" l="1"/>
  <c r="C7" i="1" s="1"/>
  <c r="H11" i="1"/>
  <c r="I12" i="1"/>
  <c r="I14" i="1"/>
  <c r="I9" i="1"/>
  <c r="S15" i="2"/>
  <c r="G14" i="1" s="1"/>
  <c r="J14" i="1" s="1"/>
  <c r="S12" i="2"/>
  <c r="G11" i="1" s="1"/>
  <c r="J11" i="1" s="1"/>
  <c r="R14" i="2"/>
  <c r="S14" i="2" s="1"/>
  <c r="G13" i="1" s="1"/>
  <c r="J13" i="1" s="1"/>
  <c r="R17" i="2"/>
  <c r="E16" i="1" s="1"/>
  <c r="H16" i="1" s="1"/>
  <c r="P19" i="2"/>
  <c r="P16" i="2"/>
  <c r="K9" i="1" l="1"/>
  <c r="C9" i="1" s="1"/>
  <c r="K14" i="1"/>
  <c r="C14" i="1" s="1"/>
  <c r="K12" i="1"/>
  <c r="C12" i="1" s="1"/>
  <c r="I16" i="1"/>
  <c r="I11" i="1"/>
  <c r="E13" i="1"/>
  <c r="S17" i="2"/>
  <c r="G16" i="1" s="1"/>
  <c r="J16" i="1" s="1"/>
  <c r="R16" i="2"/>
  <c r="E15" i="1" s="1"/>
  <c r="H15" i="1" s="1"/>
  <c r="R19" i="2"/>
  <c r="E18" i="1" s="1"/>
  <c r="H18" i="1" s="1"/>
  <c r="P18" i="2"/>
  <c r="P21" i="2"/>
  <c r="K16" i="1" l="1"/>
  <c r="C16" i="1" s="1"/>
  <c r="K11" i="1"/>
  <c r="C11" i="1" s="1"/>
  <c r="H13" i="1"/>
  <c r="I18" i="1"/>
  <c r="I15" i="1"/>
  <c r="S19" i="2"/>
  <c r="G18" i="1" s="1"/>
  <c r="J18" i="1" s="1"/>
  <c r="S16" i="2"/>
  <c r="G15" i="1" s="1"/>
  <c r="J15" i="1" s="1"/>
  <c r="R21" i="2"/>
  <c r="E20" i="1" s="1"/>
  <c r="H20" i="1" s="1"/>
  <c r="R18" i="2"/>
  <c r="E17" i="1" s="1"/>
  <c r="H17" i="1" s="1"/>
  <c r="P23" i="2"/>
  <c r="P20" i="2"/>
  <c r="K18" i="1" l="1"/>
  <c r="C18" i="1" s="1"/>
  <c r="K15" i="1"/>
  <c r="C15" i="1" s="1"/>
  <c r="I17" i="1"/>
  <c r="I13" i="1"/>
  <c r="I20" i="1"/>
  <c r="S18" i="2"/>
  <c r="G17" i="1" s="1"/>
  <c r="J17" i="1" s="1"/>
  <c r="S21" i="2"/>
  <c r="G20" i="1" s="1"/>
  <c r="J20" i="1" s="1"/>
  <c r="R20" i="2"/>
  <c r="S20" i="2" s="1"/>
  <c r="G19" i="1" s="1"/>
  <c r="J19" i="1" s="1"/>
  <c r="R23" i="2"/>
  <c r="E22" i="1" s="1"/>
  <c r="H22" i="1" s="1"/>
  <c r="P22" i="2"/>
  <c r="P25" i="2"/>
  <c r="K17" i="1" l="1"/>
  <c r="C17" i="1" s="1"/>
  <c r="K20" i="1"/>
  <c r="C20" i="1" s="1"/>
  <c r="K13" i="1"/>
  <c r="C13" i="1" s="1"/>
  <c r="I22" i="1"/>
  <c r="S23" i="2"/>
  <c r="G22" i="1" s="1"/>
  <c r="J22" i="1" s="1"/>
  <c r="E19" i="1"/>
  <c r="H19" i="1" s="1"/>
  <c r="R25" i="2"/>
  <c r="S25" i="2" s="1"/>
  <c r="G24" i="1" s="1"/>
  <c r="J24" i="1" s="1"/>
  <c r="R22" i="2"/>
  <c r="E21" i="1" s="1"/>
  <c r="H21" i="1" s="1"/>
  <c r="P27" i="2"/>
  <c r="P24" i="2"/>
  <c r="K22" i="1" l="1"/>
  <c r="C22" i="1" s="1"/>
  <c r="I21" i="1"/>
  <c r="S22" i="2"/>
  <c r="G21" i="1" s="1"/>
  <c r="J21" i="1" s="1"/>
  <c r="E24" i="1"/>
  <c r="H24" i="1" s="1"/>
  <c r="R24" i="2"/>
  <c r="E23" i="1" s="1"/>
  <c r="H23" i="1" s="1"/>
  <c r="R27" i="2"/>
  <c r="E26" i="1" s="1"/>
  <c r="H26" i="1" s="1"/>
  <c r="P26" i="2"/>
  <c r="P29" i="2"/>
  <c r="K21" i="1" l="1"/>
  <c r="C21" i="1" s="1"/>
  <c r="I26" i="1"/>
  <c r="I19" i="1"/>
  <c r="I23" i="1"/>
  <c r="I24" i="1"/>
  <c r="S27" i="2"/>
  <c r="G26" i="1" s="1"/>
  <c r="J26" i="1" s="1"/>
  <c r="S24" i="2"/>
  <c r="G23" i="1" s="1"/>
  <c r="J23" i="1" s="1"/>
  <c r="R29" i="2"/>
  <c r="E28" i="1" s="1"/>
  <c r="H28" i="1" s="1"/>
  <c r="R26" i="2"/>
  <c r="S26" i="2" s="1"/>
  <c r="G25" i="1" s="1"/>
  <c r="J25" i="1" s="1"/>
  <c r="P31" i="2"/>
  <c r="P28" i="2"/>
  <c r="K23" i="1" l="1"/>
  <c r="C23" i="1" s="1"/>
  <c r="K26" i="1"/>
  <c r="C26" i="1" s="1"/>
  <c r="K19" i="1"/>
  <c r="C19" i="1" s="1"/>
  <c r="K24" i="1"/>
  <c r="C24" i="1" s="1"/>
  <c r="I28" i="1"/>
  <c r="S29" i="2"/>
  <c r="G28" i="1" s="1"/>
  <c r="J28" i="1" s="1"/>
  <c r="E25" i="1"/>
  <c r="H25" i="1" s="1"/>
  <c r="R28" i="2"/>
  <c r="E27" i="1" s="1"/>
  <c r="H27" i="1" s="1"/>
  <c r="R31" i="2"/>
  <c r="E30" i="1" s="1"/>
  <c r="H30" i="1" s="1"/>
  <c r="P30" i="2"/>
  <c r="P33" i="2"/>
  <c r="K28" i="1" l="1"/>
  <c r="C28" i="1" s="1"/>
  <c r="I25" i="1"/>
  <c r="I30" i="1"/>
  <c r="I27" i="1"/>
  <c r="S31" i="2"/>
  <c r="G30" i="1" s="1"/>
  <c r="J30" i="1" s="1"/>
  <c r="S28" i="2"/>
  <c r="G27" i="1" s="1"/>
  <c r="J27" i="1" s="1"/>
  <c r="R33" i="2"/>
  <c r="S33" i="2" s="1"/>
  <c r="G32" i="1" s="1"/>
  <c r="J32" i="1" s="1"/>
  <c r="R30" i="2"/>
  <c r="E29" i="1" s="1"/>
  <c r="H29" i="1" s="1"/>
  <c r="P32" i="2"/>
  <c r="P35" i="2"/>
  <c r="K27" i="1" l="1"/>
  <c r="C27" i="1" s="1"/>
  <c r="K30" i="1"/>
  <c r="C30" i="1" s="1"/>
  <c r="K25" i="1"/>
  <c r="C25" i="1" s="1"/>
  <c r="I29" i="1"/>
  <c r="E32" i="1"/>
  <c r="H32" i="1" s="1"/>
  <c r="S30" i="2"/>
  <c r="G29" i="1" s="1"/>
  <c r="J29" i="1" s="1"/>
  <c r="R35" i="2"/>
  <c r="E34" i="1" s="1"/>
  <c r="H34" i="1" s="1"/>
  <c r="R32" i="2"/>
  <c r="E31" i="1" s="1"/>
  <c r="H31" i="1" s="1"/>
  <c r="P37" i="2"/>
  <c r="P34" i="2"/>
  <c r="K29" i="1" l="1"/>
  <c r="C29" i="1" s="1"/>
  <c r="I32" i="1"/>
  <c r="I31" i="1"/>
  <c r="I34" i="1"/>
  <c r="S35" i="2"/>
  <c r="G34" i="1" s="1"/>
  <c r="J34" i="1" s="1"/>
  <c r="S32" i="2"/>
  <c r="G31" i="1" s="1"/>
  <c r="J31" i="1" s="1"/>
  <c r="R34" i="2"/>
  <c r="S34" i="2" s="1"/>
  <c r="G33" i="1" s="1"/>
  <c r="J33" i="1" s="1"/>
  <c r="R37" i="2"/>
  <c r="E36" i="1" s="1"/>
  <c r="H36" i="1" s="1"/>
  <c r="P39" i="2"/>
  <c r="P36" i="2"/>
  <c r="K34" i="1" l="1"/>
  <c r="C34" i="1" s="1"/>
  <c r="K31" i="1"/>
  <c r="C31" i="1" s="1"/>
  <c r="K32" i="1"/>
  <c r="C32" i="1" s="1"/>
  <c r="I36" i="1"/>
  <c r="E33" i="1"/>
  <c r="H33" i="1" s="1"/>
  <c r="R39" i="2"/>
  <c r="S39" i="2" s="1"/>
  <c r="G38" i="1" s="1"/>
  <c r="J38" i="1" s="1"/>
  <c r="S37" i="2"/>
  <c r="G36" i="1" s="1"/>
  <c r="J36" i="1" s="1"/>
  <c r="R36" i="2"/>
  <c r="S36" i="2" s="1"/>
  <c r="G35" i="1" s="1"/>
  <c r="J35" i="1" s="1"/>
  <c r="P41" i="2"/>
  <c r="P38" i="2"/>
  <c r="K36" i="1" l="1"/>
  <c r="C36" i="1" s="1"/>
  <c r="I33" i="1"/>
  <c r="E38" i="1"/>
  <c r="H38" i="1" s="1"/>
  <c r="E35" i="1"/>
  <c r="H35" i="1" s="1"/>
  <c r="R38" i="2"/>
  <c r="E37" i="1" s="1"/>
  <c r="H37" i="1" s="1"/>
  <c r="R41" i="2"/>
  <c r="E40" i="1" s="1"/>
  <c r="H40" i="1" s="1"/>
  <c r="P40" i="2"/>
  <c r="P43" i="2"/>
  <c r="K33" i="1" l="1"/>
  <c r="C33" i="1" s="1"/>
  <c r="I37" i="1"/>
  <c r="I35" i="1"/>
  <c r="I38" i="1"/>
  <c r="I40" i="1"/>
  <c r="S38" i="2"/>
  <c r="G37" i="1" s="1"/>
  <c r="J37" i="1" s="1"/>
  <c r="R43" i="2"/>
  <c r="E42" i="1" s="1"/>
  <c r="H42" i="1" s="1"/>
  <c r="R40" i="2"/>
  <c r="S40" i="2" s="1"/>
  <c r="G39" i="1" s="1"/>
  <c r="J39" i="1" s="1"/>
  <c r="S41" i="2"/>
  <c r="G40" i="1" s="1"/>
  <c r="J40" i="1" s="1"/>
  <c r="P45" i="2"/>
  <c r="P42" i="2"/>
  <c r="K37" i="1" l="1"/>
  <c r="C37" i="1" s="1"/>
  <c r="K40" i="1"/>
  <c r="C40" i="1" s="1"/>
  <c r="K38" i="1"/>
  <c r="C38" i="1" s="1"/>
  <c r="K35" i="1"/>
  <c r="C35" i="1" s="1"/>
  <c r="I42" i="1"/>
  <c r="S43" i="2"/>
  <c r="G42" i="1" s="1"/>
  <c r="J42" i="1" s="1"/>
  <c r="R42" i="2"/>
  <c r="E41" i="1" s="1"/>
  <c r="H41" i="1" s="1"/>
  <c r="R45" i="2"/>
  <c r="S45" i="2" s="1"/>
  <c r="G44" i="1" s="1"/>
  <c r="J44" i="1" s="1"/>
  <c r="E39" i="1"/>
  <c r="H39" i="1" s="1"/>
  <c r="P44" i="2"/>
  <c r="P47" i="2"/>
  <c r="K42" i="1" l="1"/>
  <c r="C42" i="1" s="1"/>
  <c r="I41" i="1"/>
  <c r="I39" i="1"/>
  <c r="S42" i="2"/>
  <c r="G41" i="1" s="1"/>
  <c r="J41" i="1" s="1"/>
  <c r="E44" i="1"/>
  <c r="H44" i="1" s="1"/>
  <c r="R47" i="2"/>
  <c r="S47" i="2" s="1"/>
  <c r="G46" i="1" s="1"/>
  <c r="J46" i="1" s="1"/>
  <c r="R44" i="2"/>
  <c r="E43" i="1" s="1"/>
  <c r="H43" i="1" s="1"/>
  <c r="P49" i="2"/>
  <c r="P46" i="2"/>
  <c r="K41" i="1" l="1"/>
  <c r="C41" i="1" s="1"/>
  <c r="K39" i="1"/>
  <c r="C39" i="1" s="1"/>
  <c r="I43" i="1"/>
  <c r="I44" i="1"/>
  <c r="E46" i="1"/>
  <c r="H46" i="1" s="1"/>
  <c r="R46" i="2"/>
  <c r="E45" i="1" s="1"/>
  <c r="H45" i="1" s="1"/>
  <c r="R49" i="2"/>
  <c r="S49" i="2" s="1"/>
  <c r="G48" i="1" s="1"/>
  <c r="J48" i="1" s="1"/>
  <c r="S44" i="2"/>
  <c r="G43" i="1" s="1"/>
  <c r="J43" i="1" s="1"/>
  <c r="P48" i="2"/>
  <c r="P51" i="2"/>
  <c r="K43" i="1" l="1"/>
  <c r="C43" i="1" s="1"/>
  <c r="K44" i="1"/>
  <c r="C44" i="1" s="1"/>
  <c r="I45" i="1"/>
  <c r="I46" i="1"/>
  <c r="S46" i="2"/>
  <c r="G45" i="1" s="1"/>
  <c r="J45" i="1" s="1"/>
  <c r="R48" i="2"/>
  <c r="E47" i="1" s="1"/>
  <c r="H47" i="1" s="1"/>
  <c r="E48" i="1"/>
  <c r="H48" i="1" s="1"/>
  <c r="R51" i="2"/>
  <c r="S51" i="2" s="1"/>
  <c r="G50" i="1" s="1"/>
  <c r="J50" i="1" s="1"/>
  <c r="P50" i="2"/>
  <c r="P53" i="2"/>
  <c r="K45" i="1" l="1"/>
  <c r="C45" i="1" s="1"/>
  <c r="K46" i="1"/>
  <c r="C46" i="1" s="1"/>
  <c r="I48" i="1"/>
  <c r="I47" i="1"/>
  <c r="S48" i="2"/>
  <c r="G47" i="1" s="1"/>
  <c r="J47" i="1" s="1"/>
  <c r="R53" i="2"/>
  <c r="S53" i="2" s="1"/>
  <c r="G52" i="1" s="1"/>
  <c r="J52" i="1" s="1"/>
  <c r="R50" i="2"/>
  <c r="S50" i="2" s="1"/>
  <c r="G49" i="1" s="1"/>
  <c r="J49" i="1" s="1"/>
  <c r="E50" i="1"/>
  <c r="H50" i="1" s="1"/>
  <c r="P55" i="2"/>
  <c r="P52" i="2"/>
  <c r="K47" i="1" l="1"/>
  <c r="C47" i="1" s="1"/>
  <c r="K48" i="1"/>
  <c r="C48" i="1" s="1"/>
  <c r="I50" i="1"/>
  <c r="E49" i="1"/>
  <c r="H49" i="1" s="1"/>
  <c r="E52" i="1"/>
  <c r="H52" i="1" s="1"/>
  <c r="R52" i="2"/>
  <c r="E51" i="1" s="1"/>
  <c r="H51" i="1" s="1"/>
  <c r="R55" i="2"/>
  <c r="S55" i="2" s="1"/>
  <c r="G54" i="1" s="1"/>
  <c r="J54" i="1" s="1"/>
  <c r="P54" i="2"/>
  <c r="P57" i="2"/>
  <c r="K50" i="1" l="1"/>
  <c r="C50" i="1" s="1"/>
  <c r="I52" i="1"/>
  <c r="I49" i="1"/>
  <c r="I51" i="1"/>
  <c r="S52" i="2"/>
  <c r="G51" i="1" s="1"/>
  <c r="J51" i="1" s="1"/>
  <c r="R57" i="2"/>
  <c r="E56" i="1" s="1"/>
  <c r="H56" i="1" s="1"/>
  <c r="E54" i="1"/>
  <c r="H54" i="1" s="1"/>
  <c r="R54" i="2"/>
  <c r="S54" i="2" s="1"/>
  <c r="G53" i="1" s="1"/>
  <c r="J53" i="1" s="1"/>
  <c r="P59" i="2"/>
  <c r="P56" i="2"/>
  <c r="K51" i="1" l="1"/>
  <c r="C51" i="1" s="1"/>
  <c r="K52" i="1"/>
  <c r="C52" i="1" s="1"/>
  <c r="K49" i="1"/>
  <c r="C49" i="1" s="1"/>
  <c r="I56" i="1"/>
  <c r="I54" i="1"/>
  <c r="S57" i="2"/>
  <c r="G56" i="1" s="1"/>
  <c r="J56" i="1" s="1"/>
  <c r="R56" i="2"/>
  <c r="E55" i="1" s="1"/>
  <c r="H55" i="1" s="1"/>
  <c r="R59" i="2"/>
  <c r="S59" i="2" s="1"/>
  <c r="G58" i="1" s="1"/>
  <c r="J58" i="1" s="1"/>
  <c r="E53" i="1"/>
  <c r="H53" i="1" s="1"/>
  <c r="P58" i="2"/>
  <c r="P61" i="2"/>
  <c r="K56" i="1" l="1"/>
  <c r="C56" i="1" s="1"/>
  <c r="K54" i="1"/>
  <c r="C54" i="1" s="1"/>
  <c r="I55" i="1"/>
  <c r="I53" i="1"/>
  <c r="S56" i="2"/>
  <c r="G55" i="1" s="1"/>
  <c r="J55" i="1" s="1"/>
  <c r="R61" i="2"/>
  <c r="S61" i="2" s="1"/>
  <c r="G60" i="1" s="1"/>
  <c r="J60" i="1" s="1"/>
  <c r="R58" i="2"/>
  <c r="S58" i="2" s="1"/>
  <c r="G57" i="1" s="1"/>
  <c r="J57" i="1" s="1"/>
  <c r="E58" i="1"/>
  <c r="H58" i="1" s="1"/>
  <c r="P63" i="2"/>
  <c r="P60" i="2"/>
  <c r="K55" i="1" l="1"/>
  <c r="C55" i="1" s="1"/>
  <c r="K53" i="1"/>
  <c r="C53" i="1" s="1"/>
  <c r="I58" i="1"/>
  <c r="E57" i="1"/>
  <c r="H57" i="1" s="1"/>
  <c r="E60" i="1"/>
  <c r="H60" i="1" s="1"/>
  <c r="R63" i="2"/>
  <c r="S63" i="2" s="1"/>
  <c r="G62" i="1" s="1"/>
  <c r="J62" i="1" s="1"/>
  <c r="R60" i="2"/>
  <c r="E59" i="1" s="1"/>
  <c r="H59" i="1" s="1"/>
  <c r="P62" i="2"/>
  <c r="P67" i="2"/>
  <c r="P65" i="2"/>
  <c r="K58" i="1" l="1"/>
  <c r="C58" i="1" s="1"/>
  <c r="I59" i="1"/>
  <c r="I60" i="1"/>
  <c r="I57" i="1"/>
  <c r="S60" i="2"/>
  <c r="G59" i="1" s="1"/>
  <c r="J59" i="1" s="1"/>
  <c r="E62" i="1"/>
  <c r="H62" i="1" s="1"/>
  <c r="R62" i="2"/>
  <c r="E61" i="1" s="1"/>
  <c r="H61" i="1" s="1"/>
  <c r="R65" i="2"/>
  <c r="S65" i="2" s="1"/>
  <c r="G64" i="1" s="1"/>
  <c r="J64" i="1" s="1"/>
  <c r="R67" i="2"/>
  <c r="S67" i="2" s="1"/>
  <c r="G66" i="1" s="1"/>
  <c r="J66" i="1" s="1"/>
  <c r="P64" i="2"/>
  <c r="K59" i="1" l="1"/>
  <c r="C59" i="1" s="1"/>
  <c r="K60" i="1"/>
  <c r="C60" i="1" s="1"/>
  <c r="K57" i="1"/>
  <c r="C57" i="1" s="1"/>
  <c r="I62" i="1"/>
  <c r="I61" i="1"/>
  <c r="E64" i="1"/>
  <c r="H64" i="1" s="1"/>
  <c r="R64" i="2"/>
  <c r="S64" i="2" s="1"/>
  <c r="G63" i="1" s="1"/>
  <c r="J63" i="1" s="1"/>
  <c r="S62" i="2"/>
  <c r="G61" i="1" s="1"/>
  <c r="J61" i="1" s="1"/>
  <c r="E66" i="1"/>
  <c r="H66" i="1" s="1"/>
  <c r="P66" i="2"/>
  <c r="P68" i="2"/>
  <c r="K61" i="1" l="1"/>
  <c r="C61" i="1" s="1"/>
  <c r="K62" i="1"/>
  <c r="C62" i="1" s="1"/>
  <c r="I66" i="1"/>
  <c r="I64" i="1"/>
  <c r="E63" i="1"/>
  <c r="H63" i="1" s="1"/>
  <c r="R66" i="2"/>
  <c r="S66" i="2" s="1"/>
  <c r="G65" i="1" s="1"/>
  <c r="J65" i="1" s="1"/>
  <c r="R68" i="2"/>
  <c r="E67" i="1" s="1"/>
  <c r="H67" i="1" s="1"/>
  <c r="K66" i="1" l="1"/>
  <c r="C66" i="1" s="1"/>
  <c r="K64" i="1"/>
  <c r="C64" i="1" s="1"/>
  <c r="I67" i="1"/>
  <c r="I63" i="1"/>
  <c r="E65" i="1"/>
  <c r="H65" i="1" s="1"/>
  <c r="S68" i="2"/>
  <c r="G67" i="1" s="1"/>
  <c r="J67" i="1" s="1"/>
  <c r="K67" i="1" l="1"/>
  <c r="C67" i="1" s="1"/>
  <c r="K63" i="1"/>
  <c r="C63" i="1" s="1"/>
  <c r="I65" i="1"/>
  <c r="K65" i="1" l="1"/>
  <c r="C65" i="1" s="1"/>
</calcChain>
</file>

<file path=xl/sharedStrings.xml><?xml version="1.0" encoding="utf-8"?>
<sst xmlns="http://schemas.openxmlformats.org/spreadsheetml/2006/main" count="1436" uniqueCount="220">
  <si>
    <t>Wertpapier</t>
  </si>
  <si>
    <t>ISIN</t>
  </si>
  <si>
    <t>Novartis</t>
  </si>
  <si>
    <t>CH0012005267</t>
  </si>
  <si>
    <t>Roche</t>
  </si>
  <si>
    <t>CH0012032048</t>
  </si>
  <si>
    <t>Nestle</t>
  </si>
  <si>
    <t>CH0038863350</t>
  </si>
  <si>
    <t>Deutsche Bank</t>
  </si>
  <si>
    <t>DE0005140008</t>
  </si>
  <si>
    <t>Beiersdorf</t>
  </si>
  <si>
    <t>DE0005200000</t>
  </si>
  <si>
    <t>Deutsche Post</t>
  </si>
  <si>
    <t>DE0005552004</t>
  </si>
  <si>
    <t>Deutsche Telekom</t>
  </si>
  <si>
    <t>DE0005557508</t>
  </si>
  <si>
    <t>SAP</t>
  </si>
  <si>
    <t>DE0007164600</t>
  </si>
  <si>
    <t>Siemens</t>
  </si>
  <si>
    <t>DE0007236101</t>
  </si>
  <si>
    <t>Allianz</t>
  </si>
  <si>
    <t>DE0008404005</t>
  </si>
  <si>
    <t>Münchener Rück</t>
  </si>
  <si>
    <t>DE0008430026</t>
  </si>
  <si>
    <t>BASF</t>
  </si>
  <si>
    <t>DE000BASF111</t>
  </si>
  <si>
    <t>Bayer</t>
  </si>
  <si>
    <t>DE000BAY0017</t>
  </si>
  <si>
    <t>Banco Santander</t>
  </si>
  <si>
    <t>ES0113900J37</t>
  </si>
  <si>
    <t>Telefonica</t>
  </si>
  <si>
    <t>ES0178430E18</t>
  </si>
  <si>
    <t>Total</t>
  </si>
  <si>
    <t>FR0000120271</t>
  </si>
  <si>
    <t>Danone</t>
  </si>
  <si>
    <t>FR0000120644</t>
  </si>
  <si>
    <t>BHP Billiton</t>
  </si>
  <si>
    <t>GB0000566504</t>
  </si>
  <si>
    <t>British American Tobacco</t>
  </si>
  <si>
    <t>GB0002875804</t>
  </si>
  <si>
    <t>Imperial Tobacco</t>
  </si>
  <si>
    <t>GB0004544929</t>
  </si>
  <si>
    <t>HSBC</t>
  </si>
  <si>
    <t>GB0005405286</t>
  </si>
  <si>
    <t>Rio Tinto</t>
  </si>
  <si>
    <t>GB0007188757</t>
  </si>
  <si>
    <t>BP</t>
  </si>
  <si>
    <t>GB0007980591</t>
  </si>
  <si>
    <t>Royal Dutch Shell</t>
  </si>
  <si>
    <t>GB00B03MLX29</t>
  </si>
  <si>
    <t>Vodafone</t>
  </si>
  <si>
    <t>GB00BH4HKS39</t>
  </si>
  <si>
    <t>Unilever</t>
  </si>
  <si>
    <t>NL0000009355</t>
  </si>
  <si>
    <t>AT&amp;T</t>
  </si>
  <si>
    <t>US00206R1023</t>
  </si>
  <si>
    <t>Chevron</t>
  </si>
  <si>
    <t>US1667641005</t>
  </si>
  <si>
    <t>Coca-Cola</t>
  </si>
  <si>
    <t>US1912161007</t>
  </si>
  <si>
    <t>Colgate-Palmolive</t>
  </si>
  <si>
    <t>US1941621039</t>
  </si>
  <si>
    <t>Dow Chemical</t>
  </si>
  <si>
    <t>US2605431038</t>
  </si>
  <si>
    <t>Exxon Mobil</t>
  </si>
  <si>
    <t>US30231G1022</t>
  </si>
  <si>
    <t>General Electric</t>
  </si>
  <si>
    <t>US3696041033</t>
  </si>
  <si>
    <t>Goldman Sachs</t>
  </si>
  <si>
    <t>US38141G1040</t>
  </si>
  <si>
    <t>IBM</t>
  </si>
  <si>
    <t>US4592001014</t>
  </si>
  <si>
    <t>JPMorgan Chase</t>
  </si>
  <si>
    <t>US46625H1005</t>
  </si>
  <si>
    <t>Johnson &amp; Johnson</t>
  </si>
  <si>
    <t>US4781601046</t>
  </si>
  <si>
    <t>Kraft Foods</t>
  </si>
  <si>
    <t>US50076Q1067</t>
  </si>
  <si>
    <t>McDonald's</t>
  </si>
  <si>
    <t>US5801351017</t>
  </si>
  <si>
    <t>Merck &amp; Co.</t>
  </si>
  <si>
    <t>US58933Y1055</t>
  </si>
  <si>
    <t>Microsoft</t>
  </si>
  <si>
    <t>US5949181045</t>
  </si>
  <si>
    <t>Mondelez</t>
  </si>
  <si>
    <t>US6092071058</t>
  </si>
  <si>
    <t>Monsanto</t>
  </si>
  <si>
    <t>US61166W1018</t>
  </si>
  <si>
    <t>Oracle</t>
  </si>
  <si>
    <t>US68389X1054</t>
  </si>
  <si>
    <t>PepsiCo</t>
  </si>
  <si>
    <t>US7134481081</t>
  </si>
  <si>
    <t>Pfizer</t>
  </si>
  <si>
    <t>US7170811035</t>
  </si>
  <si>
    <t>Philip Morris</t>
  </si>
  <si>
    <t>US7181721090</t>
  </si>
  <si>
    <t>Procter &amp; Gamble</t>
  </si>
  <si>
    <t>US7427181091</t>
  </si>
  <si>
    <t>Verizon Communications</t>
  </si>
  <si>
    <t>US92343V1044</t>
  </si>
  <si>
    <t>Wal-Mart Stores</t>
  </si>
  <si>
    <t>US9311421039</t>
  </si>
  <si>
    <t>Anheuser-Busch InBev</t>
  </si>
  <si>
    <t>z_BE0003793107</t>
  </si>
  <si>
    <t>Lindt &amp; Sprüngli</t>
  </si>
  <si>
    <t>z_CH0010570759</t>
  </si>
  <si>
    <t>Syngenta</t>
  </si>
  <si>
    <t>z_CH0011037469</t>
  </si>
  <si>
    <t>Henkel</t>
  </si>
  <si>
    <t>z_DE0006048432</t>
  </si>
  <si>
    <t>L'Oreal</t>
  </si>
  <si>
    <t>z_FR0000120321</t>
  </si>
  <si>
    <t>Sanofi</t>
  </si>
  <si>
    <t>z_FR0000120578</t>
  </si>
  <si>
    <t>Diageo</t>
  </si>
  <si>
    <t>z_GB0002374006</t>
  </si>
  <si>
    <t>Sabmiller</t>
  </si>
  <si>
    <t>z_GB0004835483</t>
  </si>
  <si>
    <t>GlaxoSmithKline</t>
  </si>
  <si>
    <t>z_GB0009252882</t>
  </si>
  <si>
    <t>Reckitt Benckiser</t>
  </si>
  <si>
    <t>z_GB00B24CGK77</t>
  </si>
  <si>
    <t>Altria</t>
  </si>
  <si>
    <t>z_US02209S1033</t>
  </si>
  <si>
    <t>AIG</t>
  </si>
  <si>
    <t>z_US0268747849</t>
  </si>
  <si>
    <t>Blackrock</t>
  </si>
  <si>
    <t>z_US09247X1019</t>
  </si>
  <si>
    <t>General Mills</t>
  </si>
  <si>
    <t>z_US3703341046</t>
  </si>
  <si>
    <t>Kimberly-Clark</t>
  </si>
  <si>
    <t>z_US4943681035</t>
  </si>
  <si>
    <t>Jahr - 1</t>
  </si>
  <si>
    <t>Jahr - 2</t>
  </si>
  <si>
    <t>Jahr - 3</t>
  </si>
  <si>
    <t>Jahr - 4</t>
  </si>
  <si>
    <t>Jahr - 5</t>
  </si>
  <si>
    <t>Jahr - 6</t>
  </si>
  <si>
    <t>Jahr - 7</t>
  </si>
  <si>
    <t>Jahr - 8</t>
  </si>
  <si>
    <t>Jahr - 9</t>
  </si>
  <si>
    <t>Jahr - 10</t>
  </si>
  <si>
    <t>Jahr + 1</t>
  </si>
  <si>
    <t>Jahr + 0</t>
  </si>
  <si>
    <t>Median</t>
  </si>
  <si>
    <t>Tage</t>
  </si>
  <si>
    <t>Abweichung Median</t>
  </si>
  <si>
    <t>KGV
Abweichung</t>
  </si>
  <si>
    <t>KGV
+360d</t>
  </si>
  <si>
    <t>DR
+360d</t>
  </si>
  <si>
    <t>DR
Abweichung</t>
  </si>
  <si>
    <t>Quote
+360d</t>
  </si>
  <si>
    <t>Quote
Mittel 10y</t>
  </si>
  <si>
    <t>Quote
Abweichung</t>
  </si>
  <si>
    <t>Ergebnis
+360d</t>
  </si>
  <si>
    <t>Ergebnis
Abweichung</t>
  </si>
  <si>
    <t>Mittelwert</t>
  </si>
  <si>
    <t>Abweichung Mittelwert</t>
  </si>
  <si>
    <t>Abweichung zum Vorjahr</t>
  </si>
  <si>
    <t>Größte Abweichung Vorjahr</t>
  </si>
  <si>
    <t>Ergebnis+360d
nach Einbruch</t>
  </si>
  <si>
    <t>Bewertung</t>
  </si>
  <si>
    <t>DR+360d</t>
  </si>
  <si>
    <t>DR Abweichung</t>
  </si>
  <si>
    <t>Quote Abweichung</t>
  </si>
  <si>
    <t>Ergebnis Abweichung</t>
  </si>
  <si>
    <t>Punkte von</t>
  </si>
  <si>
    <t>Punkte bis</t>
  </si>
  <si>
    <t>Gesamtkennzahl</t>
  </si>
  <si>
    <t>Punkte</t>
  </si>
  <si>
    <t>Grenze (&lt;)</t>
  </si>
  <si>
    <t>KGV Abweichung</t>
  </si>
  <si>
    <t>Quote+360d</t>
  </si>
  <si>
    <t>Abweichung KGV+360d nach Einbruch vom Median</t>
  </si>
  <si>
    <t>Abweichung Ergebnis+360d nach Einbruch von Mittel</t>
  </si>
  <si>
    <t>Größter Ergebniseinbruch 10y</t>
  </si>
  <si>
    <t>DR Mittel 10y</t>
  </si>
  <si>
    <t>Jahr</t>
  </si>
  <si>
    <t>KGV original</t>
  </si>
  <si>
    <t>KGV bereinigt</t>
  </si>
  <si>
    <t>EPS original</t>
  </si>
  <si>
    <t>EPS bereinigt</t>
  </si>
  <si>
    <t>Punkte original</t>
  </si>
  <si>
    <t>Punkte bereinigt</t>
  </si>
  <si>
    <t>DE0006048432</t>
  </si>
  <si>
    <t>BE0003793107</t>
  </si>
  <si>
    <t>US02209S1033</t>
  </si>
  <si>
    <t>Dividende original</t>
  </si>
  <si>
    <t>Dividende bereinigt</t>
  </si>
  <si>
    <t>Stand Kennzahlen</t>
  </si>
  <si>
    <t>Abweichung KGV+360d
nach Einbruch
vom Median</t>
  </si>
  <si>
    <t>KGV+360d
nach
Einbruch</t>
  </si>
  <si>
    <t>Größter
Ergebniseinbruch
10y</t>
  </si>
  <si>
    <t>Abweichung
Ergebnis+360d nach
Einbruch von Mittel</t>
  </si>
  <si>
    <t>Buchwert
+360d</t>
  </si>
  <si>
    <t>Buchwert
Abweichung</t>
  </si>
  <si>
    <t>Buchwert+360d
nach Einbruch</t>
  </si>
  <si>
    <t>Abweichung
Buchwert+360d nach
Einbruch von Mittel</t>
  </si>
  <si>
    <t>Größter Buch-
werteinbruch
10y</t>
  </si>
  <si>
    <t>KGV
Median
10y</t>
  </si>
  <si>
    <t>Buchwert
Mittel
10y</t>
  </si>
  <si>
    <t>Ergebnis
Mittel
10y</t>
  </si>
  <si>
    <t>DR
Mittel
10y</t>
  </si>
  <si>
    <t>Quote
Mittel
10y</t>
  </si>
  <si>
    <t>Größter Buchwerteinbruch 10y</t>
  </si>
  <si>
    <t>Abweichung Buchwert+360d
nach Einbruch von Mittel</t>
  </si>
  <si>
    <t>Kontrolle</t>
  </si>
  <si>
    <t>ARK-1y</t>
  </si>
  <si>
    <t>ARK Mittel 10y</t>
  </si>
  <si>
    <t>ARK Abweichung</t>
  </si>
  <si>
    <t>ARK
-1y</t>
  </si>
  <si>
    <t>ARK
Mittel
10y</t>
  </si>
  <si>
    <t>ARK
Abweichung</t>
  </si>
  <si>
    <t>KGV+360d</t>
  </si>
  <si>
    <t>Ergebnis+360d</t>
  </si>
  <si>
    <t>Dividende+360d</t>
  </si>
  <si>
    <t>Buchwert+360d</t>
  </si>
  <si>
    <t>Buchwert original</t>
  </si>
  <si>
    <t>Buchwert bereinigt</t>
  </si>
  <si>
    <t>Basis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</si>
</sst>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0_ ;[Red]\-#,##0.00\ "/>
    <numFmt numFmtId="165" formatCode="#,##0_ ;[Red]\-#,##0\ "/>
    <numFmt numFmtId="166" formatCode="0.000%"/>
    <numFmt numFmtId="167" formatCode="#,##0.000_ ;[Red]\-#,##0.000\ "/>
    <numFmt numFmtId="168" formatCode="0.000"/>
    <numFmt numFmtId="169" formatCode="#,##0.0_ ;[Red]\-#,##0.0\ "/>
    <numFmt numFmtId="170" formatCode="0.0"/>
    <numFmt numFmtId="171" formatCode="0.0_ ;[Red]\-0.0\ "/>
    <numFmt numFmtId="172" formatCode="0.000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164" fontId="0" fillId="0" borderId="0" xfId="0" applyNumberFormat="1"/>
    <xf numFmtId="164" fontId="0" fillId="2" borderId="0" xfId="0" applyNumberFormat="1" applyFill="1"/>
    <xf numFmtId="165" fontId="0" fillId="2" borderId="0" xfId="0" applyNumberFormat="1" applyFill="1"/>
    <xf numFmtId="166" fontId="0" fillId="2" borderId="0" xfId="0" applyNumberFormat="1" applyFill="1"/>
    <xf numFmtId="164" fontId="0" fillId="3" borderId="0" xfId="0" applyNumberFormat="1" applyFill="1"/>
    <xf numFmtId="0" fontId="2" fillId="0" borderId="0" xfId="0" applyFont="1" applyBorder="1" applyAlignment="1">
      <alignment wrapText="1"/>
    </xf>
    <xf numFmtId="0" fontId="2" fillId="0" borderId="0" xfId="0" applyFont="1" applyFill="1" applyBorder="1" applyAlignment="1">
      <alignment wrapText="1"/>
    </xf>
    <xf numFmtId="10" fontId="0" fillId="0" borderId="0" xfId="0" applyNumberFormat="1"/>
    <xf numFmtId="10" fontId="0" fillId="3" borderId="0" xfId="0" applyNumberFormat="1" applyFill="1"/>
    <xf numFmtId="10" fontId="0" fillId="2" borderId="0" xfId="0" applyNumberFormat="1" applyFill="1"/>
    <xf numFmtId="167" fontId="0" fillId="0" borderId="0" xfId="0" applyNumberFormat="1" applyBorder="1"/>
    <xf numFmtId="166" fontId="0" fillId="0" borderId="0" xfId="1" applyNumberFormat="1" applyFont="1" applyBorder="1"/>
    <xf numFmtId="167" fontId="0" fillId="0" borderId="0" xfId="0" applyNumberFormat="1"/>
    <xf numFmtId="167" fontId="0" fillId="3" borderId="0" xfId="0" applyNumberFormat="1" applyFill="1"/>
    <xf numFmtId="167" fontId="0" fillId="2" borderId="0" xfId="0" applyNumberFormat="1" applyFill="1"/>
    <xf numFmtId="167" fontId="0" fillId="0" borderId="0" xfId="1" applyNumberFormat="1" applyFont="1" applyBorder="1"/>
    <xf numFmtId="166" fontId="0" fillId="2" borderId="0" xfId="1" applyNumberFormat="1" applyFont="1" applyFill="1"/>
    <xf numFmtId="168" fontId="0" fillId="0" borderId="0" xfId="0" applyNumberFormat="1" applyBorder="1"/>
    <xf numFmtId="165" fontId="0" fillId="0" borderId="0" xfId="0" applyNumberFormat="1"/>
    <xf numFmtId="169" fontId="0" fillId="5" borderId="0" xfId="0" applyNumberFormat="1" applyFill="1"/>
    <xf numFmtId="170" fontId="0" fillId="5" borderId="0" xfId="0" applyNumberFormat="1" applyFill="1"/>
    <xf numFmtId="10" fontId="0" fillId="5" borderId="0" xfId="1" applyNumberFormat="1" applyFont="1" applyFill="1"/>
    <xf numFmtId="169" fontId="0" fillId="4" borderId="0" xfId="0" applyNumberFormat="1" applyFill="1"/>
    <xf numFmtId="170" fontId="0" fillId="4" borderId="0" xfId="0" applyNumberFormat="1" applyFill="1"/>
    <xf numFmtId="10" fontId="0" fillId="4" borderId="0" xfId="1" applyNumberFormat="1" applyFont="1" applyFill="1"/>
    <xf numFmtId="169" fontId="0" fillId="7" borderId="0" xfId="0" applyNumberFormat="1" applyFill="1"/>
    <xf numFmtId="170" fontId="0" fillId="7" borderId="0" xfId="0" applyNumberFormat="1" applyFill="1"/>
    <xf numFmtId="10" fontId="0" fillId="7" borderId="0" xfId="1" applyNumberFormat="1" applyFont="1" applyFill="1"/>
    <xf numFmtId="170" fontId="0" fillId="6" borderId="0" xfId="0" applyNumberFormat="1" applyFill="1"/>
    <xf numFmtId="10" fontId="0" fillId="6" borderId="0" xfId="1" applyNumberFormat="1" applyFont="1" applyFill="1"/>
    <xf numFmtId="169" fontId="0" fillId="6" borderId="0" xfId="0" applyNumberFormat="1" applyFill="1"/>
    <xf numFmtId="170" fontId="0" fillId="8" borderId="0" xfId="0" applyNumberFormat="1" applyFill="1"/>
    <xf numFmtId="10" fontId="0" fillId="8" borderId="0" xfId="1" applyNumberFormat="1" applyFont="1" applyFill="1"/>
    <xf numFmtId="169" fontId="0" fillId="8" borderId="0" xfId="0" applyNumberFormat="1" applyFill="1"/>
    <xf numFmtId="171" fontId="0" fillId="0" borderId="0" xfId="0" applyNumberFormat="1" applyBorder="1"/>
    <xf numFmtId="164" fontId="2" fillId="0" borderId="0" xfId="0" applyNumberFormat="1" applyFont="1"/>
    <xf numFmtId="169" fontId="2" fillId="0" borderId="0" xfId="0" applyNumberFormat="1" applyFont="1"/>
    <xf numFmtId="169" fontId="0" fillId="0" borderId="0" xfId="0" applyNumberFormat="1"/>
    <xf numFmtId="164" fontId="0" fillId="9" borderId="0" xfId="0" applyNumberFormat="1" applyFill="1"/>
    <xf numFmtId="167" fontId="0" fillId="9" borderId="0" xfId="0" applyNumberFormat="1" applyFill="1"/>
    <xf numFmtId="0" fontId="2" fillId="3" borderId="0" xfId="0" applyFont="1" applyFill="1" applyBorder="1" applyAlignment="1"/>
    <xf numFmtId="0" fontId="2" fillId="0" borderId="0" xfId="0" applyFont="1" applyBorder="1"/>
    <xf numFmtId="0" fontId="0" fillId="0" borderId="0" xfId="0" applyBorder="1"/>
    <xf numFmtId="0" fontId="2" fillId="0" borderId="0" xfId="0" applyFont="1" applyFill="1" applyBorder="1" applyAlignment="1"/>
    <xf numFmtId="166" fontId="0" fillId="0" borderId="0" xfId="0" applyNumberFormat="1" applyBorder="1"/>
    <xf numFmtId="169" fontId="0" fillId="0" borderId="0" xfId="0" applyNumberFormat="1" applyBorder="1"/>
    <xf numFmtId="14" fontId="2" fillId="0" borderId="0" xfId="0" applyNumberFormat="1" applyFont="1" applyBorder="1"/>
    <xf numFmtId="0" fontId="3" fillId="3" borderId="0" xfId="0" applyFont="1" applyFill="1" applyBorder="1" applyAlignment="1">
      <alignment vertical="center" textRotation="90"/>
    </xf>
    <xf numFmtId="0" fontId="2" fillId="3" borderId="0" xfId="0" applyFont="1" applyFill="1" applyBorder="1"/>
    <xf numFmtId="0" fontId="2" fillId="3" borderId="0" xfId="0" applyFont="1" applyFill="1" applyBorder="1" applyAlignment="1">
      <alignment wrapText="1"/>
    </xf>
    <xf numFmtId="170" fontId="0" fillId="0" borderId="0" xfId="0" applyNumberFormat="1"/>
    <xf numFmtId="172" fontId="0" fillId="5" borderId="0" xfId="1" applyNumberFormat="1" applyFont="1" applyFill="1"/>
    <xf numFmtId="172" fontId="0" fillId="4" borderId="0" xfId="1" applyNumberFormat="1" applyFont="1" applyFill="1"/>
    <xf numFmtId="172" fontId="0" fillId="7" borderId="0" xfId="1" applyNumberFormat="1" applyFont="1" applyFill="1"/>
    <xf numFmtId="172" fontId="0" fillId="6" borderId="0" xfId="1" applyNumberFormat="1" applyFont="1" applyFill="1"/>
    <xf numFmtId="172" fontId="0" fillId="8" borderId="0" xfId="1" applyNumberFormat="1" applyFont="1" applyFill="1"/>
    <xf numFmtId="169" fontId="0" fillId="0" borderId="0" xfId="1" applyNumberFormat="1" applyFont="1" applyBorder="1"/>
    <xf numFmtId="0" fontId="2" fillId="3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2">
    <cellStyle name="Prozent" xfId="1" builtinId="5"/>
    <cellStyle name="Standard" xfId="0" builtinId="0"/>
  </cellStyles>
  <dxfs count="90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7"/>
  <sheetViews>
    <sheetView tabSelected="1" zoomScale="60" zoomScaleNormal="60" workbookViewId="0"/>
  </sheetViews>
  <sheetFormatPr baseColWidth="10" defaultRowHeight="15" outlineLevelCol="1" x14ac:dyDescent="0.25"/>
  <cols>
    <col min="1" max="1" width="28" style="44" customWidth="1"/>
    <col min="2" max="2" width="20.85546875" style="44" customWidth="1"/>
    <col min="3" max="3" width="18.42578125" style="44" bestFit="1" customWidth="1"/>
    <col min="4" max="4" width="4.7109375" style="44" customWidth="1"/>
    <col min="5" max="5" width="12.7109375" style="44" hidden="1" customWidth="1" outlineLevel="1"/>
    <col min="6" max="6" width="14.7109375" style="44" hidden="1" customWidth="1" outlineLevel="1"/>
    <col min="7" max="7" width="20.140625" style="44" hidden="1" customWidth="1" outlineLevel="1"/>
    <col min="8" max="8" width="18" style="44" hidden="1" customWidth="1" outlineLevel="1"/>
    <col min="9" max="9" width="33.42578125" style="44" hidden="1" customWidth="1" outlineLevel="1"/>
    <col min="10" max="10" width="20.140625" style="44" customWidth="1" collapsed="1"/>
    <col min="11" max="11" width="33.42578125" style="44" bestFit="1" customWidth="1"/>
    <col min="12" max="12" width="4.7109375" style="44" customWidth="1"/>
    <col min="13" max="14" width="17" style="44" hidden="1" customWidth="1" outlineLevel="1"/>
    <col min="15" max="15" width="20.140625" style="44" hidden="1" customWidth="1" outlineLevel="1"/>
    <col min="16" max="16" width="23" style="44" hidden="1" customWidth="1" outlineLevel="1"/>
    <col min="17" max="17" width="24.140625" style="44" hidden="1" customWidth="1" outlineLevel="1"/>
    <col min="18" max="18" width="30.85546875" style="44" hidden="1" customWidth="1" outlineLevel="1"/>
    <col min="19" max="19" width="20.140625" style="44" bestFit="1" customWidth="1" collapsed="1"/>
    <col min="20" max="20" width="23" style="44" customWidth="1"/>
    <col min="21" max="21" width="30.85546875" style="44" bestFit="1" customWidth="1"/>
    <col min="22" max="22" width="4.7109375" style="44" customWidth="1"/>
    <col min="23" max="24" width="16.28515625" style="44" hidden="1" customWidth="1" outlineLevel="1"/>
    <col min="25" max="25" width="20.140625" style="44" hidden="1" customWidth="1" outlineLevel="1"/>
    <col min="26" max="26" width="26.85546875" style="44" hidden="1" customWidth="1" outlineLevel="1"/>
    <col min="27" max="27" width="23.28515625" style="44" hidden="1" customWidth="1" outlineLevel="1"/>
    <col min="28" max="28" width="30.140625" style="44" hidden="1" customWidth="1" outlineLevel="1"/>
    <col min="29" max="29" width="20.140625" style="44" customWidth="1" collapsed="1"/>
    <col min="30" max="30" width="26.85546875" style="44" bestFit="1" customWidth="1"/>
    <col min="31" max="31" width="30.140625" style="44" bestFit="1" customWidth="1"/>
    <col min="32" max="32" width="4.7109375" style="44" customWidth="1"/>
    <col min="33" max="33" width="12.7109375" style="44" hidden="1" customWidth="1" outlineLevel="1"/>
    <col min="34" max="34" width="13" style="44" hidden="1" customWidth="1" outlineLevel="1"/>
    <col min="35" max="35" width="20.140625" style="44" hidden="1" customWidth="1" outlineLevel="1"/>
    <col min="36" max="36" width="12.7109375" style="44" customWidth="1" collapsed="1"/>
    <col min="37" max="37" width="13" style="44" bestFit="1" customWidth="1"/>
    <col min="38" max="38" width="20.140625" style="44" customWidth="1"/>
    <col min="39" max="39" width="4.7109375" style="44" customWidth="1"/>
    <col min="40" max="40" width="11.28515625" style="44" hidden="1" customWidth="1" outlineLevel="1"/>
    <col min="41" max="41" width="13" style="44" hidden="1" customWidth="1" outlineLevel="1"/>
    <col min="42" max="42" width="20.140625" style="44" hidden="1" customWidth="1" outlineLevel="1"/>
    <col min="43" max="43" width="11.28515625" style="44" bestFit="1" customWidth="1" collapsed="1"/>
    <col min="44" max="44" width="13" style="44" bestFit="1" customWidth="1"/>
    <col min="45" max="45" width="20.140625" style="44" bestFit="1" customWidth="1"/>
    <col min="46" max="46" width="4.7109375" style="44" customWidth="1"/>
    <col min="47" max="47" width="13.28515625" style="44" hidden="1" customWidth="1" outlineLevel="1"/>
    <col min="48" max="48" width="17.28515625" style="44" hidden="1" customWidth="1" outlineLevel="1"/>
    <col min="49" max="49" width="20.140625" style="44" hidden="1" customWidth="1" outlineLevel="1"/>
    <col min="50" max="50" width="13.28515625" style="44" bestFit="1" customWidth="1" collapsed="1"/>
    <col min="51" max="51" width="13.28515625" style="44" bestFit="1" customWidth="1"/>
    <col min="52" max="52" width="20.140625" style="44" customWidth="1"/>
    <col min="53" max="16384" width="11.42578125" style="44"/>
  </cols>
  <sheetData>
    <row r="1" spans="1:52" x14ac:dyDescent="0.25">
      <c r="A1" s="43" t="s">
        <v>189</v>
      </c>
      <c r="B1" s="48">
        <v>41841</v>
      </c>
      <c r="C1" s="43"/>
      <c r="D1" s="50"/>
      <c r="E1" s="45"/>
      <c r="F1" s="45"/>
      <c r="G1" s="45"/>
      <c r="H1" s="45"/>
      <c r="I1" s="45"/>
      <c r="J1" s="59" t="str">
        <f>CONCATENATE("Preis (",Bewertung_Stammdaten!A11+Bewertung_Stammdaten!M11," von ",Bewertung_Stammdaten!B7,")")</f>
        <v>Preis (30 von 175)</v>
      </c>
      <c r="K1" s="59"/>
      <c r="L1" s="42"/>
      <c r="M1" s="45"/>
      <c r="N1" s="45"/>
      <c r="O1" s="45"/>
      <c r="P1" s="45"/>
      <c r="Q1" s="45"/>
      <c r="R1" s="45"/>
      <c r="S1" s="59" t="str">
        <f>CONCATENATE("Wert (",Bewertung_Stammdaten!C33+Bewertung_Stammdaten!E33+Bewertung_Stammdaten!G33," von ",Bewertung_Stammdaten!B7,")")</f>
        <v>Wert (45 von 175)</v>
      </c>
      <c r="T1" s="59"/>
      <c r="U1" s="59"/>
      <c r="V1" s="42"/>
      <c r="W1" s="45"/>
      <c r="X1" s="45"/>
      <c r="Y1" s="45"/>
      <c r="Z1" s="45"/>
      <c r="AA1" s="45"/>
      <c r="AB1" s="45"/>
      <c r="AC1" s="59" t="str">
        <f>CONCATENATE("Ergebnis (",Bewertung_Stammdaten!K20+Bewertung_Stammdaten!O20+Bewertung_Stammdaten!Q20," von ",Bewertung_Stammdaten!B7,")")</f>
        <v>Ergebnis (40 von 175)</v>
      </c>
      <c r="AD1" s="59"/>
      <c r="AE1" s="59"/>
      <c r="AF1" s="42"/>
      <c r="AG1" s="45"/>
      <c r="AH1" s="45"/>
      <c r="AI1" s="45"/>
      <c r="AJ1" s="59" t="str">
        <f>CONCATENATE("Dividendenrendite (",Bewertung_Stammdaten!C20+Bewertung_Stammdaten!E20+Bewertung_Stammdaten!S20," von ",Bewertung_Stammdaten!B7,")")</f>
        <v>Dividendenrendite (30 von 175)</v>
      </c>
      <c r="AK1" s="59"/>
      <c r="AL1" s="59"/>
      <c r="AM1" s="42"/>
      <c r="AN1" s="45"/>
      <c r="AO1" s="45"/>
      <c r="AP1" s="45"/>
      <c r="AQ1" s="59" t="str">
        <f>CONCATENATE("Aktienrückkäufe (",Bewertung_Stammdaten!I24+Bewertung_Stammdaten!K24+Bewertung_Stammdaten!M33," von ",Bewertung_Stammdaten!B7,")")</f>
        <v>Aktienrückkäufe (15 von 175)</v>
      </c>
      <c r="AR1" s="59"/>
      <c r="AS1" s="59"/>
      <c r="AT1" s="42"/>
      <c r="AU1" s="45"/>
      <c r="AV1" s="45"/>
      <c r="AW1" s="45"/>
      <c r="AX1" s="59" t="str">
        <f>CONCATENATE("Ausschüttungsquote (",Bewertung_Stammdaten!G11+Bewertung_Stammdaten!I11+Bewertung_Stammdaten!A24," von ",Bewertung_Stammdaten!B7,")")</f>
        <v>Ausschüttungsquote (15 von 175)</v>
      </c>
      <c r="AY1" s="59"/>
      <c r="AZ1" s="59"/>
    </row>
    <row r="2" spans="1:52" ht="45" customHeight="1" x14ac:dyDescent="0.25">
      <c r="A2" s="43" t="s">
        <v>0</v>
      </c>
      <c r="B2" s="43" t="s">
        <v>1</v>
      </c>
      <c r="C2" s="43" t="s">
        <v>161</v>
      </c>
      <c r="D2" s="50"/>
      <c r="E2" s="7" t="s">
        <v>148</v>
      </c>
      <c r="F2" s="7" t="s">
        <v>199</v>
      </c>
      <c r="G2" s="7" t="s">
        <v>147</v>
      </c>
      <c r="H2" s="8" t="s">
        <v>191</v>
      </c>
      <c r="I2" s="8" t="s">
        <v>190</v>
      </c>
      <c r="J2" s="7" t="s">
        <v>147</v>
      </c>
      <c r="K2" s="8" t="s">
        <v>190</v>
      </c>
      <c r="L2" s="51"/>
      <c r="M2" s="8" t="s">
        <v>194</v>
      </c>
      <c r="N2" s="8" t="s">
        <v>200</v>
      </c>
      <c r="O2" s="8" t="s">
        <v>195</v>
      </c>
      <c r="P2" s="8" t="s">
        <v>198</v>
      </c>
      <c r="Q2" s="8" t="s">
        <v>196</v>
      </c>
      <c r="R2" s="8" t="s">
        <v>197</v>
      </c>
      <c r="S2" s="8" t="s">
        <v>195</v>
      </c>
      <c r="T2" s="8" t="s">
        <v>198</v>
      </c>
      <c r="U2" s="8" t="s">
        <v>197</v>
      </c>
      <c r="V2" s="51"/>
      <c r="W2" s="8" t="s">
        <v>154</v>
      </c>
      <c r="X2" s="8" t="s">
        <v>201</v>
      </c>
      <c r="Y2" s="8" t="s">
        <v>155</v>
      </c>
      <c r="Z2" s="8" t="s">
        <v>192</v>
      </c>
      <c r="AA2" s="8" t="s">
        <v>160</v>
      </c>
      <c r="AB2" s="8" t="s">
        <v>193</v>
      </c>
      <c r="AC2" s="8" t="s">
        <v>155</v>
      </c>
      <c r="AD2" s="8" t="s">
        <v>192</v>
      </c>
      <c r="AE2" s="8" t="s">
        <v>193</v>
      </c>
      <c r="AF2" s="51"/>
      <c r="AG2" s="8" t="s">
        <v>149</v>
      </c>
      <c r="AH2" s="8" t="s">
        <v>202</v>
      </c>
      <c r="AI2" s="8" t="s">
        <v>150</v>
      </c>
      <c r="AJ2" s="8" t="s">
        <v>149</v>
      </c>
      <c r="AK2" s="8" t="s">
        <v>202</v>
      </c>
      <c r="AL2" s="8" t="s">
        <v>150</v>
      </c>
      <c r="AM2" s="51"/>
      <c r="AN2" s="8" t="s">
        <v>210</v>
      </c>
      <c r="AO2" s="8" t="s">
        <v>211</v>
      </c>
      <c r="AP2" s="8" t="s">
        <v>212</v>
      </c>
      <c r="AQ2" s="8" t="s">
        <v>210</v>
      </c>
      <c r="AR2" s="8" t="s">
        <v>211</v>
      </c>
      <c r="AS2" s="8" t="s">
        <v>212</v>
      </c>
      <c r="AT2" s="51"/>
      <c r="AU2" s="8" t="s">
        <v>151</v>
      </c>
      <c r="AV2" s="8" t="s">
        <v>203</v>
      </c>
      <c r="AW2" s="8" t="s">
        <v>153</v>
      </c>
      <c r="AX2" s="8" t="s">
        <v>151</v>
      </c>
      <c r="AY2" s="8" t="s">
        <v>203</v>
      </c>
      <c r="AZ2" s="8" t="s">
        <v>153</v>
      </c>
    </row>
    <row r="3" spans="1:52" x14ac:dyDescent="0.25">
      <c r="A3" s="44" t="s">
        <v>2</v>
      </c>
      <c r="B3" s="44" t="s">
        <v>3</v>
      </c>
      <c r="C3" s="36">
        <f t="shared" ref="C3:C34" ca="1" si="0">SUM(J3:K3,S3:U3,AC3:AE3,AJ3:AL3,AQ3:AS3,AX3:AZ3)</f>
        <v>89</v>
      </c>
      <c r="D3" s="49"/>
      <c r="E3" s="12">
        <f ca="1">VLOOKUP(A3,KGV!A3:S68,18,FALSE)</f>
        <v>19.835555555555555</v>
      </c>
      <c r="F3" s="12">
        <f>VLOOKUP(A3,KGV!A3:S68,15,FALSE)</f>
        <v>16.575000000000003</v>
      </c>
      <c r="G3" s="13">
        <f ca="1">VLOOKUP(A3,KGV!A3:S68,19,FALSE)</f>
        <v>0.19671526730350242</v>
      </c>
      <c r="H3" s="19">
        <f t="shared" ref="H3:H34" ca="1" si="1">IF(Z3&gt;0,E3,IF(E3/(1+Z3)&lt;0,99,E3/(1+Z3)))</f>
        <v>22.354356261022925</v>
      </c>
      <c r="I3" s="13">
        <f t="shared" ref="I3:I34" ca="1" si="2">(H3/F3)-1</f>
        <v>0.34867911077061375</v>
      </c>
      <c r="J3" s="36">
        <f ca="1">IF(G3&lt;Bewertung_Stammdaten!B$11,Bewertung_Stammdaten!A$11,IF(G3&lt;Bewertung_Stammdaten!B$12,Bewertung_Stammdaten!A$12,IF(G3&lt;Bewertung_Stammdaten!B$13,Bewertung_Stammdaten!A$13,IF(G3&lt;Bewertung_Stammdaten!B$14,Bewertung_Stammdaten!A$14,IF(G3&lt;Bewertung_Stammdaten!B$15,Bewertung_Stammdaten!A$15,IF(G3&lt;Bewertung_Stammdaten!B$16,Bewertung_Stammdaten!A$16,IF(G3&lt;Bewertung_Stammdaten!B$17,Bewertung_Stammdaten!A$17,IF(G3&lt;Bewertung_Stammdaten!B$18,Bewertung_Stammdaten!A$18,IF(G3&lt;Bewertung_Stammdaten!B$19,Bewertung_Stammdaten!A$19,Bewertung_Stammdaten!A$20)))))))))</f>
        <v>4</v>
      </c>
      <c r="K3" s="36">
        <f ca="1">IF(I3&lt;Bewertung_Stammdaten!N$11,Bewertung_Stammdaten!M$11,IF(I3&lt;Bewertung_Stammdaten!N$12,Bewertung_Stammdaten!M$12,IF(I3&lt;Bewertung_Stammdaten!N$13,Bewertung_Stammdaten!M$13,IF(I3&lt;Bewertung_Stammdaten!N$14,Bewertung_Stammdaten!M$14,IF(I3&lt;Bewertung_Stammdaten!N$15,Bewertung_Stammdaten!M$15,IF(I3&lt;Bewertung_Stammdaten!N$16,Bewertung_Stammdaten!M$16,IF(I3&lt;Bewertung_Stammdaten!N$17,Bewertung_Stammdaten!M$17,IF(I3&lt;Bewertung_Stammdaten!N$18,Bewertung_Stammdaten!M$18,IF(I3&lt;Bewertung_Stammdaten!N$19,Bewertung_Stammdaten!M$19,Bewertung_Stammdaten!M$20)))))))))</f>
        <v>1</v>
      </c>
      <c r="L3" s="49"/>
      <c r="M3" s="12">
        <f ca="1">VLOOKUP(A3,Buchwert_je_Aktie!A3:AC68,18,FALSE)</f>
        <v>31.841111111111111</v>
      </c>
      <c r="N3" s="12">
        <f>VLOOKUP(A3,Buchwert_je_Aktie!A3:AC68,15,FALSE)</f>
        <v>20.383000000000003</v>
      </c>
      <c r="O3" s="13">
        <f ca="1">VLOOKUP(A3,Buchwert_je_Aktie!A3:AC68,19,FALSE)</f>
        <v>0.56214056375955979</v>
      </c>
      <c r="P3" s="13">
        <f>VLOOKUP(A3,Buchwert_je_Aktie!A3:AC68,29,FALSE)</f>
        <v>-0.12753623188405805</v>
      </c>
      <c r="Q3" s="19">
        <f ca="1">IF(P3&gt;0,M3,IF(M3&lt;0,ABS(M3)*(1+P3),M3*(1+P3)))</f>
        <v>27.780215780998386</v>
      </c>
      <c r="R3" s="13">
        <f t="shared" ref="R3:R66" ca="1" si="3">IF(N3&gt;0,(Q3/N3)-1,-99.99999)</f>
        <v>0.3629110425844273</v>
      </c>
      <c r="S3" s="58">
        <f ca="1">IF(O3&lt;Bewertung_Stammdaten!D$24,Bewertung_Stammdaten!C$24,IF(O3&lt;Bewertung_Stammdaten!D$25,Bewertung_Stammdaten!C$25,IF(O3&lt;Bewertung_Stammdaten!D$26,Bewertung_Stammdaten!C$26,IF(O3&lt;Bewertung_Stammdaten!D$27,Bewertung_Stammdaten!C$27,IF(O3&lt;Bewertung_Stammdaten!D$28,Bewertung_Stammdaten!C$28,IF(O3&lt;Bewertung_Stammdaten!D$29,Bewertung_Stammdaten!C$29,IF(O3&lt;Bewertung_Stammdaten!D$30,Bewertung_Stammdaten!C$30,IF(O3&lt;Bewertung_Stammdaten!D$31,Bewertung_Stammdaten!C$31,IF(O3&lt;Bewertung_Stammdaten!D$32,Bewertung_Stammdaten!C$32,Bewertung_Stammdaten!C$33)))))))))</f>
        <v>14</v>
      </c>
      <c r="T3" s="58">
        <f>IF(P3&lt;Bewertung_Stammdaten!F$24,Bewertung_Stammdaten!E$24,IF(P3&lt;Bewertung_Stammdaten!F$25,Bewertung_Stammdaten!E$25,IF(P3&lt;Bewertung_Stammdaten!F$26,Bewertung_Stammdaten!E$26,IF(P3&lt;Bewertung_Stammdaten!F$27,Bewertung_Stammdaten!E$27,IF(P3&lt;Bewertung_Stammdaten!F$28,Bewertung_Stammdaten!E$28,IF(P3&lt;Bewertung_Stammdaten!F$29,Bewertung_Stammdaten!E$29,IF(P3&lt;Bewertung_Stammdaten!F$30,Bewertung_Stammdaten!E$30,IF(P3&lt;Bewertung_Stammdaten!F$31,Bewertung_Stammdaten!E$31,IF(P3&lt;Bewertung_Stammdaten!F$32,Bewertung_Stammdaten!E$32,Bewertung_Stammdaten!E$33)))))))))</f>
        <v>7.5</v>
      </c>
      <c r="U3" s="58">
        <f ca="1">IF(R3&lt;Bewertung_Stammdaten!H$24,Bewertung_Stammdaten!G$24,IF(R3&lt;Bewertung_Stammdaten!H$25,Bewertung_Stammdaten!G$25,IF(R3&lt;Bewertung_Stammdaten!H$26,Bewertung_Stammdaten!G$26,IF(R3&lt;Bewertung_Stammdaten!H$27,Bewertung_Stammdaten!G$27,IF(R3&lt;Bewertung_Stammdaten!H$28,Bewertung_Stammdaten!G$28,IF(R3&lt;Bewertung_Stammdaten!H$29,Bewertung_Stammdaten!G$29,IF(R3&lt;Bewertung_Stammdaten!H$30,Bewertung_Stammdaten!G$30,IF(R3&lt;Bewertung_Stammdaten!H$31,Bewertung_Stammdaten!G$31,IF(R3&lt;Bewertung_Stammdaten!H$32,Bewertung_Stammdaten!G$32,Bewertung_Stammdaten!G$33)))))))))</f>
        <v>5</v>
      </c>
      <c r="V3" s="49"/>
      <c r="W3" s="17">
        <f ca="1">VLOOKUP(A3,Ergebnis_je_Aktie_verwässert!A3:S68,18,FALSE)</f>
        <v>4.4669999999999996</v>
      </c>
      <c r="X3" s="17">
        <f>VLOOKUP(A3,Ergebnis_je_Aktie_verwässert!A3:S68,15,FALSE)</f>
        <v>3.4060000000000001</v>
      </c>
      <c r="Y3" s="13">
        <f ca="1">VLOOKUP(A3,Ergebnis_je_Aktie_verwässert!A3:S68,19,FALSE)</f>
        <v>0.31150910158543721</v>
      </c>
      <c r="Z3" s="46">
        <f>VLOOKUP(A3,Ergebnis_je_Aktie_verwässert!A3:AC68,29,FALSE)</f>
        <v>-0.11267605633802813</v>
      </c>
      <c r="AA3" s="19">
        <f t="shared" ref="AA3:AA34" ca="1" si="4">IF(Z3&gt;0,W3,W3*(1+Z3))</f>
        <v>3.963676056338028</v>
      </c>
      <c r="AB3" s="13">
        <f t="shared" ref="AB3:AB34" ca="1" si="5">IF(X3&gt;0,(AA3/X3)-1,-99.99999)</f>
        <v>0.16373342816735992</v>
      </c>
      <c r="AC3" s="36">
        <f ca="1">IF(Y3&lt;Bewertung_Stammdaten!L$11,Bewertung_Stammdaten!K$11,IF(Y3&lt;Bewertung_Stammdaten!L$12,Bewertung_Stammdaten!K$12,IF(Y3&lt;Bewertung_Stammdaten!L$13,Bewertung_Stammdaten!K$13,IF(Y3&lt;Bewertung_Stammdaten!L$14,Bewertung_Stammdaten!K$14,IF(Y3&lt;Bewertung_Stammdaten!L$15,Bewertung_Stammdaten!K$15,IF(Y3&lt;Bewertung_Stammdaten!L$16,Bewertung_Stammdaten!K$16,IF(Y3&lt;Bewertung_Stammdaten!L$17,Bewertung_Stammdaten!K$17,IF(Y3&lt;Bewertung_Stammdaten!L$18,Bewertung_Stammdaten!K$18,IF(Y3&lt;Bewertung_Stammdaten!L$19,Bewertung_Stammdaten!K$19,Bewertung_Stammdaten!K$20)))))))))</f>
        <v>10</v>
      </c>
      <c r="AD3" s="36">
        <f>IF(Z3&lt;Bewertung_Stammdaten!R$11,Bewertung_Stammdaten!Q$11,IF(Z3&lt;Bewertung_Stammdaten!R$12,Bewertung_Stammdaten!Q$12,IF(Z3&lt;Bewertung_Stammdaten!R$13,Bewertung_Stammdaten!Q$13,IF(Z3&lt;Bewertung_Stammdaten!R$14,Bewertung_Stammdaten!Q$14,IF(Z3&lt;Bewertung_Stammdaten!R$15,Bewertung_Stammdaten!Q$15,IF(Z3&lt;Bewertung_Stammdaten!R$16,Bewertung_Stammdaten!Q$16,IF(Z3&lt;Bewertung_Stammdaten!R$17,Bewertung_Stammdaten!Q$17,IF(Z3&lt;Bewertung_Stammdaten!R$18,Bewertung_Stammdaten!Q$18,IF(Z3&lt;Bewertung_Stammdaten!R$19,Bewertung_Stammdaten!Q$19,Bewertung_Stammdaten!Q$20)))))))))</f>
        <v>6</v>
      </c>
      <c r="AE3" s="36">
        <f ca="1">IF(AB3&lt;Bewertung_Stammdaten!P$11,Bewertung_Stammdaten!O$11,IF(AB3&lt;Bewertung_Stammdaten!P$12,Bewertung_Stammdaten!O$12,IF(AB3&lt;Bewertung_Stammdaten!P$13,Bewertung_Stammdaten!O$13,IF(AB3&lt;Bewertung_Stammdaten!P$14,Bewertung_Stammdaten!O$14,IF(AB3&lt;Bewertung_Stammdaten!P$15,Bewertung_Stammdaten!O$15,IF(AB3&lt;Bewertung_Stammdaten!P$16,Bewertung_Stammdaten!O$16,IF(AB3&lt;Bewertung_Stammdaten!P$17,Bewertung_Stammdaten!O$17,IF(AB3&lt;Bewertung_Stammdaten!P$18,Bewertung_Stammdaten!O$18,IF(AB3&lt;Bewertung_Stammdaten!P$19,Bewertung_Stammdaten!O$19,Bewertung_Stammdaten!O$20)))))))))</f>
        <v>3</v>
      </c>
      <c r="AF3" s="49"/>
      <c r="AG3" s="13">
        <f ca="1">VLOOKUP(A3,Dividendenrendite!A3:S68,18,FALSE)</f>
        <v>3.2384999999999997E-2</v>
      </c>
      <c r="AH3" s="13">
        <f>VLOOKUP(A3,Dividendenrendite!A3:S68,15,FALSE)</f>
        <v>3.0689999999999995E-2</v>
      </c>
      <c r="AI3" s="13">
        <f ca="1">VLOOKUP(A3,Dividendenrendite!A3:S68,19,FALSE)</f>
        <v>5.5229716520039274E-2</v>
      </c>
      <c r="AJ3" s="36">
        <f ca="1">IF(AG3&lt;Bewertung_Stammdaten!D$11,Bewertung_Stammdaten!C$11,IF(AG3&lt;Bewertung_Stammdaten!D$12,Bewertung_Stammdaten!C$12,IF(AG3&lt;Bewertung_Stammdaten!D$13,Bewertung_Stammdaten!C$13,IF(AG3&lt;Bewertung_Stammdaten!D$14,Bewertung_Stammdaten!C$14,IF(AG3&lt;Bewertung_Stammdaten!D$15,Bewertung_Stammdaten!C$15,IF(AG3&lt;Bewertung_Stammdaten!D$16,Bewertung_Stammdaten!C$16,IF(AG3&lt;Bewertung_Stammdaten!D$17,Bewertung_Stammdaten!C$17,IF(AG3&lt;Bewertung_Stammdaten!D$18,Bewertung_Stammdaten!C$18,IF(AG3&lt;Bewertung_Stammdaten!D$19,Bewertung_Stammdaten!C$19,Bewertung_Stammdaten!C$20)))))))))</f>
        <v>10.5</v>
      </c>
      <c r="AK3" s="36">
        <f>IF(AH3&lt;Bewertung_Stammdaten!T$11,Bewertung_Stammdaten!S$11,IF(AH3&lt;Bewertung_Stammdaten!T$12,Bewertung_Stammdaten!S$12,IF(AH3&lt;Bewertung_Stammdaten!T$13,Bewertung_Stammdaten!S$13,IF(AH3&lt;Bewertung_Stammdaten!T$14,Bewertung_Stammdaten!S$14,IF(AH3&lt;Bewertung_Stammdaten!T$15,Bewertung_Stammdaten!S$15,IF(AH3&lt;Bewertung_Stammdaten!T$16,Bewertung_Stammdaten!S$16,IF(AH3&lt;Bewertung_Stammdaten!T$17,Bewertung_Stammdaten!S$17,IF(AH3&lt;Bewertung_Stammdaten!T$18,Bewertung_Stammdaten!S$18,IF(AH3&lt;Bewertung_Stammdaten!T$19,Bewertung_Stammdaten!S$19,Bewertung_Stammdaten!S$20)))))))))</f>
        <v>7</v>
      </c>
      <c r="AL3" s="36">
        <f ca="1">IF(AI3&lt;Bewertung_Stammdaten!F$11,Bewertung_Stammdaten!E$11,IF(AI3&lt;Bewertung_Stammdaten!F$12,Bewertung_Stammdaten!E$12,IF(AI3&lt;Bewertung_Stammdaten!F$13,Bewertung_Stammdaten!E$13,IF(AI3&lt;Bewertung_Stammdaten!F$14,Bewertung_Stammdaten!E$14,IF(AI3&lt;Bewertung_Stammdaten!F$15,Bewertung_Stammdaten!E$15,IF(AI3&lt;Bewertung_Stammdaten!F$16,Bewertung_Stammdaten!E$16,IF(AI3&lt;Bewertung_Stammdaten!F$17,Bewertung_Stammdaten!E$17,IF(AI3&lt;Bewertung_Stammdaten!F$18,Bewertung_Stammdaten!E$18,IF(AI3&lt;Bewertung_Stammdaten!F$19,Bewertung_Stammdaten!E$19,Bewertung_Stammdaten!E$20)))))))))</f>
        <v>3.5</v>
      </c>
      <c r="AM3" s="49"/>
      <c r="AN3" s="13">
        <f>VLOOKUP(A3,Aktien_im_Umlauf_splitbereinigt!A3:W68,13,FALSE)</f>
        <v>-0.10347376201034741</v>
      </c>
      <c r="AO3" s="13">
        <f>VLOOKUP(A3,Aktien_im_Umlauf_splitbereinigt!A3:W68,22,FALSE)</f>
        <v>5.2278378085213184E-4</v>
      </c>
      <c r="AP3" s="13">
        <f>VLOOKUP(A3,Aktien_im_Umlauf_splitbereinigt!A3:W68,23,FALSE)</f>
        <v>198.9284090292287</v>
      </c>
      <c r="AQ3" s="47">
        <f>IF(AN3&lt;Bewertung_Stammdaten!J$24,Bewertung_Stammdaten!I$24,IF(AN3&lt;Bewertung_Stammdaten!J$25,Bewertung_Stammdaten!I$25,IF(AN3&lt;Bewertung_Stammdaten!J$26,Bewertung_Stammdaten!I$26,IF(AN3&lt;Bewertung_Stammdaten!J$27,Bewertung_Stammdaten!I$27,IF(AN3&lt;Bewertung_Stammdaten!J$28,Bewertung_Stammdaten!I$28,IF(AN3&lt;Bewertung_Stammdaten!J$29,Bewertung_Stammdaten!I$29,IF(AN3&lt;Bewertung_Stammdaten!J$30,Bewertung_Stammdaten!I$30,IF(AN3&lt;Bewertung_Stammdaten!J$31,Bewertung_Stammdaten!I$31,IF(AN3&lt;Bewertung_Stammdaten!J$32,Bewertung_Stammdaten!I$32,Bewertung_Stammdaten!I$33)))))))))</f>
        <v>5</v>
      </c>
      <c r="AR3" s="47">
        <f>IF(AO3&lt;Bewertung_Stammdaten!L$24,Bewertung_Stammdaten!K$24,IF(AO3&lt;Bewertung_Stammdaten!L$25,Bewertung_Stammdaten!K$25,IF(AO3&lt;Bewertung_Stammdaten!L$26,Bewertung_Stammdaten!K$26,IF(AO3&lt;Bewertung_Stammdaten!L$27,Bewertung_Stammdaten!K$27,IF(AO3&lt;Bewertung_Stammdaten!L$28,Bewertung_Stammdaten!K$28,IF(AO3&lt;Bewertung_Stammdaten!L$29,Bewertung_Stammdaten!K$29,IF(AO3&lt;Bewertung_Stammdaten!L$30,Bewertung_Stammdaten!K$30,IF(AO3&lt;Bewertung_Stammdaten!L$31,Bewertung_Stammdaten!K$31,IF(AO3&lt;Bewertung_Stammdaten!L$32,Bewertung_Stammdaten!K$32,Bewertung_Stammdaten!K$33)))))))))</f>
        <v>1</v>
      </c>
      <c r="AS3" s="47">
        <f>IF(AP3&lt;Bewertung_Stammdaten!N$24,Bewertung_Stammdaten!M$24,IF(AP3&lt;Bewertung_Stammdaten!N$25,Bewertung_Stammdaten!M$25,IF(AP3&lt;Bewertung_Stammdaten!N$26,Bewertung_Stammdaten!M$26,IF(AP3&lt;Bewertung_Stammdaten!N$27,Bewertung_Stammdaten!M$27,IF(AP3&lt;Bewertung_Stammdaten!N$28,Bewertung_Stammdaten!M$28,IF(AP3&lt;Bewertung_Stammdaten!N$29,Bewertung_Stammdaten!M$29,IF(AP3&lt;Bewertung_Stammdaten!N$30,Bewertung_Stammdaten!M$30,IF(AP3&lt;Bewertung_Stammdaten!N$31,Bewertung_Stammdaten!M$31,IF(AP3&lt;Bewertung_Stammdaten!N$32,Bewertung_Stammdaten!M$32,Bewertung_Stammdaten!M$33)))))))))</f>
        <v>5</v>
      </c>
      <c r="AT3" s="49"/>
      <c r="AU3" s="13">
        <f ca="1">VLOOKUP(A3,Ausschüttungsquote!A3:S68,18,FALSE)</f>
        <v>0.64200581288191338</v>
      </c>
      <c r="AV3" s="13">
        <f>VLOOKUP(A3,Ausschüttungsquote!A3:S68,15,FALSE)</f>
        <v>0.51051057576805936</v>
      </c>
      <c r="AW3" s="13">
        <f ca="1">VLOOKUP(A3,Ausschüttungsquote!A3:S68,19,FALSE)</f>
        <v>0.25757593153877445</v>
      </c>
      <c r="AX3" s="36">
        <f ca="1">IF(AU3&lt;Bewertung_Stammdaten!H$11,Bewertung_Stammdaten!G$11,IF(AU3&lt;Bewertung_Stammdaten!H$12,Bewertung_Stammdaten!G$12,IF(AU3&lt;Bewertung_Stammdaten!H$13,Bewertung_Stammdaten!G$13,IF(AU3&lt;Bewertung_Stammdaten!H$14,Bewertung_Stammdaten!G$14,IF(AU3&lt;Bewertung_Stammdaten!H$15,Bewertung_Stammdaten!G$15,IF(AU3&lt;Bewertung_Stammdaten!H$16,Bewertung_Stammdaten!G$16,IF(AU3&lt;Bewertung_Stammdaten!H$17,Bewertung_Stammdaten!G$17,IF(AU3&lt;Bewertung_Stammdaten!H$18,Bewertung_Stammdaten!G$18,IF(AU3&lt;Bewertung_Stammdaten!H$19,Bewertung_Stammdaten!G$19,Bewertung_Stammdaten!G$20)))))))))</f>
        <v>2.5</v>
      </c>
      <c r="AY3" s="47">
        <f>IF(AV3&lt;Bewertung_Stammdaten!B$24,Bewertung_Stammdaten!A$24,IF(AV3&lt;Bewertung_Stammdaten!B$25,Bewertung_Stammdaten!A$25,IF(AV3&lt;Bewertung_Stammdaten!B$26,Bewertung_Stammdaten!A$26,IF(AV3&lt;Bewertung_Stammdaten!B$27,Bewertung_Stammdaten!A$27,IF(AV3&lt;Bewertung_Stammdaten!B$28,Bewertung_Stammdaten!A$28,IF(AV3&lt;Bewertung_Stammdaten!B$29,Bewertung_Stammdaten!A$29,IF(AV3&lt;Bewertung_Stammdaten!B$30,Bewertung_Stammdaten!A$30,IF(AV3&lt;Bewertung_Stammdaten!B$31,Bewertung_Stammdaten!A$31,IF(AV3&lt;Bewertung_Stammdaten!B$32,Bewertung_Stammdaten!A$32,Bewertung_Stammdaten!A$33)))))))))</f>
        <v>3.5</v>
      </c>
      <c r="AZ3" s="36">
        <f ca="1">IF(AW3&lt;Bewertung_Stammdaten!J$11,Bewertung_Stammdaten!I$11,IF(AW3&lt;Bewertung_Stammdaten!J$12,Bewertung_Stammdaten!I$12,IF(AW3&lt;Bewertung_Stammdaten!J$13,Bewertung_Stammdaten!I$13,IF(AW3&lt;Bewertung_Stammdaten!J$14,Bewertung_Stammdaten!I$14,IF(AW3&lt;Bewertung_Stammdaten!J$15,Bewertung_Stammdaten!I$15,IF(AW3&lt;Bewertung_Stammdaten!J$16,Bewertung_Stammdaten!I$16,IF(AW3&lt;Bewertung_Stammdaten!J$17,Bewertung_Stammdaten!I$17,IF(AW3&lt;Bewertung_Stammdaten!J$18,Bewertung_Stammdaten!I$18,IF(AW3&lt;Bewertung_Stammdaten!J$19,Bewertung_Stammdaten!I$19,Bewertung_Stammdaten!I$20)))))))))</f>
        <v>0.5</v>
      </c>
    </row>
    <row r="4" spans="1:52" x14ac:dyDescent="0.25">
      <c r="A4" s="44" t="s">
        <v>4</v>
      </c>
      <c r="B4" s="44" t="s">
        <v>5</v>
      </c>
      <c r="C4" s="36">
        <f t="shared" ca="1" si="0"/>
        <v>117</v>
      </c>
      <c r="D4" s="49"/>
      <c r="E4" s="12">
        <f ca="1">VLOOKUP(A4,KGV!A3:S68,18,FALSE)</f>
        <v>17.456111111111113</v>
      </c>
      <c r="F4" s="12">
        <f>VLOOKUP(A4,KGV!A3:S68,15,FALSE)</f>
        <v>18.049999999999997</v>
      </c>
      <c r="G4" s="13">
        <f ca="1">VLOOKUP(A4,KGV!A3:S68,19,FALSE)</f>
        <v>-3.2902431517389696E-2</v>
      </c>
      <c r="H4" s="19">
        <f t="shared" ca="1" si="1"/>
        <v>20.317768670309654</v>
      </c>
      <c r="I4" s="13">
        <f t="shared" ca="1" si="2"/>
        <v>0.12563815347975948</v>
      </c>
      <c r="J4" s="36">
        <f ca="1">IF(G4&lt;Bewertung_Stammdaten!B$11,Bewertung_Stammdaten!A$11,IF(G4&lt;Bewertung_Stammdaten!B$12,Bewertung_Stammdaten!A$12,IF(G4&lt;Bewertung_Stammdaten!B$13,Bewertung_Stammdaten!A$13,IF(G4&lt;Bewertung_Stammdaten!B$14,Bewertung_Stammdaten!A$14,IF(G4&lt;Bewertung_Stammdaten!B$15,Bewertung_Stammdaten!A$15,IF(G4&lt;Bewertung_Stammdaten!B$16,Bewertung_Stammdaten!A$16,IF(G4&lt;Bewertung_Stammdaten!B$17,Bewertung_Stammdaten!A$17,IF(G4&lt;Bewertung_Stammdaten!B$18,Bewertung_Stammdaten!A$18,IF(G4&lt;Bewertung_Stammdaten!B$19,Bewertung_Stammdaten!A$19,Bewertung_Stammdaten!A$20)))))))))</f>
        <v>12</v>
      </c>
      <c r="K4" s="36">
        <f ca="1">IF(I4&lt;Bewertung_Stammdaten!N$11,Bewertung_Stammdaten!M$11,IF(I4&lt;Bewertung_Stammdaten!N$12,Bewertung_Stammdaten!M$12,IF(I4&lt;Bewertung_Stammdaten!N$13,Bewertung_Stammdaten!M$13,IF(I4&lt;Bewertung_Stammdaten!N$14,Bewertung_Stammdaten!M$14,IF(I4&lt;Bewertung_Stammdaten!N$15,Bewertung_Stammdaten!M$15,IF(I4&lt;Bewertung_Stammdaten!N$16,Bewertung_Stammdaten!M$16,IF(I4&lt;Bewertung_Stammdaten!N$17,Bewertung_Stammdaten!M$17,IF(I4&lt;Bewertung_Stammdaten!N$18,Bewertung_Stammdaten!M$18,IF(I4&lt;Bewertung_Stammdaten!N$19,Bewertung_Stammdaten!M$19,Bewertung_Stammdaten!M$20)))))))))</f>
        <v>3</v>
      </c>
      <c r="L4" s="49"/>
      <c r="M4" s="12">
        <f ca="1">VLOOKUP(A4,Buchwert_je_Aktie!A3:AC68,18,FALSE)</f>
        <v>32.578333333333333</v>
      </c>
      <c r="N4" s="12">
        <f>VLOOKUP(A4,Buchwert_je_Aktie!A3:AC68,15,FALSE)</f>
        <v>14.542000000000002</v>
      </c>
      <c r="O4" s="13">
        <f ca="1">VLOOKUP(A4,Buchwert_je_Aktie!A3:AC68,19,FALSE)</f>
        <v>1.2402924861321227</v>
      </c>
      <c r="P4" s="13">
        <f>VLOOKUP(A4,Buchwert_je_Aktie!A3:AC68,29,FALSE)</f>
        <v>0.19828815977175474</v>
      </c>
      <c r="Q4" s="19">
        <f t="shared" ref="Q4:Q67" ca="1" si="6">IF(P4&gt;0,M4,IF(M4&lt;0,ABS(M4)*(1+P4),M4*(1+P4)))</f>
        <v>32.578333333333333</v>
      </c>
      <c r="R4" s="13">
        <f t="shared" ca="1" si="3"/>
        <v>1.2402924861321227</v>
      </c>
      <c r="S4" s="58">
        <f ca="1">IF(O4&lt;Bewertung_Stammdaten!D$24,Bewertung_Stammdaten!C$24,IF(O4&lt;Bewertung_Stammdaten!D$25,Bewertung_Stammdaten!C$25,IF(O4&lt;Bewertung_Stammdaten!D$26,Bewertung_Stammdaten!C$26,IF(O4&lt;Bewertung_Stammdaten!D$27,Bewertung_Stammdaten!C$27,IF(O4&lt;Bewertung_Stammdaten!D$28,Bewertung_Stammdaten!C$28,IF(O4&lt;Bewertung_Stammdaten!D$29,Bewertung_Stammdaten!C$29,IF(O4&lt;Bewertung_Stammdaten!D$30,Bewertung_Stammdaten!C$30,IF(O4&lt;Bewertung_Stammdaten!D$31,Bewertung_Stammdaten!C$31,IF(O4&lt;Bewertung_Stammdaten!D$32,Bewertung_Stammdaten!C$32,Bewertung_Stammdaten!C$33)))))))))</f>
        <v>20</v>
      </c>
      <c r="T4" s="58">
        <f>IF(P4&lt;Bewertung_Stammdaten!F$24,Bewertung_Stammdaten!E$24,IF(P4&lt;Bewertung_Stammdaten!F$25,Bewertung_Stammdaten!E$25,IF(P4&lt;Bewertung_Stammdaten!F$26,Bewertung_Stammdaten!E$26,IF(P4&lt;Bewertung_Stammdaten!F$27,Bewertung_Stammdaten!E$27,IF(P4&lt;Bewertung_Stammdaten!F$28,Bewertung_Stammdaten!E$28,IF(P4&lt;Bewertung_Stammdaten!F$29,Bewertung_Stammdaten!E$29,IF(P4&lt;Bewertung_Stammdaten!F$30,Bewertung_Stammdaten!E$30,IF(P4&lt;Bewertung_Stammdaten!F$31,Bewertung_Stammdaten!E$31,IF(P4&lt;Bewertung_Stammdaten!F$32,Bewertung_Stammdaten!E$32,Bewertung_Stammdaten!E$33)))))))))</f>
        <v>15</v>
      </c>
      <c r="U4" s="58">
        <f ca="1">IF(R4&lt;Bewertung_Stammdaten!H$24,Bewertung_Stammdaten!G$24,IF(R4&lt;Bewertung_Stammdaten!H$25,Bewertung_Stammdaten!G$25,IF(R4&lt;Bewertung_Stammdaten!H$26,Bewertung_Stammdaten!G$26,IF(R4&lt;Bewertung_Stammdaten!H$27,Bewertung_Stammdaten!G$27,IF(R4&lt;Bewertung_Stammdaten!H$28,Bewertung_Stammdaten!G$28,IF(R4&lt;Bewertung_Stammdaten!H$29,Bewertung_Stammdaten!G$29,IF(R4&lt;Bewertung_Stammdaten!H$30,Bewertung_Stammdaten!G$30,IF(R4&lt;Bewertung_Stammdaten!H$31,Bewertung_Stammdaten!G$31,IF(R4&lt;Bewertung_Stammdaten!H$32,Bewertung_Stammdaten!G$32,Bewertung_Stammdaten!G$33)))))))))</f>
        <v>10</v>
      </c>
      <c r="V4" s="49"/>
      <c r="W4" s="17">
        <f ca="1">VLOOKUP(A4,Ergebnis_je_Aktie_verwässert!A3:S68,18,FALSE)</f>
        <v>15.063055555555554</v>
      </c>
      <c r="X4" s="17">
        <f>VLOOKUP(A4,Ergebnis_je_Aktie_verwässert!A3:S68,15,FALSE)</f>
        <v>9.9160000000000004</v>
      </c>
      <c r="Y4" s="13">
        <f ca="1">VLOOKUP(A4,Ergebnis_je_Aktie_verwässert!A3:S68,19,FALSE)</f>
        <v>0.51906570749854319</v>
      </c>
      <c r="Z4" s="46">
        <f>VLOOKUP(A4,Ergebnis_je_Aktie_verwässert!A3:AC68,29,FALSE)</f>
        <v>-0.14084507042253513</v>
      </c>
      <c r="AA4" s="19">
        <f t="shared" ca="1" si="4"/>
        <v>12.941498435054772</v>
      </c>
      <c r="AB4" s="13">
        <f t="shared" ca="1" si="5"/>
        <v>0.30511279094945265</v>
      </c>
      <c r="AC4" s="36">
        <f ca="1">IF(Y4&lt;Bewertung_Stammdaten!L$11,Bewertung_Stammdaten!K$11,IF(Y4&lt;Bewertung_Stammdaten!L$12,Bewertung_Stammdaten!K$12,IF(Y4&lt;Bewertung_Stammdaten!L$13,Bewertung_Stammdaten!K$13,IF(Y4&lt;Bewertung_Stammdaten!L$14,Bewertung_Stammdaten!K$14,IF(Y4&lt;Bewertung_Stammdaten!L$15,Bewertung_Stammdaten!K$15,IF(Y4&lt;Bewertung_Stammdaten!L$16,Bewertung_Stammdaten!K$16,IF(Y4&lt;Bewertung_Stammdaten!L$17,Bewertung_Stammdaten!K$17,IF(Y4&lt;Bewertung_Stammdaten!L$18,Bewertung_Stammdaten!K$18,IF(Y4&lt;Bewertung_Stammdaten!L$19,Bewertung_Stammdaten!K$19,Bewertung_Stammdaten!K$20)))))))))</f>
        <v>14</v>
      </c>
      <c r="AD4" s="36">
        <f>IF(Z4&lt;Bewertung_Stammdaten!R$11,Bewertung_Stammdaten!Q$11,IF(Z4&lt;Bewertung_Stammdaten!R$12,Bewertung_Stammdaten!Q$12,IF(Z4&lt;Bewertung_Stammdaten!R$13,Bewertung_Stammdaten!Q$13,IF(Z4&lt;Bewertung_Stammdaten!R$14,Bewertung_Stammdaten!Q$14,IF(Z4&lt;Bewertung_Stammdaten!R$15,Bewertung_Stammdaten!Q$15,IF(Z4&lt;Bewertung_Stammdaten!R$16,Bewertung_Stammdaten!Q$16,IF(Z4&lt;Bewertung_Stammdaten!R$17,Bewertung_Stammdaten!Q$17,IF(Z4&lt;Bewertung_Stammdaten!R$18,Bewertung_Stammdaten!Q$18,IF(Z4&lt;Bewertung_Stammdaten!R$19,Bewertung_Stammdaten!Q$19,Bewertung_Stammdaten!Q$20)))))))))</f>
        <v>6</v>
      </c>
      <c r="AE4" s="36">
        <f ca="1">IF(AB4&lt;Bewertung_Stammdaten!P$11,Bewertung_Stammdaten!O$11,IF(AB4&lt;Bewertung_Stammdaten!P$12,Bewertung_Stammdaten!O$12,IF(AB4&lt;Bewertung_Stammdaten!P$13,Bewertung_Stammdaten!O$13,IF(AB4&lt;Bewertung_Stammdaten!P$14,Bewertung_Stammdaten!O$14,IF(AB4&lt;Bewertung_Stammdaten!P$15,Bewertung_Stammdaten!O$15,IF(AB4&lt;Bewertung_Stammdaten!P$16,Bewertung_Stammdaten!O$16,IF(AB4&lt;Bewertung_Stammdaten!P$17,Bewertung_Stammdaten!O$17,IF(AB4&lt;Bewertung_Stammdaten!P$18,Bewertung_Stammdaten!O$18,IF(AB4&lt;Bewertung_Stammdaten!P$19,Bewertung_Stammdaten!O$19,Bewertung_Stammdaten!O$20)))))))))</f>
        <v>5</v>
      </c>
      <c r="AF4" s="49"/>
      <c r="AG4" s="13">
        <f ca="1">VLOOKUP(A4,Dividendenrendite!A3:S68,18,FALSE)</f>
        <v>3.2846666666666663E-2</v>
      </c>
      <c r="AH4" s="13">
        <f>VLOOKUP(A4,Dividendenrendite!A3:S68,15,FALSE)</f>
        <v>2.9080000000000002E-2</v>
      </c>
      <c r="AI4" s="13">
        <f ca="1">VLOOKUP(A4,Dividendenrendite!A3:S68,19,FALSE)</f>
        <v>0.12952773956900487</v>
      </c>
      <c r="AJ4" s="36">
        <f ca="1">IF(AG4&lt;Bewertung_Stammdaten!D$11,Bewertung_Stammdaten!C$11,IF(AG4&lt;Bewertung_Stammdaten!D$12,Bewertung_Stammdaten!C$12,IF(AG4&lt;Bewertung_Stammdaten!D$13,Bewertung_Stammdaten!C$13,IF(AG4&lt;Bewertung_Stammdaten!D$14,Bewertung_Stammdaten!C$14,IF(AG4&lt;Bewertung_Stammdaten!D$15,Bewertung_Stammdaten!C$15,IF(AG4&lt;Bewertung_Stammdaten!D$16,Bewertung_Stammdaten!C$16,IF(AG4&lt;Bewertung_Stammdaten!D$17,Bewertung_Stammdaten!C$17,IF(AG4&lt;Bewertung_Stammdaten!D$18,Bewertung_Stammdaten!C$18,IF(AG4&lt;Bewertung_Stammdaten!D$19,Bewertung_Stammdaten!C$19,Bewertung_Stammdaten!C$20)))))))))</f>
        <v>10.5</v>
      </c>
      <c r="AK4" s="36">
        <f>IF(AH4&lt;Bewertung_Stammdaten!T$11,Bewertung_Stammdaten!S$11,IF(AH4&lt;Bewertung_Stammdaten!T$12,Bewertung_Stammdaten!S$12,IF(AH4&lt;Bewertung_Stammdaten!T$13,Bewertung_Stammdaten!S$13,IF(AH4&lt;Bewertung_Stammdaten!T$14,Bewertung_Stammdaten!S$14,IF(AH4&lt;Bewertung_Stammdaten!T$15,Bewertung_Stammdaten!S$15,IF(AH4&lt;Bewertung_Stammdaten!T$16,Bewertung_Stammdaten!S$16,IF(AH4&lt;Bewertung_Stammdaten!T$17,Bewertung_Stammdaten!S$17,IF(AH4&lt;Bewertung_Stammdaten!T$18,Bewertung_Stammdaten!S$18,IF(AH4&lt;Bewertung_Stammdaten!T$19,Bewertung_Stammdaten!S$19,Bewertung_Stammdaten!S$20)))))))))</f>
        <v>6</v>
      </c>
      <c r="AL4" s="36">
        <f ca="1">IF(AI4&lt;Bewertung_Stammdaten!F$11,Bewertung_Stammdaten!E$11,IF(AI4&lt;Bewertung_Stammdaten!F$12,Bewertung_Stammdaten!E$12,IF(AI4&lt;Bewertung_Stammdaten!F$13,Bewertung_Stammdaten!E$13,IF(AI4&lt;Bewertung_Stammdaten!F$14,Bewertung_Stammdaten!E$14,IF(AI4&lt;Bewertung_Stammdaten!F$15,Bewertung_Stammdaten!E$15,IF(AI4&lt;Bewertung_Stammdaten!F$16,Bewertung_Stammdaten!E$16,IF(AI4&lt;Bewertung_Stammdaten!F$17,Bewertung_Stammdaten!E$17,IF(AI4&lt;Bewertung_Stammdaten!F$18,Bewertung_Stammdaten!E$18,IF(AI4&lt;Bewertung_Stammdaten!F$19,Bewertung_Stammdaten!E$19,Bewertung_Stammdaten!E$20)))))))))</f>
        <v>4</v>
      </c>
      <c r="AM4" s="49"/>
      <c r="AN4" s="13">
        <f>VLOOKUP(A4,Aktien_im_Umlauf_splitbereinigt!A3:W68,13,FALSE)</f>
        <v>0</v>
      </c>
      <c r="AO4" s="13">
        <f>VLOOKUP(A4,Aktien_im_Umlauf_splitbereinigt!A3:W68,22,FALSE)</f>
        <v>-5.1523816884483748E-6</v>
      </c>
      <c r="AP4" s="13">
        <f>VLOOKUP(A4,Aktien_im_Umlauf_splitbereinigt!A3:W68,23,FALSE)</f>
        <v>-1</v>
      </c>
      <c r="AQ4" s="47">
        <f>IF(AN4&lt;Bewertung_Stammdaten!J$24,Bewertung_Stammdaten!I$24,IF(AN4&lt;Bewertung_Stammdaten!J$25,Bewertung_Stammdaten!I$25,IF(AN4&lt;Bewertung_Stammdaten!J$26,Bewertung_Stammdaten!I$26,IF(AN4&lt;Bewertung_Stammdaten!J$27,Bewertung_Stammdaten!I$27,IF(AN4&lt;Bewertung_Stammdaten!J$28,Bewertung_Stammdaten!I$28,IF(AN4&lt;Bewertung_Stammdaten!J$29,Bewertung_Stammdaten!I$29,IF(AN4&lt;Bewertung_Stammdaten!J$30,Bewertung_Stammdaten!I$30,IF(AN4&lt;Bewertung_Stammdaten!J$31,Bewertung_Stammdaten!I$31,IF(AN4&lt;Bewertung_Stammdaten!J$32,Bewertung_Stammdaten!I$32,Bewertung_Stammdaten!I$33)))))))))</f>
        <v>1</v>
      </c>
      <c r="AR4" s="47">
        <f>IF(AO4&lt;Bewertung_Stammdaten!L$24,Bewertung_Stammdaten!K$24,IF(AO4&lt;Bewertung_Stammdaten!L$25,Bewertung_Stammdaten!K$25,IF(AO4&lt;Bewertung_Stammdaten!L$26,Bewertung_Stammdaten!K$26,IF(AO4&lt;Bewertung_Stammdaten!L$27,Bewertung_Stammdaten!K$27,IF(AO4&lt;Bewertung_Stammdaten!L$28,Bewertung_Stammdaten!K$28,IF(AO4&lt;Bewertung_Stammdaten!L$29,Bewertung_Stammdaten!K$29,IF(AO4&lt;Bewertung_Stammdaten!L$30,Bewertung_Stammdaten!K$30,IF(AO4&lt;Bewertung_Stammdaten!L$31,Bewertung_Stammdaten!K$31,IF(AO4&lt;Bewertung_Stammdaten!L$32,Bewertung_Stammdaten!K$32,Bewertung_Stammdaten!K$33)))))))))</f>
        <v>1.5</v>
      </c>
      <c r="AS4" s="47">
        <f>IF(AP4&lt;Bewertung_Stammdaten!N$24,Bewertung_Stammdaten!M$24,IF(AP4&lt;Bewertung_Stammdaten!N$25,Bewertung_Stammdaten!M$25,IF(AP4&lt;Bewertung_Stammdaten!N$26,Bewertung_Stammdaten!M$26,IF(AP4&lt;Bewertung_Stammdaten!N$27,Bewertung_Stammdaten!M$27,IF(AP4&lt;Bewertung_Stammdaten!N$28,Bewertung_Stammdaten!M$28,IF(AP4&lt;Bewertung_Stammdaten!N$29,Bewertung_Stammdaten!M$29,IF(AP4&lt;Bewertung_Stammdaten!N$30,Bewertung_Stammdaten!M$30,IF(AP4&lt;Bewertung_Stammdaten!N$31,Bewertung_Stammdaten!M$31,IF(AP4&lt;Bewertung_Stammdaten!N$32,Bewertung_Stammdaten!M$32,Bewertung_Stammdaten!M$33)))))))))</f>
        <v>1</v>
      </c>
      <c r="AT4" s="49"/>
      <c r="AU4" s="13">
        <f ca="1">VLOOKUP(A4,Ausschüttungsquote!A3:S68,18,FALSE)</f>
        <v>0.57263271604938271</v>
      </c>
      <c r="AV4" s="13">
        <f>VLOOKUP(A4,Ausschüttungsquote!A3:S68,15,FALSE)</f>
        <v>0.51044614325767479</v>
      </c>
      <c r="AW4" s="13">
        <f ca="1">VLOOKUP(A4,Ausschüttungsquote!A3:S68,19,FALSE)</f>
        <v>0.12182788255550792</v>
      </c>
      <c r="AX4" s="36">
        <f ca="1">IF(AU4&lt;Bewertung_Stammdaten!H$11,Bewertung_Stammdaten!G$11,IF(AU4&lt;Bewertung_Stammdaten!H$12,Bewertung_Stammdaten!G$12,IF(AU4&lt;Bewertung_Stammdaten!H$13,Bewertung_Stammdaten!G$13,IF(AU4&lt;Bewertung_Stammdaten!H$14,Bewertung_Stammdaten!G$14,IF(AU4&lt;Bewertung_Stammdaten!H$15,Bewertung_Stammdaten!G$15,IF(AU4&lt;Bewertung_Stammdaten!H$16,Bewertung_Stammdaten!G$16,IF(AU4&lt;Bewertung_Stammdaten!H$17,Bewertung_Stammdaten!G$17,IF(AU4&lt;Bewertung_Stammdaten!H$18,Bewertung_Stammdaten!G$18,IF(AU4&lt;Bewertung_Stammdaten!H$19,Bewertung_Stammdaten!G$19,Bewertung_Stammdaten!G$20)))))))))</f>
        <v>3</v>
      </c>
      <c r="AY4" s="47">
        <f>IF(AV4&lt;Bewertung_Stammdaten!B$24,Bewertung_Stammdaten!A$24,IF(AV4&lt;Bewertung_Stammdaten!B$25,Bewertung_Stammdaten!A$25,IF(AV4&lt;Bewertung_Stammdaten!B$26,Bewertung_Stammdaten!A$26,IF(AV4&lt;Bewertung_Stammdaten!B$27,Bewertung_Stammdaten!A$27,IF(AV4&lt;Bewertung_Stammdaten!B$28,Bewertung_Stammdaten!A$28,IF(AV4&lt;Bewertung_Stammdaten!B$29,Bewertung_Stammdaten!A$29,IF(AV4&lt;Bewertung_Stammdaten!B$30,Bewertung_Stammdaten!A$30,IF(AV4&lt;Bewertung_Stammdaten!B$31,Bewertung_Stammdaten!A$31,IF(AV4&lt;Bewertung_Stammdaten!B$32,Bewertung_Stammdaten!A$32,Bewertung_Stammdaten!A$33)))))))))</f>
        <v>3.5</v>
      </c>
      <c r="AZ4" s="36">
        <f ca="1">IF(AW4&lt;Bewertung_Stammdaten!J$11,Bewertung_Stammdaten!I$11,IF(AW4&lt;Bewertung_Stammdaten!J$12,Bewertung_Stammdaten!I$12,IF(AW4&lt;Bewertung_Stammdaten!J$13,Bewertung_Stammdaten!I$13,IF(AW4&lt;Bewertung_Stammdaten!J$14,Bewertung_Stammdaten!I$14,IF(AW4&lt;Bewertung_Stammdaten!J$15,Bewertung_Stammdaten!I$15,IF(AW4&lt;Bewertung_Stammdaten!J$16,Bewertung_Stammdaten!I$16,IF(AW4&lt;Bewertung_Stammdaten!J$17,Bewertung_Stammdaten!I$17,IF(AW4&lt;Bewertung_Stammdaten!J$18,Bewertung_Stammdaten!I$18,IF(AW4&lt;Bewertung_Stammdaten!J$19,Bewertung_Stammdaten!I$19,Bewertung_Stammdaten!I$20)))))))))</f>
        <v>1.5</v>
      </c>
    </row>
    <row r="5" spans="1:52" x14ac:dyDescent="0.25">
      <c r="A5" s="44" t="s">
        <v>6</v>
      </c>
      <c r="B5" s="44" t="s">
        <v>7</v>
      </c>
      <c r="C5" s="36">
        <f t="shared" ca="1" si="0"/>
        <v>83.5</v>
      </c>
      <c r="D5" s="49"/>
      <c r="E5" s="12">
        <f ca="1">VLOOKUP(A5,KGV!A3:S68,18,FALSE)</f>
        <v>18.960277777777776</v>
      </c>
      <c r="F5" s="12">
        <f>VLOOKUP(A5,KGV!A3:S68,15,FALSE)</f>
        <v>18.25</v>
      </c>
      <c r="G5" s="13">
        <f ca="1">VLOOKUP(A5,KGV!A3:S68,19,FALSE)</f>
        <v>3.8919330289193255E-2</v>
      </c>
      <c r="H5" s="19">
        <f t="shared" ca="1" si="1"/>
        <v>25.903478090766821</v>
      </c>
      <c r="I5" s="13">
        <f t="shared" ca="1" si="2"/>
        <v>0.41936866250777105</v>
      </c>
      <c r="J5" s="36">
        <f ca="1">IF(G5&lt;Bewertung_Stammdaten!B$11,Bewertung_Stammdaten!A$11,IF(G5&lt;Bewertung_Stammdaten!B$12,Bewertung_Stammdaten!A$12,IF(G5&lt;Bewertung_Stammdaten!B$13,Bewertung_Stammdaten!A$13,IF(G5&lt;Bewertung_Stammdaten!B$14,Bewertung_Stammdaten!A$14,IF(G5&lt;Bewertung_Stammdaten!B$15,Bewertung_Stammdaten!A$15,IF(G5&lt;Bewertung_Stammdaten!B$16,Bewertung_Stammdaten!A$16,IF(G5&lt;Bewertung_Stammdaten!B$17,Bewertung_Stammdaten!A$17,IF(G5&lt;Bewertung_Stammdaten!B$18,Bewertung_Stammdaten!A$18,IF(G5&lt;Bewertung_Stammdaten!B$19,Bewertung_Stammdaten!A$19,Bewertung_Stammdaten!A$20)))))))))</f>
        <v>10</v>
      </c>
      <c r="K5" s="36">
        <f ca="1">IF(I5&lt;Bewertung_Stammdaten!N$11,Bewertung_Stammdaten!M$11,IF(I5&lt;Bewertung_Stammdaten!N$12,Bewertung_Stammdaten!M$12,IF(I5&lt;Bewertung_Stammdaten!N$13,Bewertung_Stammdaten!M$13,IF(I5&lt;Bewertung_Stammdaten!N$14,Bewertung_Stammdaten!M$14,IF(I5&lt;Bewertung_Stammdaten!N$15,Bewertung_Stammdaten!M$15,IF(I5&lt;Bewertung_Stammdaten!N$16,Bewertung_Stammdaten!M$16,IF(I5&lt;Bewertung_Stammdaten!N$17,Bewertung_Stammdaten!M$17,IF(I5&lt;Bewertung_Stammdaten!N$18,Bewertung_Stammdaten!M$18,IF(I5&lt;Bewertung_Stammdaten!N$19,Bewertung_Stammdaten!M$19,Bewertung_Stammdaten!M$20)))))))))</f>
        <v>1</v>
      </c>
      <c r="L5" s="49"/>
      <c r="M5" s="12">
        <f ca="1">VLOOKUP(A5,Buchwert_je_Aktie!A3:AC68,18,FALSE)</f>
        <v>21.180833333333332</v>
      </c>
      <c r="N5" s="12">
        <f>VLOOKUP(A5,Buchwert_je_Aktie!A3:AC68,15,FALSE)</f>
        <v>18.34</v>
      </c>
      <c r="O5" s="13">
        <f ca="1">VLOOKUP(A5,Buchwert_je_Aktie!A3:AC68,19,FALSE)</f>
        <v>0.15489821882951649</v>
      </c>
      <c r="P5" s="13">
        <f>VLOOKUP(A5,Buchwert_je_Aktie!A3:AC68,29,FALSE)</f>
        <v>-3.5854341736694662E-2</v>
      </c>
      <c r="Q5" s="19">
        <f t="shared" ca="1" si="6"/>
        <v>20.421408496732024</v>
      </c>
      <c r="R5" s="13">
        <f t="shared" ca="1" si="3"/>
        <v>0.11349010342050292</v>
      </c>
      <c r="S5" s="58">
        <f ca="1">IF(O5&lt;Bewertung_Stammdaten!D$24,Bewertung_Stammdaten!C$24,IF(O5&lt;Bewertung_Stammdaten!D$25,Bewertung_Stammdaten!C$25,IF(O5&lt;Bewertung_Stammdaten!D$26,Bewertung_Stammdaten!C$26,IF(O5&lt;Bewertung_Stammdaten!D$27,Bewertung_Stammdaten!C$27,IF(O5&lt;Bewertung_Stammdaten!D$28,Bewertung_Stammdaten!C$28,IF(O5&lt;Bewertung_Stammdaten!D$29,Bewertung_Stammdaten!C$29,IF(O5&lt;Bewertung_Stammdaten!D$30,Bewertung_Stammdaten!C$30,IF(O5&lt;Bewertung_Stammdaten!D$31,Bewertung_Stammdaten!C$31,IF(O5&lt;Bewertung_Stammdaten!D$32,Bewertung_Stammdaten!C$32,Bewertung_Stammdaten!C$33)))))))))</f>
        <v>6</v>
      </c>
      <c r="T5" s="58">
        <f>IF(P5&lt;Bewertung_Stammdaten!F$24,Bewertung_Stammdaten!E$24,IF(P5&lt;Bewertung_Stammdaten!F$25,Bewertung_Stammdaten!E$25,IF(P5&lt;Bewertung_Stammdaten!F$26,Bewertung_Stammdaten!E$26,IF(P5&lt;Bewertung_Stammdaten!F$27,Bewertung_Stammdaten!E$27,IF(P5&lt;Bewertung_Stammdaten!F$28,Bewertung_Stammdaten!E$28,IF(P5&lt;Bewertung_Stammdaten!F$29,Bewertung_Stammdaten!E$29,IF(P5&lt;Bewertung_Stammdaten!F$30,Bewertung_Stammdaten!E$30,IF(P5&lt;Bewertung_Stammdaten!F$31,Bewertung_Stammdaten!E$31,IF(P5&lt;Bewertung_Stammdaten!F$32,Bewertung_Stammdaten!E$32,Bewertung_Stammdaten!E$33)))))))))</f>
        <v>10.5</v>
      </c>
      <c r="U5" s="58">
        <f ca="1">IF(R5&lt;Bewertung_Stammdaten!H$24,Bewertung_Stammdaten!G$24,IF(R5&lt;Bewertung_Stammdaten!H$25,Bewertung_Stammdaten!G$25,IF(R5&lt;Bewertung_Stammdaten!H$26,Bewertung_Stammdaten!G$26,IF(R5&lt;Bewertung_Stammdaten!H$27,Bewertung_Stammdaten!G$27,IF(R5&lt;Bewertung_Stammdaten!H$28,Bewertung_Stammdaten!G$28,IF(R5&lt;Bewertung_Stammdaten!H$29,Bewertung_Stammdaten!G$29,IF(R5&lt;Bewertung_Stammdaten!H$30,Bewertung_Stammdaten!G$30,IF(R5&lt;Bewertung_Stammdaten!H$31,Bewertung_Stammdaten!G$31,IF(R5&lt;Bewertung_Stammdaten!H$32,Bewertung_Stammdaten!G$32,Bewertung_Stammdaten!G$33)))))))))</f>
        <v>3</v>
      </c>
      <c r="V5" s="49"/>
      <c r="W5" s="17">
        <f ca="1">VLOOKUP(A5,Ergebnis_je_Aktie_verwässert!A3:S68,18,FALSE)</f>
        <v>3.6339722222222219</v>
      </c>
      <c r="X5" s="17">
        <f>VLOOKUP(A5,Ergebnis_je_Aktie_verwässert!A3:S68,15,FALSE)</f>
        <v>2.5749999999999997</v>
      </c>
      <c r="Y5" s="13">
        <f ca="1">VLOOKUP(A5,Ergebnis_je_Aktie_verwässert!A3:S68,19,FALSE)</f>
        <v>0.41125134843581446</v>
      </c>
      <c r="Z5" s="46">
        <f>VLOOKUP(A5,Ergebnis_je_Aktie_verwässert!A3:AC68,29,FALSE)</f>
        <v>-0.26804123711340211</v>
      </c>
      <c r="AA5" s="19">
        <f t="shared" ca="1" si="4"/>
        <v>2.6599178121420386</v>
      </c>
      <c r="AB5" s="13">
        <f t="shared" ca="1" si="5"/>
        <v>3.2977791123121936E-2</v>
      </c>
      <c r="AC5" s="36">
        <f ca="1">IF(Y5&lt;Bewertung_Stammdaten!L$11,Bewertung_Stammdaten!K$11,IF(Y5&lt;Bewertung_Stammdaten!L$12,Bewertung_Stammdaten!K$12,IF(Y5&lt;Bewertung_Stammdaten!L$13,Bewertung_Stammdaten!K$13,IF(Y5&lt;Bewertung_Stammdaten!L$14,Bewertung_Stammdaten!K$14,IF(Y5&lt;Bewertung_Stammdaten!L$15,Bewertung_Stammdaten!K$15,IF(Y5&lt;Bewertung_Stammdaten!L$16,Bewertung_Stammdaten!K$16,IF(Y5&lt;Bewertung_Stammdaten!L$17,Bewertung_Stammdaten!K$17,IF(Y5&lt;Bewertung_Stammdaten!L$18,Bewertung_Stammdaten!K$18,IF(Y5&lt;Bewertung_Stammdaten!L$19,Bewertung_Stammdaten!K$19,Bewertung_Stammdaten!K$20)))))))))</f>
        <v>12</v>
      </c>
      <c r="AD5" s="36">
        <f>IF(Z5&lt;Bewertung_Stammdaten!R$11,Bewertung_Stammdaten!Q$11,IF(Z5&lt;Bewertung_Stammdaten!R$12,Bewertung_Stammdaten!Q$12,IF(Z5&lt;Bewertung_Stammdaten!R$13,Bewertung_Stammdaten!Q$13,IF(Z5&lt;Bewertung_Stammdaten!R$14,Bewertung_Stammdaten!Q$14,IF(Z5&lt;Bewertung_Stammdaten!R$15,Bewertung_Stammdaten!Q$15,IF(Z5&lt;Bewertung_Stammdaten!R$16,Bewertung_Stammdaten!Q$16,IF(Z5&lt;Bewertung_Stammdaten!R$17,Bewertung_Stammdaten!Q$17,IF(Z5&lt;Bewertung_Stammdaten!R$18,Bewertung_Stammdaten!Q$18,IF(Z5&lt;Bewertung_Stammdaten!R$19,Bewertung_Stammdaten!Q$19,Bewertung_Stammdaten!Q$20)))))))))</f>
        <v>5</v>
      </c>
      <c r="AE5" s="36">
        <f ca="1">IF(AB5&lt;Bewertung_Stammdaten!P$11,Bewertung_Stammdaten!O$11,IF(AB5&lt;Bewertung_Stammdaten!P$12,Bewertung_Stammdaten!O$12,IF(AB5&lt;Bewertung_Stammdaten!P$13,Bewertung_Stammdaten!O$13,IF(AB5&lt;Bewertung_Stammdaten!P$14,Bewertung_Stammdaten!O$14,IF(AB5&lt;Bewertung_Stammdaten!P$15,Bewertung_Stammdaten!O$15,IF(AB5&lt;Bewertung_Stammdaten!P$16,Bewertung_Stammdaten!O$16,IF(AB5&lt;Bewertung_Stammdaten!P$17,Bewertung_Stammdaten!O$17,IF(AB5&lt;Bewertung_Stammdaten!P$18,Bewertung_Stammdaten!O$18,IF(AB5&lt;Bewertung_Stammdaten!P$19,Bewertung_Stammdaten!O$19,Bewertung_Stammdaten!O$20)))))))))</f>
        <v>2</v>
      </c>
      <c r="AF5" s="49"/>
      <c r="AG5" s="13">
        <f ca="1">VLOOKUP(A5,Dividendenrendite!A3:S68,18,FALSE)</f>
        <v>3.3345277777777779E-2</v>
      </c>
      <c r="AH5" s="13">
        <f>VLOOKUP(A5,Dividendenrendite!A3:S68,15,FALSE)</f>
        <v>3.0009999999999992E-2</v>
      </c>
      <c r="AI5" s="13">
        <f ca="1">VLOOKUP(A5,Dividendenrendite!A3:S68,19,FALSE)</f>
        <v>0.11113887963271529</v>
      </c>
      <c r="AJ5" s="36">
        <f ca="1">IF(AG5&lt;Bewertung_Stammdaten!D$11,Bewertung_Stammdaten!C$11,IF(AG5&lt;Bewertung_Stammdaten!D$12,Bewertung_Stammdaten!C$12,IF(AG5&lt;Bewertung_Stammdaten!D$13,Bewertung_Stammdaten!C$13,IF(AG5&lt;Bewertung_Stammdaten!D$14,Bewertung_Stammdaten!C$14,IF(AG5&lt;Bewertung_Stammdaten!D$15,Bewertung_Stammdaten!C$15,IF(AG5&lt;Bewertung_Stammdaten!D$16,Bewertung_Stammdaten!C$16,IF(AG5&lt;Bewertung_Stammdaten!D$17,Bewertung_Stammdaten!C$17,IF(AG5&lt;Bewertung_Stammdaten!D$18,Bewertung_Stammdaten!C$18,IF(AG5&lt;Bewertung_Stammdaten!D$19,Bewertung_Stammdaten!C$19,Bewertung_Stammdaten!C$20)))))))))</f>
        <v>10.5</v>
      </c>
      <c r="AK5" s="36">
        <f>IF(AH5&lt;Bewertung_Stammdaten!T$11,Bewertung_Stammdaten!S$11,IF(AH5&lt;Bewertung_Stammdaten!T$12,Bewertung_Stammdaten!S$12,IF(AH5&lt;Bewertung_Stammdaten!T$13,Bewertung_Stammdaten!S$13,IF(AH5&lt;Bewertung_Stammdaten!T$14,Bewertung_Stammdaten!S$14,IF(AH5&lt;Bewertung_Stammdaten!T$15,Bewertung_Stammdaten!S$15,IF(AH5&lt;Bewertung_Stammdaten!T$16,Bewertung_Stammdaten!S$16,IF(AH5&lt;Bewertung_Stammdaten!T$17,Bewertung_Stammdaten!S$17,IF(AH5&lt;Bewertung_Stammdaten!T$18,Bewertung_Stammdaten!S$18,IF(AH5&lt;Bewertung_Stammdaten!T$19,Bewertung_Stammdaten!S$19,Bewertung_Stammdaten!S$20)))))))))</f>
        <v>7</v>
      </c>
      <c r="AL5" s="36">
        <f ca="1">IF(AI5&lt;Bewertung_Stammdaten!F$11,Bewertung_Stammdaten!E$11,IF(AI5&lt;Bewertung_Stammdaten!F$12,Bewertung_Stammdaten!E$12,IF(AI5&lt;Bewertung_Stammdaten!F$13,Bewertung_Stammdaten!E$13,IF(AI5&lt;Bewertung_Stammdaten!F$14,Bewertung_Stammdaten!E$14,IF(AI5&lt;Bewertung_Stammdaten!F$15,Bewertung_Stammdaten!E$15,IF(AI5&lt;Bewertung_Stammdaten!F$16,Bewertung_Stammdaten!E$16,IF(AI5&lt;Bewertung_Stammdaten!F$17,Bewertung_Stammdaten!E$17,IF(AI5&lt;Bewertung_Stammdaten!F$18,Bewertung_Stammdaten!E$18,IF(AI5&lt;Bewertung_Stammdaten!F$19,Bewertung_Stammdaten!E$19,Bewertung_Stammdaten!E$20)))))))))</f>
        <v>4</v>
      </c>
      <c r="AM5" s="49"/>
      <c r="AN5" s="13">
        <f>VLOOKUP(A5,Aktien_im_Umlauf_splitbereinigt!A3:W68,13,FALSE)</f>
        <v>0</v>
      </c>
      <c r="AO5" s="13">
        <f>VLOOKUP(A5,Aktien_im_Umlauf_splitbereinigt!A3:W68,22,FALSE)</f>
        <v>-2.0113099942978177E-2</v>
      </c>
      <c r="AP5" s="13">
        <f>VLOOKUP(A5,Aktien_im_Umlauf_splitbereinigt!A3:W68,23,FALSE)</f>
        <v>-1</v>
      </c>
      <c r="AQ5" s="47">
        <f>IF(AN5&lt;Bewertung_Stammdaten!J$24,Bewertung_Stammdaten!I$24,IF(AN5&lt;Bewertung_Stammdaten!J$25,Bewertung_Stammdaten!I$25,IF(AN5&lt;Bewertung_Stammdaten!J$26,Bewertung_Stammdaten!I$26,IF(AN5&lt;Bewertung_Stammdaten!J$27,Bewertung_Stammdaten!I$27,IF(AN5&lt;Bewertung_Stammdaten!J$28,Bewertung_Stammdaten!I$28,IF(AN5&lt;Bewertung_Stammdaten!J$29,Bewertung_Stammdaten!I$29,IF(AN5&lt;Bewertung_Stammdaten!J$30,Bewertung_Stammdaten!I$30,IF(AN5&lt;Bewertung_Stammdaten!J$31,Bewertung_Stammdaten!I$31,IF(AN5&lt;Bewertung_Stammdaten!J$32,Bewertung_Stammdaten!I$32,Bewertung_Stammdaten!I$33)))))))))</f>
        <v>1</v>
      </c>
      <c r="AR5" s="47">
        <f>IF(AO5&lt;Bewertung_Stammdaten!L$24,Bewertung_Stammdaten!K$24,IF(AO5&lt;Bewertung_Stammdaten!L$25,Bewertung_Stammdaten!K$25,IF(AO5&lt;Bewertung_Stammdaten!L$26,Bewertung_Stammdaten!K$26,IF(AO5&lt;Bewertung_Stammdaten!L$27,Bewertung_Stammdaten!K$27,IF(AO5&lt;Bewertung_Stammdaten!L$28,Bewertung_Stammdaten!K$28,IF(AO5&lt;Bewertung_Stammdaten!L$29,Bewertung_Stammdaten!K$29,IF(AO5&lt;Bewertung_Stammdaten!L$30,Bewertung_Stammdaten!K$30,IF(AO5&lt;Bewertung_Stammdaten!L$31,Bewertung_Stammdaten!K$31,IF(AO5&lt;Bewertung_Stammdaten!L$32,Bewertung_Stammdaten!K$32,Bewertung_Stammdaten!K$33)))))))))</f>
        <v>3.5</v>
      </c>
      <c r="AS5" s="47">
        <f>IF(AP5&lt;Bewertung_Stammdaten!N$24,Bewertung_Stammdaten!M$24,IF(AP5&lt;Bewertung_Stammdaten!N$25,Bewertung_Stammdaten!M$25,IF(AP5&lt;Bewertung_Stammdaten!N$26,Bewertung_Stammdaten!M$26,IF(AP5&lt;Bewertung_Stammdaten!N$27,Bewertung_Stammdaten!M$27,IF(AP5&lt;Bewertung_Stammdaten!N$28,Bewertung_Stammdaten!M$28,IF(AP5&lt;Bewertung_Stammdaten!N$29,Bewertung_Stammdaten!M$29,IF(AP5&lt;Bewertung_Stammdaten!N$30,Bewertung_Stammdaten!M$30,IF(AP5&lt;Bewertung_Stammdaten!N$31,Bewertung_Stammdaten!M$31,IF(AP5&lt;Bewertung_Stammdaten!N$32,Bewertung_Stammdaten!M$32,Bewertung_Stammdaten!M$33)))))))))</f>
        <v>1</v>
      </c>
      <c r="AT5" s="49"/>
      <c r="AU5" s="13">
        <f ca="1">VLOOKUP(A5,Ausschüttungsquote!A3:S68,18,FALSE)</f>
        <v>0.63248994271721548</v>
      </c>
      <c r="AV5" s="13">
        <f>VLOOKUP(A5,Ausschüttungsquote!A3:S68,15,FALSE)</f>
        <v>0.57497695506960078</v>
      </c>
      <c r="AW5" s="13">
        <f ca="1">VLOOKUP(A5,Ausschüttungsquote!A3:S68,19,FALSE)</f>
        <v>0.10002659609314746</v>
      </c>
      <c r="AX5" s="36">
        <f ca="1">IF(AU5&lt;Bewertung_Stammdaten!H$11,Bewertung_Stammdaten!G$11,IF(AU5&lt;Bewertung_Stammdaten!H$12,Bewertung_Stammdaten!G$12,IF(AU5&lt;Bewertung_Stammdaten!H$13,Bewertung_Stammdaten!G$13,IF(AU5&lt;Bewertung_Stammdaten!H$14,Bewertung_Stammdaten!G$14,IF(AU5&lt;Bewertung_Stammdaten!H$15,Bewertung_Stammdaten!G$15,IF(AU5&lt;Bewertung_Stammdaten!H$16,Bewertung_Stammdaten!G$16,IF(AU5&lt;Bewertung_Stammdaten!H$17,Bewertung_Stammdaten!G$17,IF(AU5&lt;Bewertung_Stammdaten!H$18,Bewertung_Stammdaten!G$18,IF(AU5&lt;Bewertung_Stammdaten!H$19,Bewertung_Stammdaten!G$19,Bewertung_Stammdaten!G$20)))))))))</f>
        <v>2.5</v>
      </c>
      <c r="AY5" s="47">
        <f>IF(AV5&lt;Bewertung_Stammdaten!B$24,Bewertung_Stammdaten!A$24,IF(AV5&lt;Bewertung_Stammdaten!B$25,Bewertung_Stammdaten!A$25,IF(AV5&lt;Bewertung_Stammdaten!B$26,Bewertung_Stammdaten!A$26,IF(AV5&lt;Bewertung_Stammdaten!B$27,Bewertung_Stammdaten!A$27,IF(AV5&lt;Bewertung_Stammdaten!B$28,Bewertung_Stammdaten!A$28,IF(AV5&lt;Bewertung_Stammdaten!B$29,Bewertung_Stammdaten!A$29,IF(AV5&lt;Bewertung_Stammdaten!B$30,Bewertung_Stammdaten!A$30,IF(AV5&lt;Bewertung_Stammdaten!B$31,Bewertung_Stammdaten!A$31,IF(AV5&lt;Bewertung_Stammdaten!B$32,Bewertung_Stammdaten!A$32,Bewertung_Stammdaten!A$33)))))))))</f>
        <v>3</v>
      </c>
      <c r="AZ5" s="36">
        <f ca="1">IF(AW5&lt;Bewertung_Stammdaten!J$11,Bewertung_Stammdaten!I$11,IF(AW5&lt;Bewertung_Stammdaten!J$12,Bewertung_Stammdaten!I$12,IF(AW5&lt;Bewertung_Stammdaten!J$13,Bewertung_Stammdaten!I$13,IF(AW5&lt;Bewertung_Stammdaten!J$14,Bewertung_Stammdaten!I$14,IF(AW5&lt;Bewertung_Stammdaten!J$15,Bewertung_Stammdaten!I$15,IF(AW5&lt;Bewertung_Stammdaten!J$16,Bewertung_Stammdaten!I$16,IF(AW5&lt;Bewertung_Stammdaten!J$17,Bewertung_Stammdaten!I$17,IF(AW5&lt;Bewertung_Stammdaten!J$18,Bewertung_Stammdaten!I$18,IF(AW5&lt;Bewertung_Stammdaten!J$19,Bewertung_Stammdaten!I$19,Bewertung_Stammdaten!I$20)))))))))</f>
        <v>1.5</v>
      </c>
    </row>
    <row r="6" spans="1:52" x14ac:dyDescent="0.25">
      <c r="A6" s="44" t="s">
        <v>8</v>
      </c>
      <c r="B6" s="44" t="s">
        <v>9</v>
      </c>
      <c r="C6" s="36">
        <f t="shared" ca="1" si="0"/>
        <v>61.5</v>
      </c>
      <c r="D6" s="49"/>
      <c r="E6" s="12">
        <f ca="1">VLOOKUP(A6,KGV!A3:S68,18,FALSE)</f>
        <v>10.164166666666667</v>
      </c>
      <c r="F6" s="12">
        <f>VLOOKUP(A6,KGV!A3:S68,15,FALSE)</f>
        <v>10.7</v>
      </c>
      <c r="G6" s="13">
        <f ca="1">VLOOKUP(A6,KGV!A3:S68,19,FALSE)</f>
        <v>-5.0077881619937648E-2</v>
      </c>
      <c r="H6" s="19">
        <f t="shared" ca="1" si="1"/>
        <v>99</v>
      </c>
      <c r="I6" s="13">
        <f t="shared" ca="1" si="2"/>
        <v>8.2523364485981308</v>
      </c>
      <c r="J6" s="36">
        <f ca="1">IF(G6&lt;Bewertung_Stammdaten!B$11,Bewertung_Stammdaten!A$11,IF(G6&lt;Bewertung_Stammdaten!B$12,Bewertung_Stammdaten!A$12,IF(G6&lt;Bewertung_Stammdaten!B$13,Bewertung_Stammdaten!A$13,IF(G6&lt;Bewertung_Stammdaten!B$14,Bewertung_Stammdaten!A$14,IF(G6&lt;Bewertung_Stammdaten!B$15,Bewertung_Stammdaten!A$15,IF(G6&lt;Bewertung_Stammdaten!B$16,Bewertung_Stammdaten!A$16,IF(G6&lt;Bewertung_Stammdaten!B$17,Bewertung_Stammdaten!A$17,IF(G6&lt;Bewertung_Stammdaten!B$18,Bewertung_Stammdaten!A$18,IF(G6&lt;Bewertung_Stammdaten!B$19,Bewertung_Stammdaten!A$19,Bewertung_Stammdaten!A$20)))))))))</f>
        <v>14</v>
      </c>
      <c r="K6" s="36">
        <f ca="1">IF(I6&lt;Bewertung_Stammdaten!N$11,Bewertung_Stammdaten!M$11,IF(I6&lt;Bewertung_Stammdaten!N$12,Bewertung_Stammdaten!M$12,IF(I6&lt;Bewertung_Stammdaten!N$13,Bewertung_Stammdaten!M$13,IF(I6&lt;Bewertung_Stammdaten!N$14,Bewertung_Stammdaten!M$14,IF(I6&lt;Bewertung_Stammdaten!N$15,Bewertung_Stammdaten!M$15,IF(I6&lt;Bewertung_Stammdaten!N$16,Bewertung_Stammdaten!M$16,IF(I6&lt;Bewertung_Stammdaten!N$17,Bewertung_Stammdaten!M$17,IF(I6&lt;Bewertung_Stammdaten!N$18,Bewertung_Stammdaten!M$18,IF(I6&lt;Bewertung_Stammdaten!N$19,Bewertung_Stammdaten!M$19,Bewertung_Stammdaten!M$20)))))))))</f>
        <v>1</v>
      </c>
      <c r="L6" s="49"/>
      <c r="M6" s="12">
        <f ca="1">VLOOKUP(A6,Buchwert_je_Aktie!A3:AC68,18,FALSE)</f>
        <v>47.723333333333329</v>
      </c>
      <c r="N6" s="12">
        <f>VLOOKUP(A6,Buchwert_je_Aktie!A3:AC68,15,FALSE)</f>
        <v>57.621000000000002</v>
      </c>
      <c r="O6" s="13">
        <f ca="1">VLOOKUP(A6,Buchwert_je_Aktie!A3:AC68,19,FALSE)</f>
        <v>-0.17177186558141433</v>
      </c>
      <c r="P6" s="13">
        <f>VLOOKUP(A6,Buchwert_je_Aktie!A3:AC68,29,FALSE)</f>
        <v>-0.22995418098510889</v>
      </c>
      <c r="Q6" s="19">
        <f t="shared" ca="1" si="6"/>
        <v>36.74915330278732</v>
      </c>
      <c r="R6" s="13">
        <f t="shared" ca="1" si="3"/>
        <v>-0.3622263879004648</v>
      </c>
      <c r="S6" s="58">
        <f ca="1">IF(O6&lt;Bewertung_Stammdaten!D$24,Bewertung_Stammdaten!C$24,IF(O6&lt;Bewertung_Stammdaten!D$25,Bewertung_Stammdaten!C$25,IF(O6&lt;Bewertung_Stammdaten!D$26,Bewertung_Stammdaten!C$26,IF(O6&lt;Bewertung_Stammdaten!D$27,Bewertung_Stammdaten!C$27,IF(O6&lt;Bewertung_Stammdaten!D$28,Bewertung_Stammdaten!C$28,IF(O6&lt;Bewertung_Stammdaten!D$29,Bewertung_Stammdaten!C$29,IF(O6&lt;Bewertung_Stammdaten!D$30,Bewertung_Stammdaten!C$30,IF(O6&lt;Bewertung_Stammdaten!D$31,Bewertung_Stammdaten!C$31,IF(O6&lt;Bewertung_Stammdaten!D$32,Bewertung_Stammdaten!C$32,Bewertung_Stammdaten!C$33)))))))))</f>
        <v>2</v>
      </c>
      <c r="T6" s="58">
        <f>IF(P6&lt;Bewertung_Stammdaten!F$24,Bewertung_Stammdaten!E$24,IF(P6&lt;Bewertung_Stammdaten!F$25,Bewertung_Stammdaten!E$25,IF(P6&lt;Bewertung_Stammdaten!F$26,Bewertung_Stammdaten!E$26,IF(P6&lt;Bewertung_Stammdaten!F$27,Bewertung_Stammdaten!E$27,IF(P6&lt;Bewertung_Stammdaten!F$28,Bewertung_Stammdaten!E$28,IF(P6&lt;Bewertung_Stammdaten!F$29,Bewertung_Stammdaten!E$29,IF(P6&lt;Bewertung_Stammdaten!F$30,Bewertung_Stammdaten!E$30,IF(P6&lt;Bewertung_Stammdaten!F$31,Bewertung_Stammdaten!E$31,IF(P6&lt;Bewertung_Stammdaten!F$32,Bewertung_Stammdaten!E$32,Bewertung_Stammdaten!E$33)))))))))</f>
        <v>4.5</v>
      </c>
      <c r="U6" s="58">
        <f ca="1">IF(R6&lt;Bewertung_Stammdaten!H$24,Bewertung_Stammdaten!G$24,IF(R6&lt;Bewertung_Stammdaten!H$25,Bewertung_Stammdaten!G$25,IF(R6&lt;Bewertung_Stammdaten!H$26,Bewertung_Stammdaten!G$26,IF(R6&lt;Bewertung_Stammdaten!H$27,Bewertung_Stammdaten!G$27,IF(R6&lt;Bewertung_Stammdaten!H$28,Bewertung_Stammdaten!G$28,IF(R6&lt;Bewertung_Stammdaten!H$29,Bewertung_Stammdaten!G$29,IF(R6&lt;Bewertung_Stammdaten!H$30,Bewertung_Stammdaten!G$30,IF(R6&lt;Bewertung_Stammdaten!H$31,Bewertung_Stammdaten!G$31,IF(R6&lt;Bewertung_Stammdaten!H$32,Bewertung_Stammdaten!G$32,Bewertung_Stammdaten!G$33)))))))))</f>
        <v>1</v>
      </c>
      <c r="V6" s="49"/>
      <c r="W6" s="17">
        <f ca="1">VLOOKUP(A6,Ergebnis_je_Aktie_verwässert!A3:S68,18,FALSE)</f>
        <v>2.8078611111111109</v>
      </c>
      <c r="X6" s="17">
        <f>VLOOKUP(A6,Ergebnis_je_Aktie_verwässert!A3:S68,15,FALSE)</f>
        <v>4.3530000000000006</v>
      </c>
      <c r="Y6" s="13">
        <f ca="1">VLOOKUP(A6,Ergebnis_je_Aktie_verwässert!A3:S68,19,FALSE)</f>
        <v>-0.35495954258876394</v>
      </c>
      <c r="Z6" s="46">
        <f>VLOOKUP(A6,Ergebnis_je_Aktie_verwässert!A3:AC68,29,FALSE)</f>
        <v>-1.9119579500657031</v>
      </c>
      <c r="AA6" s="19">
        <f t="shared" ca="1" si="4"/>
        <v>-2.5606512629580962</v>
      </c>
      <c r="AB6" s="13">
        <f t="shared" ca="1" si="5"/>
        <v>-1.5882497732501943</v>
      </c>
      <c r="AC6" s="36">
        <f ca="1">IF(Y6&lt;Bewertung_Stammdaten!L$11,Bewertung_Stammdaten!K$11,IF(Y6&lt;Bewertung_Stammdaten!L$12,Bewertung_Stammdaten!K$12,IF(Y6&lt;Bewertung_Stammdaten!L$13,Bewertung_Stammdaten!K$13,IF(Y6&lt;Bewertung_Stammdaten!L$14,Bewertung_Stammdaten!K$14,IF(Y6&lt;Bewertung_Stammdaten!L$15,Bewertung_Stammdaten!K$15,IF(Y6&lt;Bewertung_Stammdaten!L$16,Bewertung_Stammdaten!K$16,IF(Y6&lt;Bewertung_Stammdaten!L$17,Bewertung_Stammdaten!K$17,IF(Y6&lt;Bewertung_Stammdaten!L$18,Bewertung_Stammdaten!K$18,IF(Y6&lt;Bewertung_Stammdaten!L$19,Bewertung_Stammdaten!K$19,Bewertung_Stammdaten!K$20)))))))))</f>
        <v>2</v>
      </c>
      <c r="AD6" s="36">
        <f>IF(Z6&lt;Bewertung_Stammdaten!R$11,Bewertung_Stammdaten!Q$11,IF(Z6&lt;Bewertung_Stammdaten!R$12,Bewertung_Stammdaten!Q$12,IF(Z6&lt;Bewertung_Stammdaten!R$13,Bewertung_Stammdaten!Q$13,IF(Z6&lt;Bewertung_Stammdaten!R$14,Bewertung_Stammdaten!Q$14,IF(Z6&lt;Bewertung_Stammdaten!R$15,Bewertung_Stammdaten!Q$15,IF(Z6&lt;Bewertung_Stammdaten!R$16,Bewertung_Stammdaten!Q$16,IF(Z6&lt;Bewertung_Stammdaten!R$17,Bewertung_Stammdaten!Q$17,IF(Z6&lt;Bewertung_Stammdaten!R$18,Bewertung_Stammdaten!Q$18,IF(Z6&lt;Bewertung_Stammdaten!R$19,Bewertung_Stammdaten!Q$19,Bewertung_Stammdaten!Q$20)))))))))</f>
        <v>1</v>
      </c>
      <c r="AE6" s="36">
        <f ca="1">IF(AB6&lt;Bewertung_Stammdaten!P$11,Bewertung_Stammdaten!O$11,IF(AB6&lt;Bewertung_Stammdaten!P$12,Bewertung_Stammdaten!O$12,IF(AB6&lt;Bewertung_Stammdaten!P$13,Bewertung_Stammdaten!O$13,IF(AB6&lt;Bewertung_Stammdaten!P$14,Bewertung_Stammdaten!O$14,IF(AB6&lt;Bewertung_Stammdaten!P$15,Bewertung_Stammdaten!O$15,IF(AB6&lt;Bewertung_Stammdaten!P$16,Bewertung_Stammdaten!O$16,IF(AB6&lt;Bewertung_Stammdaten!P$17,Bewertung_Stammdaten!O$17,IF(AB6&lt;Bewertung_Stammdaten!P$18,Bewertung_Stammdaten!O$18,IF(AB6&lt;Bewertung_Stammdaten!P$19,Bewertung_Stammdaten!O$19,Bewertung_Stammdaten!O$20)))))))))</f>
        <v>1</v>
      </c>
      <c r="AF6" s="49"/>
      <c r="AG6" s="13">
        <f ca="1">VLOOKUP(A6,Dividendenrendite!A3:S68,18,FALSE)</f>
        <v>3.3827777777777776E-2</v>
      </c>
      <c r="AH6" s="13">
        <f>VLOOKUP(A6,Dividendenrendite!A3:S68,15,FALSE)</f>
        <v>2.6860000000000002E-2</v>
      </c>
      <c r="AI6" s="13">
        <f ca="1">VLOOKUP(A6,Dividendenrendite!A3:S68,19,FALSE)</f>
        <v>0.25941093737072873</v>
      </c>
      <c r="AJ6" s="36">
        <f ca="1">IF(AG6&lt;Bewertung_Stammdaten!D$11,Bewertung_Stammdaten!C$11,IF(AG6&lt;Bewertung_Stammdaten!D$12,Bewertung_Stammdaten!C$12,IF(AG6&lt;Bewertung_Stammdaten!D$13,Bewertung_Stammdaten!C$13,IF(AG6&lt;Bewertung_Stammdaten!D$14,Bewertung_Stammdaten!C$14,IF(AG6&lt;Bewertung_Stammdaten!D$15,Bewertung_Stammdaten!C$15,IF(AG6&lt;Bewertung_Stammdaten!D$16,Bewertung_Stammdaten!C$16,IF(AG6&lt;Bewertung_Stammdaten!D$17,Bewertung_Stammdaten!C$17,IF(AG6&lt;Bewertung_Stammdaten!D$18,Bewertung_Stammdaten!C$18,IF(AG6&lt;Bewertung_Stammdaten!D$19,Bewertung_Stammdaten!C$19,Bewertung_Stammdaten!C$20)))))))))</f>
        <v>10.5</v>
      </c>
      <c r="AK6" s="36">
        <f>IF(AH6&lt;Bewertung_Stammdaten!T$11,Bewertung_Stammdaten!S$11,IF(AH6&lt;Bewertung_Stammdaten!T$12,Bewertung_Stammdaten!S$12,IF(AH6&lt;Bewertung_Stammdaten!T$13,Bewertung_Stammdaten!S$13,IF(AH6&lt;Bewertung_Stammdaten!T$14,Bewertung_Stammdaten!S$14,IF(AH6&lt;Bewertung_Stammdaten!T$15,Bewertung_Stammdaten!S$15,IF(AH6&lt;Bewertung_Stammdaten!T$16,Bewertung_Stammdaten!S$16,IF(AH6&lt;Bewertung_Stammdaten!T$17,Bewertung_Stammdaten!S$17,IF(AH6&lt;Bewertung_Stammdaten!T$18,Bewertung_Stammdaten!S$18,IF(AH6&lt;Bewertung_Stammdaten!T$19,Bewertung_Stammdaten!S$19,Bewertung_Stammdaten!S$20)))))))))</f>
        <v>6</v>
      </c>
      <c r="AL6" s="36">
        <f ca="1">IF(AI6&lt;Bewertung_Stammdaten!F$11,Bewertung_Stammdaten!E$11,IF(AI6&lt;Bewertung_Stammdaten!F$12,Bewertung_Stammdaten!E$12,IF(AI6&lt;Bewertung_Stammdaten!F$13,Bewertung_Stammdaten!E$13,IF(AI6&lt;Bewertung_Stammdaten!F$14,Bewertung_Stammdaten!E$14,IF(AI6&lt;Bewertung_Stammdaten!F$15,Bewertung_Stammdaten!E$15,IF(AI6&lt;Bewertung_Stammdaten!F$16,Bewertung_Stammdaten!E$16,IF(AI6&lt;Bewertung_Stammdaten!F$17,Bewertung_Stammdaten!E$17,IF(AI6&lt;Bewertung_Stammdaten!F$18,Bewertung_Stammdaten!E$18,IF(AI6&lt;Bewertung_Stammdaten!F$19,Bewertung_Stammdaten!E$19,Bewertung_Stammdaten!E$20)))))))))</f>
        <v>5</v>
      </c>
      <c r="AM6" s="49"/>
      <c r="AN6" s="13">
        <f>VLOOKUP(A6,Aktien_im_Umlauf_splitbereinigt!A3:W68,13,FALSE)</f>
        <v>9.7364174287251304E-2</v>
      </c>
      <c r="AO6" s="13">
        <f>VLOOKUP(A6,Aktien_im_Umlauf_splitbereinigt!A3:W68,22,FALSE)</f>
        <v>8.7150120614181426E-2</v>
      </c>
      <c r="AP6" s="13">
        <f>VLOOKUP(A6,Aktien_im_Umlauf_splitbereinigt!A3:W68,23,FALSE)</f>
        <v>-99.999989999999997</v>
      </c>
      <c r="AQ6" s="47">
        <f>IF(AN6&lt;Bewertung_Stammdaten!J$24,Bewertung_Stammdaten!I$24,IF(AN6&lt;Bewertung_Stammdaten!J$25,Bewertung_Stammdaten!I$25,IF(AN6&lt;Bewertung_Stammdaten!J$26,Bewertung_Stammdaten!I$26,IF(AN6&lt;Bewertung_Stammdaten!J$27,Bewertung_Stammdaten!I$27,IF(AN6&lt;Bewertung_Stammdaten!J$28,Bewertung_Stammdaten!I$28,IF(AN6&lt;Bewertung_Stammdaten!J$29,Bewertung_Stammdaten!I$29,IF(AN6&lt;Bewertung_Stammdaten!J$30,Bewertung_Stammdaten!I$30,IF(AN6&lt;Bewertung_Stammdaten!J$31,Bewertung_Stammdaten!I$31,IF(AN6&lt;Bewertung_Stammdaten!J$32,Bewertung_Stammdaten!I$32,Bewertung_Stammdaten!I$33)))))))))</f>
        <v>0.5</v>
      </c>
      <c r="AR6" s="47">
        <f>IF(AO6&lt;Bewertung_Stammdaten!L$24,Bewertung_Stammdaten!K$24,IF(AO6&lt;Bewertung_Stammdaten!L$25,Bewertung_Stammdaten!K$25,IF(AO6&lt;Bewertung_Stammdaten!L$26,Bewertung_Stammdaten!K$26,IF(AO6&lt;Bewertung_Stammdaten!L$27,Bewertung_Stammdaten!K$27,IF(AO6&lt;Bewertung_Stammdaten!L$28,Bewertung_Stammdaten!K$28,IF(AO6&lt;Bewertung_Stammdaten!L$29,Bewertung_Stammdaten!K$29,IF(AO6&lt;Bewertung_Stammdaten!L$30,Bewertung_Stammdaten!K$30,IF(AO6&lt;Bewertung_Stammdaten!L$31,Bewertung_Stammdaten!K$31,IF(AO6&lt;Bewertung_Stammdaten!L$32,Bewertung_Stammdaten!K$32,Bewertung_Stammdaten!K$33)))))))))</f>
        <v>0.5</v>
      </c>
      <c r="AS6" s="47">
        <f>IF(AP6&lt;Bewertung_Stammdaten!N$24,Bewertung_Stammdaten!M$24,IF(AP6&lt;Bewertung_Stammdaten!N$25,Bewertung_Stammdaten!M$25,IF(AP6&lt;Bewertung_Stammdaten!N$26,Bewertung_Stammdaten!M$26,IF(AP6&lt;Bewertung_Stammdaten!N$27,Bewertung_Stammdaten!M$27,IF(AP6&lt;Bewertung_Stammdaten!N$28,Bewertung_Stammdaten!M$28,IF(AP6&lt;Bewertung_Stammdaten!N$29,Bewertung_Stammdaten!M$29,IF(AP6&lt;Bewertung_Stammdaten!N$30,Bewertung_Stammdaten!M$30,IF(AP6&lt;Bewertung_Stammdaten!N$31,Bewertung_Stammdaten!M$31,IF(AP6&lt;Bewertung_Stammdaten!N$32,Bewertung_Stammdaten!M$32,Bewertung_Stammdaten!M$33)))))))))</f>
        <v>0.5</v>
      </c>
      <c r="AT6" s="49"/>
      <c r="AU6" s="13">
        <f ca="1">VLOOKUP(A6,Ausschüttungsquote!A3:S68,18,FALSE)</f>
        <v>0.33040250752021061</v>
      </c>
      <c r="AV6" s="13">
        <f>VLOOKUP(A6,Ausschüttungsquote!A3:S68,15,FALSE)</f>
        <v>0.67992437097376157</v>
      </c>
      <c r="AW6" s="13">
        <f ca="1">VLOOKUP(A6,Ausschüttungsquote!A3:S68,19,FALSE)</f>
        <v>-0.51405991368272208</v>
      </c>
      <c r="AX6" s="36">
        <f ca="1">IF(AU6&lt;Bewertung_Stammdaten!H$11,Bewertung_Stammdaten!G$11,IF(AU6&lt;Bewertung_Stammdaten!H$12,Bewertung_Stammdaten!G$12,IF(AU6&lt;Bewertung_Stammdaten!H$13,Bewertung_Stammdaten!G$13,IF(AU6&lt;Bewertung_Stammdaten!H$14,Bewertung_Stammdaten!G$14,IF(AU6&lt;Bewertung_Stammdaten!H$15,Bewertung_Stammdaten!G$15,IF(AU6&lt;Bewertung_Stammdaten!H$16,Bewertung_Stammdaten!G$16,IF(AU6&lt;Bewertung_Stammdaten!H$17,Bewertung_Stammdaten!G$17,IF(AU6&lt;Bewertung_Stammdaten!H$18,Bewertung_Stammdaten!G$18,IF(AU6&lt;Bewertung_Stammdaten!H$19,Bewertung_Stammdaten!G$19,Bewertung_Stammdaten!G$20)))))))))</f>
        <v>5</v>
      </c>
      <c r="AY6" s="47">
        <f>IF(AV6&lt;Bewertung_Stammdaten!B$24,Bewertung_Stammdaten!A$24,IF(AV6&lt;Bewertung_Stammdaten!B$25,Bewertung_Stammdaten!A$25,IF(AV6&lt;Bewertung_Stammdaten!B$26,Bewertung_Stammdaten!A$26,IF(AV6&lt;Bewertung_Stammdaten!B$27,Bewertung_Stammdaten!A$27,IF(AV6&lt;Bewertung_Stammdaten!B$28,Bewertung_Stammdaten!A$28,IF(AV6&lt;Bewertung_Stammdaten!B$29,Bewertung_Stammdaten!A$29,IF(AV6&lt;Bewertung_Stammdaten!B$30,Bewertung_Stammdaten!A$30,IF(AV6&lt;Bewertung_Stammdaten!B$31,Bewertung_Stammdaten!A$31,IF(AV6&lt;Bewertung_Stammdaten!B$32,Bewertung_Stammdaten!A$32,Bewertung_Stammdaten!A$33)))))))))</f>
        <v>2</v>
      </c>
      <c r="AZ6" s="36">
        <f ca="1">IF(AW6&lt;Bewertung_Stammdaten!J$11,Bewertung_Stammdaten!I$11,IF(AW6&lt;Bewertung_Stammdaten!J$12,Bewertung_Stammdaten!I$12,IF(AW6&lt;Bewertung_Stammdaten!J$13,Bewertung_Stammdaten!I$13,IF(AW6&lt;Bewertung_Stammdaten!J$14,Bewertung_Stammdaten!I$14,IF(AW6&lt;Bewertung_Stammdaten!J$15,Bewertung_Stammdaten!I$15,IF(AW6&lt;Bewertung_Stammdaten!J$16,Bewertung_Stammdaten!I$16,IF(AW6&lt;Bewertung_Stammdaten!J$17,Bewertung_Stammdaten!I$17,IF(AW6&lt;Bewertung_Stammdaten!J$18,Bewertung_Stammdaten!I$18,IF(AW6&lt;Bewertung_Stammdaten!J$19,Bewertung_Stammdaten!I$19,Bewertung_Stammdaten!I$20)))))))))</f>
        <v>5</v>
      </c>
    </row>
    <row r="7" spans="1:52" x14ac:dyDescent="0.25">
      <c r="A7" s="44" t="s">
        <v>10</v>
      </c>
      <c r="B7" s="44" t="s">
        <v>11</v>
      </c>
      <c r="C7" s="36">
        <f t="shared" ca="1" si="0"/>
        <v>112.5</v>
      </c>
      <c r="D7" s="49"/>
      <c r="E7" s="12">
        <f ca="1">VLOOKUP(A7,KGV!A3:S68,18,FALSE)</f>
        <v>25.132777777777775</v>
      </c>
      <c r="F7" s="12">
        <f>VLOOKUP(A7,KGV!A3:S68,15,FALSE)</f>
        <v>31.5</v>
      </c>
      <c r="G7" s="13">
        <f ca="1">VLOOKUP(A7,KGV!A3:S68,19,FALSE)</f>
        <v>-0.20213403880070557</v>
      </c>
      <c r="H7" s="19">
        <f t="shared" ca="1" si="1"/>
        <v>37.775326599326597</v>
      </c>
      <c r="I7" s="13">
        <f t="shared" ca="1" si="2"/>
        <v>0.19921671743893965</v>
      </c>
      <c r="J7" s="36">
        <f ca="1">IF(G7&lt;Bewertung_Stammdaten!B$11,Bewertung_Stammdaten!A$11,IF(G7&lt;Bewertung_Stammdaten!B$12,Bewertung_Stammdaten!A$12,IF(G7&lt;Bewertung_Stammdaten!B$13,Bewertung_Stammdaten!A$13,IF(G7&lt;Bewertung_Stammdaten!B$14,Bewertung_Stammdaten!A$14,IF(G7&lt;Bewertung_Stammdaten!B$15,Bewertung_Stammdaten!A$15,IF(G7&lt;Bewertung_Stammdaten!B$16,Bewertung_Stammdaten!A$16,IF(G7&lt;Bewertung_Stammdaten!B$17,Bewertung_Stammdaten!A$17,IF(G7&lt;Bewertung_Stammdaten!B$18,Bewertung_Stammdaten!A$18,IF(G7&lt;Bewertung_Stammdaten!B$19,Bewertung_Stammdaten!A$19,Bewertung_Stammdaten!A$20)))))))))</f>
        <v>20</v>
      </c>
      <c r="K7" s="36">
        <f ca="1">IF(I7&lt;Bewertung_Stammdaten!N$11,Bewertung_Stammdaten!M$11,IF(I7&lt;Bewertung_Stammdaten!N$12,Bewertung_Stammdaten!M$12,IF(I7&lt;Bewertung_Stammdaten!N$13,Bewertung_Stammdaten!M$13,IF(I7&lt;Bewertung_Stammdaten!N$14,Bewertung_Stammdaten!M$14,IF(I7&lt;Bewertung_Stammdaten!N$15,Bewertung_Stammdaten!M$15,IF(I7&lt;Bewertung_Stammdaten!N$16,Bewertung_Stammdaten!M$16,IF(I7&lt;Bewertung_Stammdaten!N$17,Bewertung_Stammdaten!M$17,IF(I7&lt;Bewertung_Stammdaten!N$18,Bewertung_Stammdaten!M$18,IF(I7&lt;Bewertung_Stammdaten!N$19,Bewertung_Stammdaten!M$19,Bewertung_Stammdaten!M$20)))))))))</f>
        <v>2</v>
      </c>
      <c r="L7" s="49"/>
      <c r="M7" s="12">
        <f ca="1">VLOOKUP(A7,Buchwert_je_Aktie!A3:AC68,18,FALSE)</f>
        <v>19.226111111111113</v>
      </c>
      <c r="N7" s="12">
        <f>VLOOKUP(A7,Buchwert_je_Aktie!A3:AC68,15,FALSE)</f>
        <v>9.4869999999999983</v>
      </c>
      <c r="O7" s="13">
        <f ca="1">VLOOKUP(A7,Buchwert_je_Aktie!A3:AC68,19,FALSE)</f>
        <v>1.0265743766323512</v>
      </c>
      <c r="P7" s="13">
        <f>VLOOKUP(A7,Buchwert_je_Aktie!A3:AC68,29,FALSE)</f>
        <v>3.2786885245901676E-2</v>
      </c>
      <c r="Q7" s="19">
        <f t="shared" ca="1" si="6"/>
        <v>19.226111111111113</v>
      </c>
      <c r="R7" s="13">
        <f t="shared" ca="1" si="3"/>
        <v>1.0265743766323512</v>
      </c>
      <c r="S7" s="58">
        <f ca="1">IF(O7&lt;Bewertung_Stammdaten!D$24,Bewertung_Stammdaten!C$24,IF(O7&lt;Bewertung_Stammdaten!D$25,Bewertung_Stammdaten!C$25,IF(O7&lt;Bewertung_Stammdaten!D$26,Bewertung_Stammdaten!C$26,IF(O7&lt;Bewertung_Stammdaten!D$27,Bewertung_Stammdaten!C$27,IF(O7&lt;Bewertung_Stammdaten!D$28,Bewertung_Stammdaten!C$28,IF(O7&lt;Bewertung_Stammdaten!D$29,Bewertung_Stammdaten!C$29,IF(O7&lt;Bewertung_Stammdaten!D$30,Bewertung_Stammdaten!C$30,IF(O7&lt;Bewertung_Stammdaten!D$31,Bewertung_Stammdaten!C$31,IF(O7&lt;Bewertung_Stammdaten!D$32,Bewertung_Stammdaten!C$32,Bewertung_Stammdaten!C$33)))))))))</f>
        <v>20</v>
      </c>
      <c r="T7" s="58">
        <f>IF(P7&lt;Bewertung_Stammdaten!F$24,Bewertung_Stammdaten!E$24,IF(P7&lt;Bewertung_Stammdaten!F$25,Bewertung_Stammdaten!E$25,IF(P7&lt;Bewertung_Stammdaten!F$26,Bewertung_Stammdaten!E$26,IF(P7&lt;Bewertung_Stammdaten!F$27,Bewertung_Stammdaten!E$27,IF(P7&lt;Bewertung_Stammdaten!F$28,Bewertung_Stammdaten!E$28,IF(P7&lt;Bewertung_Stammdaten!F$29,Bewertung_Stammdaten!E$29,IF(P7&lt;Bewertung_Stammdaten!F$30,Bewertung_Stammdaten!E$30,IF(P7&lt;Bewertung_Stammdaten!F$31,Bewertung_Stammdaten!E$31,IF(P7&lt;Bewertung_Stammdaten!F$32,Bewertung_Stammdaten!E$32,Bewertung_Stammdaten!E$33)))))))))</f>
        <v>12</v>
      </c>
      <c r="U7" s="58">
        <f ca="1">IF(R7&lt;Bewertung_Stammdaten!H$24,Bewertung_Stammdaten!G$24,IF(R7&lt;Bewertung_Stammdaten!H$25,Bewertung_Stammdaten!G$25,IF(R7&lt;Bewertung_Stammdaten!H$26,Bewertung_Stammdaten!G$26,IF(R7&lt;Bewertung_Stammdaten!H$27,Bewertung_Stammdaten!G$27,IF(R7&lt;Bewertung_Stammdaten!H$28,Bewertung_Stammdaten!G$28,IF(R7&lt;Bewertung_Stammdaten!H$29,Bewertung_Stammdaten!G$29,IF(R7&lt;Bewertung_Stammdaten!H$30,Bewertung_Stammdaten!G$30,IF(R7&lt;Bewertung_Stammdaten!H$31,Bewertung_Stammdaten!G$31,IF(R7&lt;Bewertung_Stammdaten!H$32,Bewertung_Stammdaten!G$32,Bewertung_Stammdaten!G$33)))))))))</f>
        <v>10</v>
      </c>
      <c r="V7" s="49"/>
      <c r="W7" s="17">
        <f ca="1">VLOOKUP(A7,Ergebnis_je_Aktie_verwässert!A3:S68,18,FALSE)</f>
        <v>2.7127499999999998</v>
      </c>
      <c r="X7" s="17">
        <f>VLOOKUP(A7,Ergebnis_je_Aktie_verwässert!A3:S68,15,FALSE)</f>
        <v>1.6990000000000003</v>
      </c>
      <c r="Y7" s="13">
        <f ca="1">VLOOKUP(A7,Ergebnis_je_Aktie_verwässert!A3:S68,19,FALSE)</f>
        <v>0.59667451442024677</v>
      </c>
      <c r="Z7" s="46">
        <f>VLOOKUP(A7,Ergebnis_je_Aktie_verwässert!A3:AC68,29,FALSE)</f>
        <v>-0.33467741935483875</v>
      </c>
      <c r="AA7" s="19">
        <f t="shared" ca="1" si="4"/>
        <v>1.8048538306451611</v>
      </c>
      <c r="AB7" s="13">
        <f t="shared" ca="1" si="5"/>
        <v>6.230360838443838E-2</v>
      </c>
      <c r="AC7" s="36">
        <f ca="1">IF(Y7&lt;Bewertung_Stammdaten!L$11,Bewertung_Stammdaten!K$11,IF(Y7&lt;Bewertung_Stammdaten!L$12,Bewertung_Stammdaten!K$12,IF(Y7&lt;Bewertung_Stammdaten!L$13,Bewertung_Stammdaten!K$13,IF(Y7&lt;Bewertung_Stammdaten!L$14,Bewertung_Stammdaten!K$14,IF(Y7&lt;Bewertung_Stammdaten!L$15,Bewertung_Stammdaten!K$15,IF(Y7&lt;Bewertung_Stammdaten!L$16,Bewertung_Stammdaten!K$16,IF(Y7&lt;Bewertung_Stammdaten!L$17,Bewertung_Stammdaten!K$17,IF(Y7&lt;Bewertung_Stammdaten!L$18,Bewertung_Stammdaten!K$18,IF(Y7&lt;Bewertung_Stammdaten!L$19,Bewertung_Stammdaten!K$19,Bewertung_Stammdaten!K$20)))))))))</f>
        <v>14</v>
      </c>
      <c r="AD7" s="36">
        <f>IF(Z7&lt;Bewertung_Stammdaten!R$11,Bewertung_Stammdaten!Q$11,IF(Z7&lt;Bewertung_Stammdaten!R$12,Bewertung_Stammdaten!Q$12,IF(Z7&lt;Bewertung_Stammdaten!R$13,Bewertung_Stammdaten!Q$13,IF(Z7&lt;Bewertung_Stammdaten!R$14,Bewertung_Stammdaten!Q$14,IF(Z7&lt;Bewertung_Stammdaten!R$15,Bewertung_Stammdaten!Q$15,IF(Z7&lt;Bewertung_Stammdaten!R$16,Bewertung_Stammdaten!Q$16,IF(Z7&lt;Bewertung_Stammdaten!R$17,Bewertung_Stammdaten!Q$17,IF(Z7&lt;Bewertung_Stammdaten!R$18,Bewertung_Stammdaten!Q$18,IF(Z7&lt;Bewertung_Stammdaten!R$19,Bewertung_Stammdaten!Q$19,Bewertung_Stammdaten!Q$20)))))))))</f>
        <v>4</v>
      </c>
      <c r="AE7" s="36">
        <f ca="1">IF(AB7&lt;Bewertung_Stammdaten!P$11,Bewertung_Stammdaten!O$11,IF(AB7&lt;Bewertung_Stammdaten!P$12,Bewertung_Stammdaten!O$12,IF(AB7&lt;Bewertung_Stammdaten!P$13,Bewertung_Stammdaten!O$13,IF(AB7&lt;Bewertung_Stammdaten!P$14,Bewertung_Stammdaten!O$14,IF(AB7&lt;Bewertung_Stammdaten!P$15,Bewertung_Stammdaten!O$15,IF(AB7&lt;Bewertung_Stammdaten!P$16,Bewertung_Stammdaten!O$16,IF(AB7&lt;Bewertung_Stammdaten!P$17,Bewertung_Stammdaten!O$17,IF(AB7&lt;Bewertung_Stammdaten!P$18,Bewertung_Stammdaten!O$18,IF(AB7&lt;Bewertung_Stammdaten!P$19,Bewertung_Stammdaten!O$19,Bewertung_Stammdaten!O$20)))))))))</f>
        <v>2</v>
      </c>
      <c r="AF7" s="49"/>
      <c r="AG7" s="13">
        <f ca="1">VLOOKUP(A7,Dividendenrendite!A3:S68,18,FALSE)</f>
        <v>1.2063055555555556E-2</v>
      </c>
      <c r="AH7" s="13">
        <f>VLOOKUP(A7,Dividendenrendite!A3:S68,15,FALSE)</f>
        <v>1.391E-2</v>
      </c>
      <c r="AI7" s="13">
        <f ca="1">VLOOKUP(A7,Dividendenrendite!A3:S68,19,FALSE)</f>
        <v>-0.13277817717070051</v>
      </c>
      <c r="AJ7" s="36">
        <f ca="1">IF(AG7&lt;Bewertung_Stammdaten!D$11,Bewertung_Stammdaten!C$11,IF(AG7&lt;Bewertung_Stammdaten!D$12,Bewertung_Stammdaten!C$12,IF(AG7&lt;Bewertung_Stammdaten!D$13,Bewertung_Stammdaten!C$13,IF(AG7&lt;Bewertung_Stammdaten!D$14,Bewertung_Stammdaten!C$14,IF(AG7&lt;Bewertung_Stammdaten!D$15,Bewertung_Stammdaten!C$15,IF(AG7&lt;Bewertung_Stammdaten!D$16,Bewertung_Stammdaten!C$16,IF(AG7&lt;Bewertung_Stammdaten!D$17,Bewertung_Stammdaten!C$17,IF(AG7&lt;Bewertung_Stammdaten!D$18,Bewertung_Stammdaten!C$18,IF(AG7&lt;Bewertung_Stammdaten!D$19,Bewertung_Stammdaten!C$19,Bewertung_Stammdaten!C$20)))))))))</f>
        <v>4.5</v>
      </c>
      <c r="AK7" s="36">
        <f>IF(AH7&lt;Bewertung_Stammdaten!T$11,Bewertung_Stammdaten!S$11,IF(AH7&lt;Bewertung_Stammdaten!T$12,Bewertung_Stammdaten!S$12,IF(AH7&lt;Bewertung_Stammdaten!T$13,Bewertung_Stammdaten!S$13,IF(AH7&lt;Bewertung_Stammdaten!T$14,Bewertung_Stammdaten!S$14,IF(AH7&lt;Bewertung_Stammdaten!T$15,Bewertung_Stammdaten!S$15,IF(AH7&lt;Bewertung_Stammdaten!T$16,Bewertung_Stammdaten!S$16,IF(AH7&lt;Bewertung_Stammdaten!T$17,Bewertung_Stammdaten!S$17,IF(AH7&lt;Bewertung_Stammdaten!T$18,Bewertung_Stammdaten!S$18,IF(AH7&lt;Bewertung_Stammdaten!T$19,Bewertung_Stammdaten!S$19,Bewertung_Stammdaten!S$20)))))))))</f>
        <v>3</v>
      </c>
      <c r="AL7" s="36">
        <f ca="1">IF(AI7&lt;Bewertung_Stammdaten!F$11,Bewertung_Stammdaten!E$11,IF(AI7&lt;Bewertung_Stammdaten!F$12,Bewertung_Stammdaten!E$12,IF(AI7&lt;Bewertung_Stammdaten!F$13,Bewertung_Stammdaten!E$13,IF(AI7&lt;Bewertung_Stammdaten!F$14,Bewertung_Stammdaten!E$14,IF(AI7&lt;Bewertung_Stammdaten!F$15,Bewertung_Stammdaten!E$15,IF(AI7&lt;Bewertung_Stammdaten!F$16,Bewertung_Stammdaten!E$16,IF(AI7&lt;Bewertung_Stammdaten!F$17,Bewertung_Stammdaten!E$17,IF(AI7&lt;Bewertung_Stammdaten!F$18,Bewertung_Stammdaten!E$18,IF(AI7&lt;Bewertung_Stammdaten!F$19,Bewertung_Stammdaten!E$19,Bewertung_Stammdaten!E$20)))))))))</f>
        <v>1.5</v>
      </c>
      <c r="AM7" s="49"/>
      <c r="AN7" s="13">
        <f>VLOOKUP(A7,Aktien_im_Umlauf_splitbereinigt!A3:W68,13,FALSE)</f>
        <v>0</v>
      </c>
      <c r="AO7" s="13">
        <f>VLOOKUP(A7,Aktien_im_Umlauf_splitbereinigt!A3:W68,22,FALSE)</f>
        <v>0</v>
      </c>
      <c r="AP7" s="13">
        <f>VLOOKUP(A7,Aktien_im_Umlauf_splitbereinigt!A3:W68,23,FALSE)</f>
        <v>0</v>
      </c>
      <c r="AQ7" s="47">
        <f>IF(AN7&lt;Bewertung_Stammdaten!J$24,Bewertung_Stammdaten!I$24,IF(AN7&lt;Bewertung_Stammdaten!J$25,Bewertung_Stammdaten!I$25,IF(AN7&lt;Bewertung_Stammdaten!J$26,Bewertung_Stammdaten!I$26,IF(AN7&lt;Bewertung_Stammdaten!J$27,Bewertung_Stammdaten!I$27,IF(AN7&lt;Bewertung_Stammdaten!J$28,Bewertung_Stammdaten!I$28,IF(AN7&lt;Bewertung_Stammdaten!J$29,Bewertung_Stammdaten!I$29,IF(AN7&lt;Bewertung_Stammdaten!J$30,Bewertung_Stammdaten!I$30,IF(AN7&lt;Bewertung_Stammdaten!J$31,Bewertung_Stammdaten!I$31,IF(AN7&lt;Bewertung_Stammdaten!J$32,Bewertung_Stammdaten!I$32,Bewertung_Stammdaten!I$33)))))))))</f>
        <v>1</v>
      </c>
      <c r="AR7" s="47">
        <f>IF(AO7&lt;Bewertung_Stammdaten!L$24,Bewertung_Stammdaten!K$24,IF(AO7&lt;Bewertung_Stammdaten!L$25,Bewertung_Stammdaten!K$25,IF(AO7&lt;Bewertung_Stammdaten!L$26,Bewertung_Stammdaten!K$26,IF(AO7&lt;Bewertung_Stammdaten!L$27,Bewertung_Stammdaten!K$27,IF(AO7&lt;Bewertung_Stammdaten!L$28,Bewertung_Stammdaten!K$28,IF(AO7&lt;Bewertung_Stammdaten!L$29,Bewertung_Stammdaten!K$29,IF(AO7&lt;Bewertung_Stammdaten!L$30,Bewertung_Stammdaten!K$30,IF(AO7&lt;Bewertung_Stammdaten!L$31,Bewertung_Stammdaten!K$31,IF(AO7&lt;Bewertung_Stammdaten!L$32,Bewertung_Stammdaten!K$32,Bewertung_Stammdaten!K$33)))))))))</f>
        <v>1</v>
      </c>
      <c r="AS7" s="47">
        <f>IF(AP7&lt;Bewertung_Stammdaten!N$24,Bewertung_Stammdaten!M$24,IF(AP7&lt;Bewertung_Stammdaten!N$25,Bewertung_Stammdaten!M$25,IF(AP7&lt;Bewertung_Stammdaten!N$26,Bewertung_Stammdaten!M$26,IF(AP7&lt;Bewertung_Stammdaten!N$27,Bewertung_Stammdaten!M$27,IF(AP7&lt;Bewertung_Stammdaten!N$28,Bewertung_Stammdaten!M$28,IF(AP7&lt;Bewertung_Stammdaten!N$29,Bewertung_Stammdaten!M$29,IF(AP7&lt;Bewertung_Stammdaten!N$30,Bewertung_Stammdaten!M$30,IF(AP7&lt;Bewertung_Stammdaten!N$31,Bewertung_Stammdaten!M$31,IF(AP7&lt;Bewertung_Stammdaten!N$32,Bewertung_Stammdaten!M$32,Bewertung_Stammdaten!M$33)))))))))</f>
        <v>3</v>
      </c>
      <c r="AT7" s="49"/>
      <c r="AU7" s="13">
        <f ca="1">VLOOKUP(A7,Ausschüttungsquote!A3:S68,18,FALSE)</f>
        <v>0.30319160524729988</v>
      </c>
      <c r="AV7" s="13">
        <f>VLOOKUP(A7,Ausschüttungsquote!A3:S68,15,FALSE)</f>
        <v>0.41786611240436872</v>
      </c>
      <c r="AW7" s="13">
        <f ca="1">VLOOKUP(A7,Ausschüttungsquote!A3:S68,19,FALSE)</f>
        <v>-0.27442882720793216</v>
      </c>
      <c r="AX7" s="36">
        <f ca="1">IF(AU7&lt;Bewertung_Stammdaten!H$11,Bewertung_Stammdaten!G$11,IF(AU7&lt;Bewertung_Stammdaten!H$12,Bewertung_Stammdaten!G$12,IF(AU7&lt;Bewertung_Stammdaten!H$13,Bewertung_Stammdaten!G$13,IF(AU7&lt;Bewertung_Stammdaten!H$14,Bewertung_Stammdaten!G$14,IF(AU7&lt;Bewertung_Stammdaten!H$15,Bewertung_Stammdaten!G$15,IF(AU7&lt;Bewertung_Stammdaten!H$16,Bewertung_Stammdaten!G$16,IF(AU7&lt;Bewertung_Stammdaten!H$17,Bewertung_Stammdaten!G$17,IF(AU7&lt;Bewertung_Stammdaten!H$18,Bewertung_Stammdaten!G$18,IF(AU7&lt;Bewertung_Stammdaten!H$19,Bewertung_Stammdaten!G$19,Bewertung_Stammdaten!G$20)))))))))</f>
        <v>5</v>
      </c>
      <c r="AY7" s="47">
        <f>IF(AV7&lt;Bewertung_Stammdaten!B$24,Bewertung_Stammdaten!A$24,IF(AV7&lt;Bewertung_Stammdaten!B$25,Bewertung_Stammdaten!A$25,IF(AV7&lt;Bewertung_Stammdaten!B$26,Bewertung_Stammdaten!A$26,IF(AV7&lt;Bewertung_Stammdaten!B$27,Bewertung_Stammdaten!A$27,IF(AV7&lt;Bewertung_Stammdaten!B$28,Bewertung_Stammdaten!A$28,IF(AV7&lt;Bewertung_Stammdaten!B$29,Bewertung_Stammdaten!A$29,IF(AV7&lt;Bewertung_Stammdaten!B$30,Bewertung_Stammdaten!A$30,IF(AV7&lt;Bewertung_Stammdaten!B$31,Bewertung_Stammdaten!A$31,IF(AV7&lt;Bewertung_Stammdaten!B$32,Bewertung_Stammdaten!A$32,Bewertung_Stammdaten!A$33)))))))))</f>
        <v>4.5</v>
      </c>
      <c r="AZ7" s="36">
        <f ca="1">IF(AW7&lt;Bewertung_Stammdaten!J$11,Bewertung_Stammdaten!I$11,IF(AW7&lt;Bewertung_Stammdaten!J$12,Bewertung_Stammdaten!I$12,IF(AW7&lt;Bewertung_Stammdaten!J$13,Bewertung_Stammdaten!I$13,IF(AW7&lt;Bewertung_Stammdaten!J$14,Bewertung_Stammdaten!I$14,IF(AW7&lt;Bewertung_Stammdaten!J$15,Bewertung_Stammdaten!I$15,IF(AW7&lt;Bewertung_Stammdaten!J$16,Bewertung_Stammdaten!I$16,IF(AW7&lt;Bewertung_Stammdaten!J$17,Bewertung_Stammdaten!I$17,IF(AW7&lt;Bewertung_Stammdaten!J$18,Bewertung_Stammdaten!I$18,IF(AW7&lt;Bewertung_Stammdaten!J$19,Bewertung_Stammdaten!I$19,Bewertung_Stammdaten!I$20)))))))))</f>
        <v>5</v>
      </c>
    </row>
    <row r="8" spans="1:52" x14ac:dyDescent="0.25">
      <c r="A8" s="44" t="s">
        <v>12</v>
      </c>
      <c r="B8" s="44" t="s">
        <v>13</v>
      </c>
      <c r="C8" s="36">
        <f t="shared" ca="1" si="0"/>
        <v>70.5</v>
      </c>
      <c r="D8" s="49"/>
      <c r="E8" s="12">
        <f ca="1">VLOOKUP(A8,KGV!A3:S68,18,FALSE)</f>
        <v>13.895833333333332</v>
      </c>
      <c r="F8" s="12">
        <f>VLOOKUP(A8,KGV!A3:S68,15,FALSE)</f>
        <v>12.4</v>
      </c>
      <c r="G8" s="13">
        <f ca="1">VLOOKUP(A8,KGV!A3:S68,19,FALSE)</f>
        <v>0.1206317204301075</v>
      </c>
      <c r="H8" s="19">
        <f t="shared" ca="1" si="1"/>
        <v>99</v>
      </c>
      <c r="I8" s="13">
        <f t="shared" ca="1" si="2"/>
        <v>6.9838709677419351</v>
      </c>
      <c r="J8" s="36">
        <f ca="1">IF(G8&lt;Bewertung_Stammdaten!B$11,Bewertung_Stammdaten!A$11,IF(G8&lt;Bewertung_Stammdaten!B$12,Bewertung_Stammdaten!A$12,IF(G8&lt;Bewertung_Stammdaten!B$13,Bewertung_Stammdaten!A$13,IF(G8&lt;Bewertung_Stammdaten!B$14,Bewertung_Stammdaten!A$14,IF(G8&lt;Bewertung_Stammdaten!B$15,Bewertung_Stammdaten!A$15,IF(G8&lt;Bewertung_Stammdaten!B$16,Bewertung_Stammdaten!A$16,IF(G8&lt;Bewertung_Stammdaten!B$17,Bewertung_Stammdaten!A$17,IF(G8&lt;Bewertung_Stammdaten!B$18,Bewertung_Stammdaten!A$18,IF(G8&lt;Bewertung_Stammdaten!B$19,Bewertung_Stammdaten!A$19,Bewertung_Stammdaten!A$20)))))))))</f>
        <v>6</v>
      </c>
      <c r="K8" s="36">
        <f ca="1">IF(I8&lt;Bewertung_Stammdaten!N$11,Bewertung_Stammdaten!M$11,IF(I8&lt;Bewertung_Stammdaten!N$12,Bewertung_Stammdaten!M$12,IF(I8&lt;Bewertung_Stammdaten!N$13,Bewertung_Stammdaten!M$13,IF(I8&lt;Bewertung_Stammdaten!N$14,Bewertung_Stammdaten!M$14,IF(I8&lt;Bewertung_Stammdaten!N$15,Bewertung_Stammdaten!M$15,IF(I8&lt;Bewertung_Stammdaten!N$16,Bewertung_Stammdaten!M$16,IF(I8&lt;Bewertung_Stammdaten!N$17,Bewertung_Stammdaten!M$17,IF(I8&lt;Bewertung_Stammdaten!N$18,Bewertung_Stammdaten!M$18,IF(I8&lt;Bewertung_Stammdaten!N$19,Bewertung_Stammdaten!M$19,Bewertung_Stammdaten!M$20)))))))))</f>
        <v>1</v>
      </c>
      <c r="L8" s="49"/>
      <c r="M8" s="12">
        <f ca="1">VLOOKUP(A8,Buchwert_je_Aktie!A3:AC68,18,FALSE)</f>
        <v>9.5349722222222226</v>
      </c>
      <c r="N8" s="12">
        <f>VLOOKUP(A8,Buchwert_je_Aktie!A3:AC68,15,FALSE)</f>
        <v>8.302999999999999</v>
      </c>
      <c r="O8" s="13">
        <f ca="1">VLOOKUP(A8,Buchwert_je_Aktie!A3:AC68,19,FALSE)</f>
        <v>0.14837675806602713</v>
      </c>
      <c r="P8" s="13">
        <f>VLOOKUP(A8,Buchwert_je_Aktie!A3:AC68,29,FALSE)</f>
        <v>-0.29366812227074235</v>
      </c>
      <c r="Q8" s="19">
        <f t="shared" ca="1" si="6"/>
        <v>6.7348548338185354</v>
      </c>
      <c r="R8" s="13">
        <f t="shared" ca="1" si="3"/>
        <v>-0.18886488813458557</v>
      </c>
      <c r="S8" s="58">
        <f ca="1">IF(O8&lt;Bewertung_Stammdaten!D$24,Bewertung_Stammdaten!C$24,IF(O8&lt;Bewertung_Stammdaten!D$25,Bewertung_Stammdaten!C$25,IF(O8&lt;Bewertung_Stammdaten!D$26,Bewertung_Stammdaten!C$26,IF(O8&lt;Bewertung_Stammdaten!D$27,Bewertung_Stammdaten!C$27,IF(O8&lt;Bewertung_Stammdaten!D$28,Bewertung_Stammdaten!C$28,IF(O8&lt;Bewertung_Stammdaten!D$29,Bewertung_Stammdaten!C$29,IF(O8&lt;Bewertung_Stammdaten!D$30,Bewertung_Stammdaten!C$30,IF(O8&lt;Bewertung_Stammdaten!D$31,Bewertung_Stammdaten!C$31,IF(O8&lt;Bewertung_Stammdaten!D$32,Bewertung_Stammdaten!C$32,Bewertung_Stammdaten!C$33)))))))))</f>
        <v>6</v>
      </c>
      <c r="T8" s="58">
        <f>IF(P8&lt;Bewertung_Stammdaten!F$24,Bewertung_Stammdaten!E$24,IF(P8&lt;Bewertung_Stammdaten!F$25,Bewertung_Stammdaten!E$25,IF(P8&lt;Bewertung_Stammdaten!F$26,Bewertung_Stammdaten!E$26,IF(P8&lt;Bewertung_Stammdaten!F$27,Bewertung_Stammdaten!E$27,IF(P8&lt;Bewertung_Stammdaten!F$28,Bewertung_Stammdaten!E$28,IF(P8&lt;Bewertung_Stammdaten!F$29,Bewertung_Stammdaten!E$29,IF(P8&lt;Bewertung_Stammdaten!F$30,Bewertung_Stammdaten!E$30,IF(P8&lt;Bewertung_Stammdaten!F$31,Bewertung_Stammdaten!E$31,IF(P8&lt;Bewertung_Stammdaten!F$32,Bewertung_Stammdaten!E$32,Bewertung_Stammdaten!E$33)))))))))</f>
        <v>3</v>
      </c>
      <c r="U8" s="58">
        <f ca="1">IF(R8&lt;Bewertung_Stammdaten!H$24,Bewertung_Stammdaten!G$24,IF(R8&lt;Bewertung_Stammdaten!H$25,Bewertung_Stammdaten!G$25,IF(R8&lt;Bewertung_Stammdaten!H$26,Bewertung_Stammdaten!G$26,IF(R8&lt;Bewertung_Stammdaten!H$27,Bewertung_Stammdaten!G$27,IF(R8&lt;Bewertung_Stammdaten!H$28,Bewertung_Stammdaten!G$28,IF(R8&lt;Bewertung_Stammdaten!H$29,Bewertung_Stammdaten!G$29,IF(R8&lt;Bewertung_Stammdaten!H$30,Bewertung_Stammdaten!G$30,IF(R8&lt;Bewertung_Stammdaten!H$31,Bewertung_Stammdaten!G$31,IF(R8&lt;Bewertung_Stammdaten!H$32,Bewertung_Stammdaten!G$32,Bewertung_Stammdaten!G$33)))))))))</f>
        <v>1</v>
      </c>
      <c r="V8" s="49"/>
      <c r="W8" s="17">
        <f ca="1">VLOOKUP(A8,Ergebnis_je_Aktie_verwässert!A3:S68,18,FALSE)</f>
        <v>1.8405555555555555</v>
      </c>
      <c r="X8" s="17">
        <f>VLOOKUP(A8,Ergebnis_je_Aktie_verwässert!A3:S68,15,FALSE)</f>
        <v>1.1339999999999999</v>
      </c>
      <c r="Y8" s="13">
        <f ca="1">VLOOKUP(A8,Ergebnis_je_Aktie_verwässert!A3:S68,19,FALSE)</f>
        <v>0.62306486380560466</v>
      </c>
      <c r="Z8" s="46">
        <f>VLOOKUP(A8,Ergebnis_je_Aktie_verwässert!A3:AC68,29,FALSE)</f>
        <v>-2.2173913043478262</v>
      </c>
      <c r="AA8" s="19">
        <f t="shared" ca="1" si="4"/>
        <v>-2.2406763285024156</v>
      </c>
      <c r="AB8" s="13">
        <f t="shared" ca="1" si="5"/>
        <v>-2.9759050515894319</v>
      </c>
      <c r="AC8" s="36">
        <f ca="1">IF(Y8&lt;Bewertung_Stammdaten!L$11,Bewertung_Stammdaten!K$11,IF(Y8&lt;Bewertung_Stammdaten!L$12,Bewertung_Stammdaten!K$12,IF(Y8&lt;Bewertung_Stammdaten!L$13,Bewertung_Stammdaten!K$13,IF(Y8&lt;Bewertung_Stammdaten!L$14,Bewertung_Stammdaten!K$14,IF(Y8&lt;Bewertung_Stammdaten!L$15,Bewertung_Stammdaten!K$15,IF(Y8&lt;Bewertung_Stammdaten!L$16,Bewertung_Stammdaten!K$16,IF(Y8&lt;Bewertung_Stammdaten!L$17,Bewertung_Stammdaten!K$17,IF(Y8&lt;Bewertung_Stammdaten!L$18,Bewertung_Stammdaten!K$18,IF(Y8&lt;Bewertung_Stammdaten!L$19,Bewertung_Stammdaten!K$19,Bewertung_Stammdaten!K$20)))))))))</f>
        <v>16</v>
      </c>
      <c r="AD8" s="36">
        <f>IF(Z8&lt;Bewertung_Stammdaten!R$11,Bewertung_Stammdaten!Q$11,IF(Z8&lt;Bewertung_Stammdaten!R$12,Bewertung_Stammdaten!Q$12,IF(Z8&lt;Bewertung_Stammdaten!R$13,Bewertung_Stammdaten!Q$13,IF(Z8&lt;Bewertung_Stammdaten!R$14,Bewertung_Stammdaten!Q$14,IF(Z8&lt;Bewertung_Stammdaten!R$15,Bewertung_Stammdaten!Q$15,IF(Z8&lt;Bewertung_Stammdaten!R$16,Bewertung_Stammdaten!Q$16,IF(Z8&lt;Bewertung_Stammdaten!R$17,Bewertung_Stammdaten!Q$17,IF(Z8&lt;Bewertung_Stammdaten!R$18,Bewertung_Stammdaten!Q$18,IF(Z8&lt;Bewertung_Stammdaten!R$19,Bewertung_Stammdaten!Q$19,Bewertung_Stammdaten!Q$20)))))))))</f>
        <v>1</v>
      </c>
      <c r="AE8" s="36">
        <f ca="1">IF(AB8&lt;Bewertung_Stammdaten!P$11,Bewertung_Stammdaten!O$11,IF(AB8&lt;Bewertung_Stammdaten!P$12,Bewertung_Stammdaten!O$12,IF(AB8&lt;Bewertung_Stammdaten!P$13,Bewertung_Stammdaten!O$13,IF(AB8&lt;Bewertung_Stammdaten!P$14,Bewertung_Stammdaten!O$14,IF(AB8&lt;Bewertung_Stammdaten!P$15,Bewertung_Stammdaten!O$15,IF(AB8&lt;Bewertung_Stammdaten!P$16,Bewertung_Stammdaten!O$16,IF(AB8&lt;Bewertung_Stammdaten!P$17,Bewertung_Stammdaten!O$17,IF(AB8&lt;Bewertung_Stammdaten!P$18,Bewertung_Stammdaten!O$18,IF(AB8&lt;Bewertung_Stammdaten!P$19,Bewertung_Stammdaten!O$19,Bewertung_Stammdaten!O$20)))))))))</f>
        <v>1</v>
      </c>
      <c r="AF8" s="49"/>
      <c r="AG8" s="13">
        <f ca="1">VLOOKUP(A8,Dividendenrendite!A3:S68,18,FALSE)</f>
        <v>3.5809722222222222E-2</v>
      </c>
      <c r="AH8" s="13">
        <f>VLOOKUP(A8,Dividendenrendite!A3:S68,15,FALSE)</f>
        <v>4.1230000000000003E-2</v>
      </c>
      <c r="AI8" s="13">
        <f ca="1">VLOOKUP(A8,Dividendenrendite!A3:S68,19,FALSE)</f>
        <v>-0.1314644137224783</v>
      </c>
      <c r="AJ8" s="36">
        <f ca="1">IF(AG8&lt;Bewertung_Stammdaten!D$11,Bewertung_Stammdaten!C$11,IF(AG8&lt;Bewertung_Stammdaten!D$12,Bewertung_Stammdaten!C$12,IF(AG8&lt;Bewertung_Stammdaten!D$13,Bewertung_Stammdaten!C$13,IF(AG8&lt;Bewertung_Stammdaten!D$14,Bewertung_Stammdaten!C$14,IF(AG8&lt;Bewertung_Stammdaten!D$15,Bewertung_Stammdaten!C$15,IF(AG8&lt;Bewertung_Stammdaten!D$16,Bewertung_Stammdaten!C$16,IF(AG8&lt;Bewertung_Stammdaten!D$17,Bewertung_Stammdaten!C$17,IF(AG8&lt;Bewertung_Stammdaten!D$18,Bewertung_Stammdaten!C$18,IF(AG8&lt;Bewertung_Stammdaten!D$19,Bewertung_Stammdaten!C$19,Bewertung_Stammdaten!C$20)))))))))</f>
        <v>12</v>
      </c>
      <c r="AK8" s="36">
        <f>IF(AH8&lt;Bewertung_Stammdaten!T$11,Bewertung_Stammdaten!S$11,IF(AH8&lt;Bewertung_Stammdaten!T$12,Bewertung_Stammdaten!S$12,IF(AH8&lt;Bewertung_Stammdaten!T$13,Bewertung_Stammdaten!S$13,IF(AH8&lt;Bewertung_Stammdaten!T$14,Bewertung_Stammdaten!S$14,IF(AH8&lt;Bewertung_Stammdaten!T$15,Bewertung_Stammdaten!S$15,IF(AH8&lt;Bewertung_Stammdaten!T$16,Bewertung_Stammdaten!S$16,IF(AH8&lt;Bewertung_Stammdaten!T$17,Bewertung_Stammdaten!S$17,IF(AH8&lt;Bewertung_Stammdaten!T$18,Bewertung_Stammdaten!S$18,IF(AH8&lt;Bewertung_Stammdaten!T$19,Bewertung_Stammdaten!S$19,Bewertung_Stammdaten!S$20)))))))))</f>
        <v>9</v>
      </c>
      <c r="AL8" s="36">
        <f ca="1">IF(AI8&lt;Bewertung_Stammdaten!F$11,Bewertung_Stammdaten!E$11,IF(AI8&lt;Bewertung_Stammdaten!F$12,Bewertung_Stammdaten!E$12,IF(AI8&lt;Bewertung_Stammdaten!F$13,Bewertung_Stammdaten!E$13,IF(AI8&lt;Bewertung_Stammdaten!F$14,Bewertung_Stammdaten!E$14,IF(AI8&lt;Bewertung_Stammdaten!F$15,Bewertung_Stammdaten!E$15,IF(AI8&lt;Bewertung_Stammdaten!F$16,Bewertung_Stammdaten!E$16,IF(AI8&lt;Bewertung_Stammdaten!F$17,Bewertung_Stammdaten!E$17,IF(AI8&lt;Bewertung_Stammdaten!F$18,Bewertung_Stammdaten!E$18,IF(AI8&lt;Bewertung_Stammdaten!F$19,Bewertung_Stammdaten!E$19,Bewertung_Stammdaten!E$20)))))))))</f>
        <v>1.5</v>
      </c>
      <c r="AM8" s="49"/>
      <c r="AN8" s="13">
        <f>VLOOKUP(A8,Aktien_im_Umlauf_splitbereinigt!A3:W68,13,FALSE)</f>
        <v>0</v>
      </c>
      <c r="AO8" s="13">
        <f>VLOOKUP(A8,Aktien_im_Umlauf_splitbereinigt!A3:W68,22,FALSE)</f>
        <v>9.4712566149589197E-3</v>
      </c>
      <c r="AP8" s="13">
        <f>VLOOKUP(A8,Aktien_im_Umlauf_splitbereinigt!A3:W68,23,FALSE)</f>
        <v>-99.999989999999997</v>
      </c>
      <c r="AQ8" s="47">
        <f>IF(AN8&lt;Bewertung_Stammdaten!J$24,Bewertung_Stammdaten!I$24,IF(AN8&lt;Bewertung_Stammdaten!J$25,Bewertung_Stammdaten!I$25,IF(AN8&lt;Bewertung_Stammdaten!J$26,Bewertung_Stammdaten!I$26,IF(AN8&lt;Bewertung_Stammdaten!J$27,Bewertung_Stammdaten!I$27,IF(AN8&lt;Bewertung_Stammdaten!J$28,Bewertung_Stammdaten!I$28,IF(AN8&lt;Bewertung_Stammdaten!J$29,Bewertung_Stammdaten!I$29,IF(AN8&lt;Bewertung_Stammdaten!J$30,Bewertung_Stammdaten!I$30,IF(AN8&lt;Bewertung_Stammdaten!J$31,Bewertung_Stammdaten!I$31,IF(AN8&lt;Bewertung_Stammdaten!J$32,Bewertung_Stammdaten!I$32,Bewertung_Stammdaten!I$33)))))))))</f>
        <v>1</v>
      </c>
      <c r="AR8" s="47">
        <f>IF(AO8&lt;Bewertung_Stammdaten!L$24,Bewertung_Stammdaten!K$24,IF(AO8&lt;Bewertung_Stammdaten!L$25,Bewertung_Stammdaten!K$25,IF(AO8&lt;Bewertung_Stammdaten!L$26,Bewertung_Stammdaten!K$26,IF(AO8&lt;Bewertung_Stammdaten!L$27,Bewertung_Stammdaten!K$27,IF(AO8&lt;Bewertung_Stammdaten!L$28,Bewertung_Stammdaten!K$28,IF(AO8&lt;Bewertung_Stammdaten!L$29,Bewertung_Stammdaten!K$29,IF(AO8&lt;Bewertung_Stammdaten!L$30,Bewertung_Stammdaten!K$30,IF(AO8&lt;Bewertung_Stammdaten!L$31,Bewertung_Stammdaten!K$31,IF(AO8&lt;Bewertung_Stammdaten!L$32,Bewertung_Stammdaten!K$32,Bewertung_Stammdaten!K$33)))))))))</f>
        <v>0.5</v>
      </c>
      <c r="AS8" s="47">
        <f>IF(AP8&lt;Bewertung_Stammdaten!N$24,Bewertung_Stammdaten!M$24,IF(AP8&lt;Bewertung_Stammdaten!N$25,Bewertung_Stammdaten!M$25,IF(AP8&lt;Bewertung_Stammdaten!N$26,Bewertung_Stammdaten!M$26,IF(AP8&lt;Bewertung_Stammdaten!N$27,Bewertung_Stammdaten!M$27,IF(AP8&lt;Bewertung_Stammdaten!N$28,Bewertung_Stammdaten!M$28,IF(AP8&lt;Bewertung_Stammdaten!N$29,Bewertung_Stammdaten!M$29,IF(AP8&lt;Bewertung_Stammdaten!N$30,Bewertung_Stammdaten!M$30,IF(AP8&lt;Bewertung_Stammdaten!N$31,Bewertung_Stammdaten!M$31,IF(AP8&lt;Bewertung_Stammdaten!N$32,Bewertung_Stammdaten!M$32,Bewertung_Stammdaten!M$33)))))))))</f>
        <v>0.5</v>
      </c>
      <c r="AT8" s="49"/>
      <c r="AU8" s="13">
        <f ca="1">VLOOKUP(A8,Ausschüttungsquote!A3:S68,18,FALSE)</f>
        <v>0.49686053240740741</v>
      </c>
      <c r="AV8" s="13">
        <f>VLOOKUP(A8,Ausschüttungsquote!A3:S68,15,FALSE)</f>
        <v>0.57064050314526282</v>
      </c>
      <c r="AW8" s="13">
        <f ca="1">VLOOKUP(A8,Ausschüttungsquote!A3:S68,19,FALSE)</f>
        <v>-0.12929325964629945</v>
      </c>
      <c r="AX8" s="36">
        <f ca="1">IF(AU8&lt;Bewertung_Stammdaten!H$11,Bewertung_Stammdaten!G$11,IF(AU8&lt;Bewertung_Stammdaten!H$12,Bewertung_Stammdaten!G$12,IF(AU8&lt;Bewertung_Stammdaten!H$13,Bewertung_Stammdaten!G$13,IF(AU8&lt;Bewertung_Stammdaten!H$14,Bewertung_Stammdaten!G$14,IF(AU8&lt;Bewertung_Stammdaten!H$15,Bewertung_Stammdaten!G$15,IF(AU8&lt;Bewertung_Stammdaten!H$16,Bewertung_Stammdaten!G$16,IF(AU8&lt;Bewertung_Stammdaten!H$17,Bewertung_Stammdaten!G$17,IF(AU8&lt;Bewertung_Stammdaten!H$18,Bewertung_Stammdaten!G$18,IF(AU8&lt;Bewertung_Stammdaten!H$19,Bewertung_Stammdaten!G$19,Bewertung_Stammdaten!G$20)))))))))</f>
        <v>4</v>
      </c>
      <c r="AY8" s="47">
        <f>IF(AV8&lt;Bewertung_Stammdaten!B$24,Bewertung_Stammdaten!A$24,IF(AV8&lt;Bewertung_Stammdaten!B$25,Bewertung_Stammdaten!A$25,IF(AV8&lt;Bewertung_Stammdaten!B$26,Bewertung_Stammdaten!A$26,IF(AV8&lt;Bewertung_Stammdaten!B$27,Bewertung_Stammdaten!A$27,IF(AV8&lt;Bewertung_Stammdaten!B$28,Bewertung_Stammdaten!A$28,IF(AV8&lt;Bewertung_Stammdaten!B$29,Bewertung_Stammdaten!A$29,IF(AV8&lt;Bewertung_Stammdaten!B$30,Bewertung_Stammdaten!A$30,IF(AV8&lt;Bewertung_Stammdaten!B$31,Bewertung_Stammdaten!A$31,IF(AV8&lt;Bewertung_Stammdaten!B$32,Bewertung_Stammdaten!A$32,Bewertung_Stammdaten!A$33)))))))))</f>
        <v>3</v>
      </c>
      <c r="AZ8" s="36">
        <f ca="1">IF(AW8&lt;Bewertung_Stammdaten!J$11,Bewertung_Stammdaten!I$11,IF(AW8&lt;Bewertung_Stammdaten!J$12,Bewertung_Stammdaten!I$12,IF(AW8&lt;Bewertung_Stammdaten!J$13,Bewertung_Stammdaten!I$13,IF(AW8&lt;Bewertung_Stammdaten!J$14,Bewertung_Stammdaten!I$14,IF(AW8&lt;Bewertung_Stammdaten!J$15,Bewertung_Stammdaten!I$15,IF(AW8&lt;Bewertung_Stammdaten!J$16,Bewertung_Stammdaten!I$16,IF(AW8&lt;Bewertung_Stammdaten!J$17,Bewertung_Stammdaten!I$17,IF(AW8&lt;Bewertung_Stammdaten!J$18,Bewertung_Stammdaten!I$18,IF(AW8&lt;Bewertung_Stammdaten!J$19,Bewertung_Stammdaten!I$19,Bewertung_Stammdaten!I$20)))))))))</f>
        <v>4</v>
      </c>
    </row>
    <row r="9" spans="1:52" x14ac:dyDescent="0.25">
      <c r="A9" s="44" t="s">
        <v>14</v>
      </c>
      <c r="B9" s="44" t="s">
        <v>15</v>
      </c>
      <c r="C9" s="36">
        <f t="shared" ca="1" si="0"/>
        <v>82</v>
      </c>
      <c r="D9" s="49"/>
      <c r="E9" s="12">
        <f ca="1">VLOOKUP(A9,KGV!A3:S68,18,FALSE)</f>
        <v>20.680833333333332</v>
      </c>
      <c r="F9" s="12">
        <f>VLOOKUP(A9,KGV!A3:S68,15,FALSE)</f>
        <v>31.6</v>
      </c>
      <c r="G9" s="13">
        <f ca="1">VLOOKUP(A9,KGV!A3:S68,19,FALSE)</f>
        <v>-0.34554324894514776</v>
      </c>
      <c r="H9" s="19">
        <f t="shared" ca="1" si="1"/>
        <v>99</v>
      </c>
      <c r="I9" s="13">
        <f t="shared" ca="1" si="2"/>
        <v>2.1329113924050631</v>
      </c>
      <c r="J9" s="36">
        <f ca="1">IF(G9&lt;Bewertung_Stammdaten!B$11,Bewertung_Stammdaten!A$11,IF(G9&lt;Bewertung_Stammdaten!B$12,Bewertung_Stammdaten!A$12,IF(G9&lt;Bewertung_Stammdaten!B$13,Bewertung_Stammdaten!A$13,IF(G9&lt;Bewertung_Stammdaten!B$14,Bewertung_Stammdaten!A$14,IF(G9&lt;Bewertung_Stammdaten!B$15,Bewertung_Stammdaten!A$15,IF(G9&lt;Bewertung_Stammdaten!B$16,Bewertung_Stammdaten!A$16,IF(G9&lt;Bewertung_Stammdaten!B$17,Bewertung_Stammdaten!A$17,IF(G9&lt;Bewertung_Stammdaten!B$18,Bewertung_Stammdaten!A$18,IF(G9&lt;Bewertung_Stammdaten!B$19,Bewertung_Stammdaten!A$19,Bewertung_Stammdaten!A$20)))))))))</f>
        <v>20</v>
      </c>
      <c r="K9" s="36">
        <f ca="1">IF(I9&lt;Bewertung_Stammdaten!N$11,Bewertung_Stammdaten!M$11,IF(I9&lt;Bewertung_Stammdaten!N$12,Bewertung_Stammdaten!M$12,IF(I9&lt;Bewertung_Stammdaten!N$13,Bewertung_Stammdaten!M$13,IF(I9&lt;Bewertung_Stammdaten!N$14,Bewertung_Stammdaten!M$14,IF(I9&lt;Bewertung_Stammdaten!N$15,Bewertung_Stammdaten!M$15,IF(I9&lt;Bewertung_Stammdaten!N$16,Bewertung_Stammdaten!M$16,IF(I9&lt;Bewertung_Stammdaten!N$17,Bewertung_Stammdaten!M$17,IF(I9&lt;Bewertung_Stammdaten!N$18,Bewertung_Stammdaten!M$18,IF(I9&lt;Bewertung_Stammdaten!N$19,Bewertung_Stammdaten!M$19,Bewertung_Stammdaten!M$20)))))))))</f>
        <v>1</v>
      </c>
      <c r="L9" s="49"/>
      <c r="M9" s="12">
        <f ca="1">VLOOKUP(A9,Buchwert_je_Aktie!A3:AC68,18,FALSE)</f>
        <v>5.9964444444444442</v>
      </c>
      <c r="N9" s="12">
        <f>VLOOKUP(A9,Buchwert_je_Aktie!A3:AC68,15,FALSE)</f>
        <v>9.5590000000000011</v>
      </c>
      <c r="O9" s="13">
        <f ca="1">VLOOKUP(A9,Buchwert_je_Aktie!A3:AC68,19,FALSE)</f>
        <v>-0.37269123920447289</v>
      </c>
      <c r="P9" s="13">
        <f>VLOOKUP(A9,Buchwert_je_Aktie!A3:AC68,29,FALSE)</f>
        <v>-0.23484848484848486</v>
      </c>
      <c r="Q9" s="19">
        <f t="shared" ca="1" si="6"/>
        <v>4.5881885521885524</v>
      </c>
      <c r="R9" s="13">
        <f t="shared" ca="1" si="3"/>
        <v>-0.52001375120948301</v>
      </c>
      <c r="S9" s="58">
        <f ca="1">IF(O9&lt;Bewertung_Stammdaten!D$24,Bewertung_Stammdaten!C$24,IF(O9&lt;Bewertung_Stammdaten!D$25,Bewertung_Stammdaten!C$25,IF(O9&lt;Bewertung_Stammdaten!D$26,Bewertung_Stammdaten!C$26,IF(O9&lt;Bewertung_Stammdaten!D$27,Bewertung_Stammdaten!C$27,IF(O9&lt;Bewertung_Stammdaten!D$28,Bewertung_Stammdaten!C$28,IF(O9&lt;Bewertung_Stammdaten!D$29,Bewertung_Stammdaten!C$29,IF(O9&lt;Bewertung_Stammdaten!D$30,Bewertung_Stammdaten!C$30,IF(O9&lt;Bewertung_Stammdaten!D$31,Bewertung_Stammdaten!C$31,IF(O9&lt;Bewertung_Stammdaten!D$32,Bewertung_Stammdaten!C$32,Bewertung_Stammdaten!C$33)))))))))</f>
        <v>2</v>
      </c>
      <c r="T9" s="58">
        <f>IF(P9&lt;Bewertung_Stammdaten!F$24,Bewertung_Stammdaten!E$24,IF(P9&lt;Bewertung_Stammdaten!F$25,Bewertung_Stammdaten!E$25,IF(P9&lt;Bewertung_Stammdaten!F$26,Bewertung_Stammdaten!E$26,IF(P9&lt;Bewertung_Stammdaten!F$27,Bewertung_Stammdaten!E$27,IF(P9&lt;Bewertung_Stammdaten!F$28,Bewertung_Stammdaten!E$28,IF(P9&lt;Bewertung_Stammdaten!F$29,Bewertung_Stammdaten!E$29,IF(P9&lt;Bewertung_Stammdaten!F$30,Bewertung_Stammdaten!E$30,IF(P9&lt;Bewertung_Stammdaten!F$31,Bewertung_Stammdaten!E$31,IF(P9&lt;Bewertung_Stammdaten!F$32,Bewertung_Stammdaten!E$32,Bewertung_Stammdaten!E$33)))))))))</f>
        <v>4.5</v>
      </c>
      <c r="U9" s="58">
        <f ca="1">IF(R9&lt;Bewertung_Stammdaten!H$24,Bewertung_Stammdaten!G$24,IF(R9&lt;Bewertung_Stammdaten!H$25,Bewertung_Stammdaten!G$25,IF(R9&lt;Bewertung_Stammdaten!H$26,Bewertung_Stammdaten!G$26,IF(R9&lt;Bewertung_Stammdaten!H$27,Bewertung_Stammdaten!G$27,IF(R9&lt;Bewertung_Stammdaten!H$28,Bewertung_Stammdaten!G$28,IF(R9&lt;Bewertung_Stammdaten!H$29,Bewertung_Stammdaten!G$29,IF(R9&lt;Bewertung_Stammdaten!H$30,Bewertung_Stammdaten!G$30,IF(R9&lt;Bewertung_Stammdaten!H$31,Bewertung_Stammdaten!G$31,IF(R9&lt;Bewertung_Stammdaten!H$32,Bewertung_Stammdaten!G$32,Bewertung_Stammdaten!G$33)))))))))</f>
        <v>1</v>
      </c>
      <c r="V9" s="49"/>
      <c r="W9" s="17">
        <f ca="1">VLOOKUP(A9,Ergebnis_je_Aktie_verwässert!A3:S68,18,FALSE)</f>
        <v>0.58397222222222211</v>
      </c>
      <c r="X9" s="17">
        <f>VLOOKUP(A9,Ergebnis_je_Aktie_verwässert!A3:S68,15,FALSE)</f>
        <v>0.32100000000000006</v>
      </c>
      <c r="Y9" s="13">
        <f ca="1">VLOOKUP(A9,Ergebnis_je_Aktie_verwässert!A3:S68,19,FALSE)</f>
        <v>0.81922810661128342</v>
      </c>
      <c r="Z9" s="46">
        <f>VLOOKUP(A9,Ergebnis_je_Aktie_verwässert!A3:AC68,29,FALSE)</f>
        <v>-10.384615384615383</v>
      </c>
      <c r="AA9" s="19">
        <f t="shared" ca="1" si="4"/>
        <v>-5.4803547008546989</v>
      </c>
      <c r="AB9" s="13">
        <f t="shared" ca="1" si="5"/>
        <v>-18.072756077428966</v>
      </c>
      <c r="AC9" s="36">
        <f ca="1">IF(Y9&lt;Bewertung_Stammdaten!L$11,Bewertung_Stammdaten!K$11,IF(Y9&lt;Bewertung_Stammdaten!L$12,Bewertung_Stammdaten!K$12,IF(Y9&lt;Bewertung_Stammdaten!L$13,Bewertung_Stammdaten!K$13,IF(Y9&lt;Bewertung_Stammdaten!L$14,Bewertung_Stammdaten!K$14,IF(Y9&lt;Bewertung_Stammdaten!L$15,Bewertung_Stammdaten!K$15,IF(Y9&lt;Bewertung_Stammdaten!L$16,Bewertung_Stammdaten!K$16,IF(Y9&lt;Bewertung_Stammdaten!L$17,Bewertung_Stammdaten!K$17,IF(Y9&lt;Bewertung_Stammdaten!L$18,Bewertung_Stammdaten!K$18,IF(Y9&lt;Bewertung_Stammdaten!L$19,Bewertung_Stammdaten!K$19,Bewertung_Stammdaten!K$20)))))))))</f>
        <v>20</v>
      </c>
      <c r="AD9" s="36">
        <f>IF(Z9&lt;Bewertung_Stammdaten!R$11,Bewertung_Stammdaten!Q$11,IF(Z9&lt;Bewertung_Stammdaten!R$12,Bewertung_Stammdaten!Q$12,IF(Z9&lt;Bewertung_Stammdaten!R$13,Bewertung_Stammdaten!Q$13,IF(Z9&lt;Bewertung_Stammdaten!R$14,Bewertung_Stammdaten!Q$14,IF(Z9&lt;Bewertung_Stammdaten!R$15,Bewertung_Stammdaten!Q$15,IF(Z9&lt;Bewertung_Stammdaten!R$16,Bewertung_Stammdaten!Q$16,IF(Z9&lt;Bewertung_Stammdaten!R$17,Bewertung_Stammdaten!Q$17,IF(Z9&lt;Bewertung_Stammdaten!R$18,Bewertung_Stammdaten!Q$18,IF(Z9&lt;Bewertung_Stammdaten!R$19,Bewertung_Stammdaten!Q$19,Bewertung_Stammdaten!Q$20)))))))))</f>
        <v>1</v>
      </c>
      <c r="AE9" s="36">
        <f ca="1">IF(AB9&lt;Bewertung_Stammdaten!P$11,Bewertung_Stammdaten!O$11,IF(AB9&lt;Bewertung_Stammdaten!P$12,Bewertung_Stammdaten!O$12,IF(AB9&lt;Bewertung_Stammdaten!P$13,Bewertung_Stammdaten!O$13,IF(AB9&lt;Bewertung_Stammdaten!P$14,Bewertung_Stammdaten!O$14,IF(AB9&lt;Bewertung_Stammdaten!P$15,Bewertung_Stammdaten!O$15,IF(AB9&lt;Bewertung_Stammdaten!P$16,Bewertung_Stammdaten!O$16,IF(AB9&lt;Bewertung_Stammdaten!P$17,Bewertung_Stammdaten!O$17,IF(AB9&lt;Bewertung_Stammdaten!P$18,Bewertung_Stammdaten!O$18,IF(AB9&lt;Bewertung_Stammdaten!P$19,Bewertung_Stammdaten!O$19,Bewertung_Stammdaten!O$20)))))))))</f>
        <v>1</v>
      </c>
      <c r="AF9" s="49"/>
      <c r="AG9" s="13">
        <f ca="1">VLOOKUP(A9,Dividendenrendite!A3:S68,18,FALSE)</f>
        <v>4.2623333333333333E-2</v>
      </c>
      <c r="AH9" s="13">
        <f>VLOOKUP(A9,Dividendenrendite!A3:S68,15,FALSE)</f>
        <v>6.1370000000000001E-2</v>
      </c>
      <c r="AI9" s="13">
        <f ca="1">VLOOKUP(A9,Dividendenrendite!A3:S68,19,FALSE)</f>
        <v>-0.3054695562435501</v>
      </c>
      <c r="AJ9" s="36">
        <f ca="1">IF(AG9&lt;Bewertung_Stammdaten!D$11,Bewertung_Stammdaten!C$11,IF(AG9&lt;Bewertung_Stammdaten!D$12,Bewertung_Stammdaten!C$12,IF(AG9&lt;Bewertung_Stammdaten!D$13,Bewertung_Stammdaten!C$13,IF(AG9&lt;Bewertung_Stammdaten!D$14,Bewertung_Stammdaten!C$14,IF(AG9&lt;Bewertung_Stammdaten!D$15,Bewertung_Stammdaten!C$15,IF(AG9&lt;Bewertung_Stammdaten!D$16,Bewertung_Stammdaten!C$16,IF(AG9&lt;Bewertung_Stammdaten!D$17,Bewertung_Stammdaten!C$17,IF(AG9&lt;Bewertung_Stammdaten!D$18,Bewertung_Stammdaten!C$18,IF(AG9&lt;Bewertung_Stammdaten!D$19,Bewertung_Stammdaten!C$19,Bewertung_Stammdaten!C$20)))))))))</f>
        <v>13.5</v>
      </c>
      <c r="AK9" s="36">
        <f>IF(AH9&lt;Bewertung_Stammdaten!T$11,Bewertung_Stammdaten!S$11,IF(AH9&lt;Bewertung_Stammdaten!T$12,Bewertung_Stammdaten!S$12,IF(AH9&lt;Bewertung_Stammdaten!T$13,Bewertung_Stammdaten!S$13,IF(AH9&lt;Bewertung_Stammdaten!T$14,Bewertung_Stammdaten!S$14,IF(AH9&lt;Bewertung_Stammdaten!T$15,Bewertung_Stammdaten!S$15,IF(AH9&lt;Bewertung_Stammdaten!T$16,Bewertung_Stammdaten!S$16,IF(AH9&lt;Bewertung_Stammdaten!T$17,Bewertung_Stammdaten!S$17,IF(AH9&lt;Bewertung_Stammdaten!T$18,Bewertung_Stammdaten!S$18,IF(AH9&lt;Bewertung_Stammdaten!T$19,Bewertung_Stammdaten!S$19,Bewertung_Stammdaten!S$20)))))))))</f>
        <v>10</v>
      </c>
      <c r="AL9" s="36">
        <f ca="1">IF(AI9&lt;Bewertung_Stammdaten!F$11,Bewertung_Stammdaten!E$11,IF(AI9&lt;Bewertung_Stammdaten!F$12,Bewertung_Stammdaten!E$12,IF(AI9&lt;Bewertung_Stammdaten!F$13,Bewertung_Stammdaten!E$13,IF(AI9&lt;Bewertung_Stammdaten!F$14,Bewertung_Stammdaten!E$14,IF(AI9&lt;Bewertung_Stammdaten!F$15,Bewertung_Stammdaten!E$15,IF(AI9&lt;Bewertung_Stammdaten!F$16,Bewertung_Stammdaten!E$16,IF(AI9&lt;Bewertung_Stammdaten!F$17,Bewertung_Stammdaten!E$17,IF(AI9&lt;Bewertung_Stammdaten!F$18,Bewertung_Stammdaten!E$18,IF(AI9&lt;Bewertung_Stammdaten!F$19,Bewertung_Stammdaten!E$19,Bewertung_Stammdaten!E$20)))))))))</f>
        <v>0.5</v>
      </c>
      <c r="AM9" s="49"/>
      <c r="AN9" s="13">
        <f>VLOOKUP(A9,Aktien_im_Umlauf_splitbereinigt!A3:W68,13,FALSE)</f>
        <v>3.0085628326776304E-2</v>
      </c>
      <c r="AO9" s="13">
        <f>VLOOKUP(A9,Aktien_im_Umlauf_splitbereinigt!A3:W68,22,FALSE)</f>
        <v>6.6379370508150692E-3</v>
      </c>
      <c r="AP9" s="13">
        <f>VLOOKUP(A9,Aktien_im_Umlauf_splitbereinigt!A3:W68,23,FALSE)</f>
        <v>-99.999989999999997</v>
      </c>
      <c r="AQ9" s="47">
        <f>IF(AN9&lt;Bewertung_Stammdaten!J$24,Bewertung_Stammdaten!I$24,IF(AN9&lt;Bewertung_Stammdaten!J$25,Bewertung_Stammdaten!I$25,IF(AN9&lt;Bewertung_Stammdaten!J$26,Bewertung_Stammdaten!I$26,IF(AN9&lt;Bewertung_Stammdaten!J$27,Bewertung_Stammdaten!I$27,IF(AN9&lt;Bewertung_Stammdaten!J$28,Bewertung_Stammdaten!I$28,IF(AN9&lt;Bewertung_Stammdaten!J$29,Bewertung_Stammdaten!I$29,IF(AN9&lt;Bewertung_Stammdaten!J$30,Bewertung_Stammdaten!I$30,IF(AN9&lt;Bewertung_Stammdaten!J$31,Bewertung_Stammdaten!I$31,IF(AN9&lt;Bewertung_Stammdaten!J$32,Bewertung_Stammdaten!I$32,Bewertung_Stammdaten!I$33)))))))))</f>
        <v>0.5</v>
      </c>
      <c r="AR9" s="47">
        <f>IF(AO9&lt;Bewertung_Stammdaten!L$24,Bewertung_Stammdaten!K$24,IF(AO9&lt;Bewertung_Stammdaten!L$25,Bewertung_Stammdaten!K$25,IF(AO9&lt;Bewertung_Stammdaten!L$26,Bewertung_Stammdaten!K$26,IF(AO9&lt;Bewertung_Stammdaten!L$27,Bewertung_Stammdaten!K$27,IF(AO9&lt;Bewertung_Stammdaten!L$28,Bewertung_Stammdaten!K$28,IF(AO9&lt;Bewertung_Stammdaten!L$29,Bewertung_Stammdaten!K$29,IF(AO9&lt;Bewertung_Stammdaten!L$30,Bewertung_Stammdaten!K$30,IF(AO9&lt;Bewertung_Stammdaten!L$31,Bewertung_Stammdaten!K$31,IF(AO9&lt;Bewertung_Stammdaten!L$32,Bewertung_Stammdaten!K$32,Bewertung_Stammdaten!K$33)))))))))</f>
        <v>0.5</v>
      </c>
      <c r="AS9" s="47">
        <f>IF(AP9&lt;Bewertung_Stammdaten!N$24,Bewertung_Stammdaten!M$24,IF(AP9&lt;Bewertung_Stammdaten!N$25,Bewertung_Stammdaten!M$25,IF(AP9&lt;Bewertung_Stammdaten!N$26,Bewertung_Stammdaten!M$26,IF(AP9&lt;Bewertung_Stammdaten!N$27,Bewertung_Stammdaten!M$27,IF(AP9&lt;Bewertung_Stammdaten!N$28,Bewertung_Stammdaten!M$28,IF(AP9&lt;Bewertung_Stammdaten!N$29,Bewertung_Stammdaten!M$29,IF(AP9&lt;Bewertung_Stammdaten!N$30,Bewertung_Stammdaten!M$30,IF(AP9&lt;Bewertung_Stammdaten!N$31,Bewertung_Stammdaten!M$31,IF(AP9&lt;Bewertung_Stammdaten!N$32,Bewertung_Stammdaten!M$32,Bewertung_Stammdaten!M$33)))))))))</f>
        <v>0.5</v>
      </c>
      <c r="AT9" s="49"/>
      <c r="AU9" s="13">
        <f ca="1">VLOOKUP(A9,Ausschüttungsquote!A3:S68,18,FALSE)</f>
        <v>0.88378303785960144</v>
      </c>
      <c r="AV9" s="13">
        <f>VLOOKUP(A9,Ausschüttungsquote!A3:S68,15,FALSE)</f>
        <v>3.2989760960798225</v>
      </c>
      <c r="AW9" s="13">
        <f ca="1">VLOOKUP(A9,Ausschüttungsquote!A3:S68,19,FALSE)</f>
        <v>-0.73210383703301096</v>
      </c>
      <c r="AX9" s="36">
        <f ca="1">IF(AU9&lt;Bewertung_Stammdaten!H$11,Bewertung_Stammdaten!G$11,IF(AU9&lt;Bewertung_Stammdaten!H$12,Bewertung_Stammdaten!G$12,IF(AU9&lt;Bewertung_Stammdaten!H$13,Bewertung_Stammdaten!G$13,IF(AU9&lt;Bewertung_Stammdaten!H$14,Bewertung_Stammdaten!G$14,IF(AU9&lt;Bewertung_Stammdaten!H$15,Bewertung_Stammdaten!G$15,IF(AU9&lt;Bewertung_Stammdaten!H$16,Bewertung_Stammdaten!G$16,IF(AU9&lt;Bewertung_Stammdaten!H$17,Bewertung_Stammdaten!G$17,IF(AU9&lt;Bewertung_Stammdaten!H$18,Bewertung_Stammdaten!G$18,IF(AU9&lt;Bewertung_Stammdaten!H$19,Bewertung_Stammdaten!G$19,Bewertung_Stammdaten!G$20)))))))))</f>
        <v>0.5</v>
      </c>
      <c r="AY9" s="47">
        <f>IF(AV9&lt;Bewertung_Stammdaten!B$24,Bewertung_Stammdaten!A$24,IF(AV9&lt;Bewertung_Stammdaten!B$25,Bewertung_Stammdaten!A$25,IF(AV9&lt;Bewertung_Stammdaten!B$26,Bewertung_Stammdaten!A$26,IF(AV9&lt;Bewertung_Stammdaten!B$27,Bewertung_Stammdaten!A$27,IF(AV9&lt;Bewertung_Stammdaten!B$28,Bewertung_Stammdaten!A$28,IF(AV9&lt;Bewertung_Stammdaten!B$29,Bewertung_Stammdaten!A$29,IF(AV9&lt;Bewertung_Stammdaten!B$30,Bewertung_Stammdaten!A$30,IF(AV9&lt;Bewertung_Stammdaten!B$31,Bewertung_Stammdaten!A$31,IF(AV9&lt;Bewertung_Stammdaten!B$32,Bewertung_Stammdaten!A$32,Bewertung_Stammdaten!A$33)))))))))</f>
        <v>0.5</v>
      </c>
      <c r="AZ9" s="36">
        <f ca="1">IF(AW9&lt;Bewertung_Stammdaten!J$11,Bewertung_Stammdaten!I$11,IF(AW9&lt;Bewertung_Stammdaten!J$12,Bewertung_Stammdaten!I$12,IF(AW9&lt;Bewertung_Stammdaten!J$13,Bewertung_Stammdaten!I$13,IF(AW9&lt;Bewertung_Stammdaten!J$14,Bewertung_Stammdaten!I$14,IF(AW9&lt;Bewertung_Stammdaten!J$15,Bewertung_Stammdaten!I$15,IF(AW9&lt;Bewertung_Stammdaten!J$16,Bewertung_Stammdaten!I$16,IF(AW9&lt;Bewertung_Stammdaten!J$17,Bewertung_Stammdaten!I$17,IF(AW9&lt;Bewertung_Stammdaten!J$18,Bewertung_Stammdaten!I$18,IF(AW9&lt;Bewertung_Stammdaten!J$19,Bewertung_Stammdaten!I$19,Bewertung_Stammdaten!I$20)))))))))</f>
        <v>5</v>
      </c>
    </row>
    <row r="10" spans="1:52" x14ac:dyDescent="0.25">
      <c r="A10" s="44" t="s">
        <v>16</v>
      </c>
      <c r="B10" s="44" t="s">
        <v>17</v>
      </c>
      <c r="C10" s="36">
        <f t="shared" ca="1" si="0"/>
        <v>132</v>
      </c>
      <c r="D10" s="49"/>
      <c r="E10" s="12">
        <f ca="1">VLOOKUP(A10,KGV!A3:S68,18,FALSE)</f>
        <v>18.572499999999998</v>
      </c>
      <c r="F10" s="12">
        <f>VLOOKUP(A10,KGV!A3:S68,15,FALSE)</f>
        <v>23.75</v>
      </c>
      <c r="G10" s="13">
        <f ca="1">VLOOKUP(A10,KGV!A3:S68,19,FALSE)</f>
        <v>-0.21800000000000008</v>
      </c>
      <c r="H10" s="19">
        <f t="shared" ca="1" si="1"/>
        <v>22.647478902953583</v>
      </c>
      <c r="I10" s="13">
        <f t="shared" ca="1" si="2"/>
        <v>-4.6421940928270122E-2</v>
      </c>
      <c r="J10" s="36">
        <f ca="1">IF(G10&lt;Bewertung_Stammdaten!B$11,Bewertung_Stammdaten!A$11,IF(G10&lt;Bewertung_Stammdaten!B$12,Bewertung_Stammdaten!A$12,IF(G10&lt;Bewertung_Stammdaten!B$13,Bewertung_Stammdaten!A$13,IF(G10&lt;Bewertung_Stammdaten!B$14,Bewertung_Stammdaten!A$14,IF(G10&lt;Bewertung_Stammdaten!B$15,Bewertung_Stammdaten!A$15,IF(G10&lt;Bewertung_Stammdaten!B$16,Bewertung_Stammdaten!A$16,IF(G10&lt;Bewertung_Stammdaten!B$17,Bewertung_Stammdaten!A$17,IF(G10&lt;Bewertung_Stammdaten!B$18,Bewertung_Stammdaten!A$18,IF(G10&lt;Bewertung_Stammdaten!B$19,Bewertung_Stammdaten!A$19,Bewertung_Stammdaten!A$20)))))))))</f>
        <v>20</v>
      </c>
      <c r="K10" s="36">
        <f ca="1">IF(I10&lt;Bewertung_Stammdaten!N$11,Bewertung_Stammdaten!M$11,IF(I10&lt;Bewertung_Stammdaten!N$12,Bewertung_Stammdaten!M$12,IF(I10&lt;Bewertung_Stammdaten!N$13,Bewertung_Stammdaten!M$13,IF(I10&lt;Bewertung_Stammdaten!N$14,Bewertung_Stammdaten!M$14,IF(I10&lt;Bewertung_Stammdaten!N$15,Bewertung_Stammdaten!M$15,IF(I10&lt;Bewertung_Stammdaten!N$16,Bewertung_Stammdaten!M$16,IF(I10&lt;Bewertung_Stammdaten!N$17,Bewertung_Stammdaten!M$17,IF(I10&lt;Bewertung_Stammdaten!N$18,Bewertung_Stammdaten!M$18,IF(I10&lt;Bewertung_Stammdaten!N$19,Bewertung_Stammdaten!M$19,Bewertung_Stammdaten!M$20)))))))))</f>
        <v>6</v>
      </c>
      <c r="L10" s="49"/>
      <c r="M10" s="12">
        <f ca="1">VLOOKUP(A10,Buchwert_je_Aktie!A3:AC68,18,FALSE)</f>
        <v>16.184999999999999</v>
      </c>
      <c r="N10" s="12">
        <f>VLOOKUP(A10,Buchwert_je_Aktie!A3:AC68,15,FALSE)</f>
        <v>7.3949999999999987</v>
      </c>
      <c r="O10" s="13">
        <f ca="1">VLOOKUP(A10,Buchwert_je_Aktie!A3:AC68,19,FALSE)</f>
        <v>1.1886409736308319</v>
      </c>
      <c r="P10" s="13">
        <f>VLOOKUP(A10,Buchwert_je_Aktie!A3:AC68,29,FALSE)</f>
        <v>5.908096280087527E-2</v>
      </c>
      <c r="Q10" s="19">
        <f t="shared" ca="1" si="6"/>
        <v>16.184999999999999</v>
      </c>
      <c r="R10" s="13">
        <f t="shared" ca="1" si="3"/>
        <v>1.1886409736308319</v>
      </c>
      <c r="S10" s="58">
        <f ca="1">IF(O10&lt;Bewertung_Stammdaten!D$24,Bewertung_Stammdaten!C$24,IF(O10&lt;Bewertung_Stammdaten!D$25,Bewertung_Stammdaten!C$25,IF(O10&lt;Bewertung_Stammdaten!D$26,Bewertung_Stammdaten!C$26,IF(O10&lt;Bewertung_Stammdaten!D$27,Bewertung_Stammdaten!C$27,IF(O10&lt;Bewertung_Stammdaten!D$28,Bewertung_Stammdaten!C$28,IF(O10&lt;Bewertung_Stammdaten!D$29,Bewertung_Stammdaten!C$29,IF(O10&lt;Bewertung_Stammdaten!D$30,Bewertung_Stammdaten!C$30,IF(O10&lt;Bewertung_Stammdaten!D$31,Bewertung_Stammdaten!C$31,IF(O10&lt;Bewertung_Stammdaten!D$32,Bewertung_Stammdaten!C$32,Bewertung_Stammdaten!C$33)))))))))</f>
        <v>20</v>
      </c>
      <c r="T10" s="58">
        <f>IF(P10&lt;Bewertung_Stammdaten!F$24,Bewertung_Stammdaten!E$24,IF(P10&lt;Bewertung_Stammdaten!F$25,Bewertung_Stammdaten!E$25,IF(P10&lt;Bewertung_Stammdaten!F$26,Bewertung_Stammdaten!E$26,IF(P10&lt;Bewertung_Stammdaten!F$27,Bewertung_Stammdaten!E$27,IF(P10&lt;Bewertung_Stammdaten!F$28,Bewertung_Stammdaten!E$28,IF(P10&lt;Bewertung_Stammdaten!F$29,Bewertung_Stammdaten!E$29,IF(P10&lt;Bewertung_Stammdaten!F$30,Bewertung_Stammdaten!E$30,IF(P10&lt;Bewertung_Stammdaten!F$31,Bewertung_Stammdaten!E$31,IF(P10&lt;Bewertung_Stammdaten!F$32,Bewertung_Stammdaten!E$32,Bewertung_Stammdaten!E$33)))))))))</f>
        <v>13.5</v>
      </c>
      <c r="U10" s="58">
        <f ca="1">IF(R10&lt;Bewertung_Stammdaten!H$24,Bewertung_Stammdaten!G$24,IF(R10&lt;Bewertung_Stammdaten!H$25,Bewertung_Stammdaten!G$25,IF(R10&lt;Bewertung_Stammdaten!H$26,Bewertung_Stammdaten!G$26,IF(R10&lt;Bewertung_Stammdaten!H$27,Bewertung_Stammdaten!G$27,IF(R10&lt;Bewertung_Stammdaten!H$28,Bewertung_Stammdaten!G$28,IF(R10&lt;Bewertung_Stammdaten!H$29,Bewertung_Stammdaten!G$29,IF(R10&lt;Bewertung_Stammdaten!H$30,Bewertung_Stammdaten!G$30,IF(R10&lt;Bewertung_Stammdaten!H$31,Bewertung_Stammdaten!G$31,IF(R10&lt;Bewertung_Stammdaten!H$32,Bewertung_Stammdaten!G$32,Bewertung_Stammdaten!G$33)))))))))</f>
        <v>10</v>
      </c>
      <c r="V10" s="49"/>
      <c r="W10" s="17">
        <f ca="1">VLOOKUP(A10,Ergebnis_je_Aktie_verwässert!A3:S68,18,FALSE)</f>
        <v>3.2572777777777779</v>
      </c>
      <c r="X10" s="17">
        <f>VLOOKUP(A10,Ergebnis_je_Aktie_verwässert!A3:S68,15,FALSE)</f>
        <v>1.794</v>
      </c>
      <c r="Y10" s="13">
        <f ca="1">VLOOKUP(A10,Ergebnis_je_Aktie_verwässert!A3:S68,19,FALSE)</f>
        <v>0.81565093521615273</v>
      </c>
      <c r="Z10" s="46">
        <f>VLOOKUP(A10,Ergebnis_je_Aktie_verwässert!A3:AC68,29,FALSE)</f>
        <v>-0.17993079584775085</v>
      </c>
      <c r="AA10" s="19">
        <f t="shared" ca="1" si="4"/>
        <v>2.6711931949250292</v>
      </c>
      <c r="AB10" s="13">
        <f t="shared" ca="1" si="5"/>
        <v>0.48895941746099725</v>
      </c>
      <c r="AC10" s="36">
        <f ca="1">IF(Y10&lt;Bewertung_Stammdaten!L$11,Bewertung_Stammdaten!K$11,IF(Y10&lt;Bewertung_Stammdaten!L$12,Bewertung_Stammdaten!K$12,IF(Y10&lt;Bewertung_Stammdaten!L$13,Bewertung_Stammdaten!K$13,IF(Y10&lt;Bewertung_Stammdaten!L$14,Bewertung_Stammdaten!K$14,IF(Y10&lt;Bewertung_Stammdaten!L$15,Bewertung_Stammdaten!K$15,IF(Y10&lt;Bewertung_Stammdaten!L$16,Bewertung_Stammdaten!K$16,IF(Y10&lt;Bewertung_Stammdaten!L$17,Bewertung_Stammdaten!K$17,IF(Y10&lt;Bewertung_Stammdaten!L$18,Bewertung_Stammdaten!K$18,IF(Y10&lt;Bewertung_Stammdaten!L$19,Bewertung_Stammdaten!K$19,Bewertung_Stammdaten!K$20)))))))))</f>
        <v>20</v>
      </c>
      <c r="AD10" s="36">
        <f>IF(Z10&lt;Bewertung_Stammdaten!R$11,Bewertung_Stammdaten!Q$11,IF(Z10&lt;Bewertung_Stammdaten!R$12,Bewertung_Stammdaten!Q$12,IF(Z10&lt;Bewertung_Stammdaten!R$13,Bewertung_Stammdaten!Q$13,IF(Z10&lt;Bewertung_Stammdaten!R$14,Bewertung_Stammdaten!Q$14,IF(Z10&lt;Bewertung_Stammdaten!R$15,Bewertung_Stammdaten!Q$15,IF(Z10&lt;Bewertung_Stammdaten!R$16,Bewertung_Stammdaten!Q$16,IF(Z10&lt;Bewertung_Stammdaten!R$17,Bewertung_Stammdaten!Q$17,IF(Z10&lt;Bewertung_Stammdaten!R$18,Bewertung_Stammdaten!Q$18,IF(Z10&lt;Bewertung_Stammdaten!R$19,Bewertung_Stammdaten!Q$19,Bewertung_Stammdaten!Q$20)))))))))</f>
        <v>6</v>
      </c>
      <c r="AE10" s="36">
        <f ca="1">IF(AB10&lt;Bewertung_Stammdaten!P$11,Bewertung_Stammdaten!O$11,IF(AB10&lt;Bewertung_Stammdaten!P$12,Bewertung_Stammdaten!O$12,IF(AB10&lt;Bewertung_Stammdaten!P$13,Bewertung_Stammdaten!O$13,IF(AB10&lt;Bewertung_Stammdaten!P$14,Bewertung_Stammdaten!O$14,IF(AB10&lt;Bewertung_Stammdaten!P$15,Bewertung_Stammdaten!O$15,IF(AB10&lt;Bewertung_Stammdaten!P$16,Bewertung_Stammdaten!O$16,IF(AB10&lt;Bewertung_Stammdaten!P$17,Bewertung_Stammdaten!O$17,IF(AB10&lt;Bewertung_Stammdaten!P$18,Bewertung_Stammdaten!O$18,IF(AB10&lt;Bewertung_Stammdaten!P$19,Bewertung_Stammdaten!O$19,Bewertung_Stammdaten!O$20)))))))))</f>
        <v>6</v>
      </c>
      <c r="AF10" s="49"/>
      <c r="AG10" s="13">
        <f ca="1">VLOOKUP(A10,Dividendenrendite!A3:S68,18,FALSE)</f>
        <v>1.8104166666666668E-2</v>
      </c>
      <c r="AH10" s="13">
        <f>VLOOKUP(A10,Dividendenrendite!A3:S68,15,FALSE)</f>
        <v>1.5099999999999999E-2</v>
      </c>
      <c r="AI10" s="13">
        <f ca="1">VLOOKUP(A10,Dividendenrendite!A3:S68,19,FALSE)</f>
        <v>0.19895143487858746</v>
      </c>
      <c r="AJ10" s="36">
        <f ca="1">IF(AG10&lt;Bewertung_Stammdaten!D$11,Bewertung_Stammdaten!C$11,IF(AG10&lt;Bewertung_Stammdaten!D$12,Bewertung_Stammdaten!C$12,IF(AG10&lt;Bewertung_Stammdaten!D$13,Bewertung_Stammdaten!C$13,IF(AG10&lt;Bewertung_Stammdaten!D$14,Bewertung_Stammdaten!C$14,IF(AG10&lt;Bewertung_Stammdaten!D$15,Bewertung_Stammdaten!C$15,IF(AG10&lt;Bewertung_Stammdaten!D$16,Bewertung_Stammdaten!C$16,IF(AG10&lt;Bewertung_Stammdaten!D$17,Bewertung_Stammdaten!C$17,IF(AG10&lt;Bewertung_Stammdaten!D$18,Bewertung_Stammdaten!C$18,IF(AG10&lt;Bewertung_Stammdaten!D$19,Bewertung_Stammdaten!C$19,Bewertung_Stammdaten!C$20)))))))))</f>
        <v>6</v>
      </c>
      <c r="AK10" s="36">
        <f>IF(AH10&lt;Bewertung_Stammdaten!T$11,Bewertung_Stammdaten!S$11,IF(AH10&lt;Bewertung_Stammdaten!T$12,Bewertung_Stammdaten!S$12,IF(AH10&lt;Bewertung_Stammdaten!T$13,Bewertung_Stammdaten!S$13,IF(AH10&lt;Bewertung_Stammdaten!T$14,Bewertung_Stammdaten!S$14,IF(AH10&lt;Bewertung_Stammdaten!T$15,Bewertung_Stammdaten!S$15,IF(AH10&lt;Bewertung_Stammdaten!T$16,Bewertung_Stammdaten!S$16,IF(AH10&lt;Bewertung_Stammdaten!T$17,Bewertung_Stammdaten!S$17,IF(AH10&lt;Bewertung_Stammdaten!T$18,Bewertung_Stammdaten!S$18,IF(AH10&lt;Bewertung_Stammdaten!T$19,Bewertung_Stammdaten!S$19,Bewertung_Stammdaten!S$20)))))))))</f>
        <v>4</v>
      </c>
      <c r="AL10" s="36">
        <f ca="1">IF(AI10&lt;Bewertung_Stammdaten!F$11,Bewertung_Stammdaten!E$11,IF(AI10&lt;Bewertung_Stammdaten!F$12,Bewertung_Stammdaten!E$12,IF(AI10&lt;Bewertung_Stammdaten!F$13,Bewertung_Stammdaten!E$13,IF(AI10&lt;Bewertung_Stammdaten!F$14,Bewertung_Stammdaten!E$14,IF(AI10&lt;Bewertung_Stammdaten!F$15,Bewertung_Stammdaten!E$15,IF(AI10&lt;Bewertung_Stammdaten!F$16,Bewertung_Stammdaten!E$16,IF(AI10&lt;Bewertung_Stammdaten!F$17,Bewertung_Stammdaten!E$17,IF(AI10&lt;Bewertung_Stammdaten!F$18,Bewertung_Stammdaten!E$18,IF(AI10&lt;Bewertung_Stammdaten!F$19,Bewertung_Stammdaten!E$19,Bewertung_Stammdaten!E$20)))))))))</f>
        <v>4.5</v>
      </c>
      <c r="AM10" s="49"/>
      <c r="AN10" s="13">
        <f>VLOOKUP(A10,Aktien_im_Umlauf_splitbereinigt!A3:W68,13,FALSE)</f>
        <v>0</v>
      </c>
      <c r="AO10" s="13">
        <f>VLOOKUP(A10,Aktien_im_Umlauf_splitbereinigt!A3:W68,22,FALSE)</f>
        <v>-3.088275102774343E-3</v>
      </c>
      <c r="AP10" s="13">
        <f>VLOOKUP(A10,Aktien_im_Umlauf_splitbereinigt!A3:W68,23,FALSE)</f>
        <v>-1</v>
      </c>
      <c r="AQ10" s="47">
        <f>IF(AN10&lt;Bewertung_Stammdaten!J$24,Bewertung_Stammdaten!I$24,IF(AN10&lt;Bewertung_Stammdaten!J$25,Bewertung_Stammdaten!I$25,IF(AN10&lt;Bewertung_Stammdaten!J$26,Bewertung_Stammdaten!I$26,IF(AN10&lt;Bewertung_Stammdaten!J$27,Bewertung_Stammdaten!I$27,IF(AN10&lt;Bewertung_Stammdaten!J$28,Bewertung_Stammdaten!I$28,IF(AN10&lt;Bewertung_Stammdaten!J$29,Bewertung_Stammdaten!I$29,IF(AN10&lt;Bewertung_Stammdaten!J$30,Bewertung_Stammdaten!I$30,IF(AN10&lt;Bewertung_Stammdaten!J$31,Bewertung_Stammdaten!I$31,IF(AN10&lt;Bewertung_Stammdaten!J$32,Bewertung_Stammdaten!I$32,Bewertung_Stammdaten!I$33)))))))))</f>
        <v>1</v>
      </c>
      <c r="AR10" s="47">
        <f>IF(AO10&lt;Bewertung_Stammdaten!L$24,Bewertung_Stammdaten!K$24,IF(AO10&lt;Bewertung_Stammdaten!L$25,Bewertung_Stammdaten!K$25,IF(AO10&lt;Bewertung_Stammdaten!L$26,Bewertung_Stammdaten!K$26,IF(AO10&lt;Bewertung_Stammdaten!L$27,Bewertung_Stammdaten!K$27,IF(AO10&lt;Bewertung_Stammdaten!L$28,Bewertung_Stammdaten!K$28,IF(AO10&lt;Bewertung_Stammdaten!L$29,Bewertung_Stammdaten!K$29,IF(AO10&lt;Bewertung_Stammdaten!L$30,Bewertung_Stammdaten!K$30,IF(AO10&lt;Bewertung_Stammdaten!L$31,Bewertung_Stammdaten!K$31,IF(AO10&lt;Bewertung_Stammdaten!L$32,Bewertung_Stammdaten!K$32,Bewertung_Stammdaten!K$33)))))))))</f>
        <v>1.5</v>
      </c>
      <c r="AS10" s="47">
        <f>IF(AP10&lt;Bewertung_Stammdaten!N$24,Bewertung_Stammdaten!M$24,IF(AP10&lt;Bewertung_Stammdaten!N$25,Bewertung_Stammdaten!M$25,IF(AP10&lt;Bewertung_Stammdaten!N$26,Bewertung_Stammdaten!M$26,IF(AP10&lt;Bewertung_Stammdaten!N$27,Bewertung_Stammdaten!M$27,IF(AP10&lt;Bewertung_Stammdaten!N$28,Bewertung_Stammdaten!M$28,IF(AP10&lt;Bewertung_Stammdaten!N$29,Bewertung_Stammdaten!M$29,IF(AP10&lt;Bewertung_Stammdaten!N$30,Bewertung_Stammdaten!M$30,IF(AP10&lt;Bewertung_Stammdaten!N$31,Bewertung_Stammdaten!M$31,IF(AP10&lt;Bewertung_Stammdaten!N$32,Bewertung_Stammdaten!M$32,Bewertung_Stammdaten!M$33)))))))))</f>
        <v>1</v>
      </c>
      <c r="AT10" s="49"/>
      <c r="AU10" s="13">
        <f ca="1">VLOOKUP(A10,Ausschüttungsquote!A3:S68,18,FALSE)</f>
        <v>0.3353004201134176</v>
      </c>
      <c r="AV10" s="13">
        <f>VLOOKUP(A10,Ausschüttungsquote!A3:S68,15,FALSE)</f>
        <v>0.33402020527229942</v>
      </c>
      <c r="AW10" s="13">
        <f ca="1">VLOOKUP(A10,Ausschüttungsquote!A3:S68,19,FALSE)</f>
        <v>3.8327467048722141E-3</v>
      </c>
      <c r="AX10" s="36">
        <f ca="1">IF(AU10&lt;Bewertung_Stammdaten!H$11,Bewertung_Stammdaten!G$11,IF(AU10&lt;Bewertung_Stammdaten!H$12,Bewertung_Stammdaten!G$12,IF(AU10&lt;Bewertung_Stammdaten!H$13,Bewertung_Stammdaten!G$13,IF(AU10&lt;Bewertung_Stammdaten!H$14,Bewertung_Stammdaten!G$14,IF(AU10&lt;Bewertung_Stammdaten!H$15,Bewertung_Stammdaten!G$15,IF(AU10&lt;Bewertung_Stammdaten!H$16,Bewertung_Stammdaten!G$16,IF(AU10&lt;Bewertung_Stammdaten!H$17,Bewertung_Stammdaten!G$17,IF(AU10&lt;Bewertung_Stammdaten!H$18,Bewertung_Stammdaten!G$18,IF(AU10&lt;Bewertung_Stammdaten!H$19,Bewertung_Stammdaten!G$19,Bewertung_Stammdaten!G$20)))))))))</f>
        <v>5</v>
      </c>
      <c r="AY10" s="47">
        <f>IF(AV10&lt;Bewertung_Stammdaten!B$24,Bewertung_Stammdaten!A$24,IF(AV10&lt;Bewertung_Stammdaten!B$25,Bewertung_Stammdaten!A$25,IF(AV10&lt;Bewertung_Stammdaten!B$26,Bewertung_Stammdaten!A$26,IF(AV10&lt;Bewertung_Stammdaten!B$27,Bewertung_Stammdaten!A$27,IF(AV10&lt;Bewertung_Stammdaten!B$28,Bewertung_Stammdaten!A$28,IF(AV10&lt;Bewertung_Stammdaten!B$29,Bewertung_Stammdaten!A$29,IF(AV10&lt;Bewertung_Stammdaten!B$30,Bewertung_Stammdaten!A$30,IF(AV10&lt;Bewertung_Stammdaten!B$31,Bewertung_Stammdaten!A$31,IF(AV10&lt;Bewertung_Stammdaten!B$32,Bewertung_Stammdaten!A$32,Bewertung_Stammdaten!A$33)))))))))</f>
        <v>5</v>
      </c>
      <c r="AZ10" s="36">
        <f ca="1">IF(AW10&lt;Bewertung_Stammdaten!J$11,Bewertung_Stammdaten!I$11,IF(AW10&lt;Bewertung_Stammdaten!J$12,Bewertung_Stammdaten!I$12,IF(AW10&lt;Bewertung_Stammdaten!J$13,Bewertung_Stammdaten!I$13,IF(AW10&lt;Bewertung_Stammdaten!J$14,Bewertung_Stammdaten!I$14,IF(AW10&lt;Bewertung_Stammdaten!J$15,Bewertung_Stammdaten!I$15,IF(AW10&lt;Bewertung_Stammdaten!J$16,Bewertung_Stammdaten!I$16,IF(AW10&lt;Bewertung_Stammdaten!J$17,Bewertung_Stammdaten!I$17,IF(AW10&lt;Bewertung_Stammdaten!J$18,Bewertung_Stammdaten!I$18,IF(AW10&lt;Bewertung_Stammdaten!J$19,Bewertung_Stammdaten!I$19,Bewertung_Stammdaten!I$20)))))))))</f>
        <v>2.5</v>
      </c>
    </row>
    <row r="11" spans="1:52" x14ac:dyDescent="0.25">
      <c r="A11" s="44" t="s">
        <v>18</v>
      </c>
      <c r="B11" s="44" t="s">
        <v>19</v>
      </c>
      <c r="C11" s="36">
        <f t="shared" ca="1" si="0"/>
        <v>92</v>
      </c>
      <c r="D11" s="49"/>
      <c r="E11" s="12">
        <f ca="1">VLOOKUP(A11,KGV!A3:S68,18,FALSE)</f>
        <v>13.354722222222222</v>
      </c>
      <c r="F11" s="12">
        <f>VLOOKUP(A11,KGV!A3:S68,15,FALSE)</f>
        <v>17.350000000000001</v>
      </c>
      <c r="G11" s="13">
        <f ca="1">VLOOKUP(A11,KGV!A3:S68,19,FALSE)</f>
        <v>-0.23027537624079419</v>
      </c>
      <c r="H11" s="19">
        <f t="shared" ca="1" si="1"/>
        <v>32.447404942965782</v>
      </c>
      <c r="I11" s="13">
        <f t="shared" ca="1" si="2"/>
        <v>0.87016743187122647</v>
      </c>
      <c r="J11" s="36">
        <f ca="1">IF(G11&lt;Bewertung_Stammdaten!B$11,Bewertung_Stammdaten!A$11,IF(G11&lt;Bewertung_Stammdaten!B$12,Bewertung_Stammdaten!A$12,IF(G11&lt;Bewertung_Stammdaten!B$13,Bewertung_Stammdaten!A$13,IF(G11&lt;Bewertung_Stammdaten!B$14,Bewertung_Stammdaten!A$14,IF(G11&lt;Bewertung_Stammdaten!B$15,Bewertung_Stammdaten!A$15,IF(G11&lt;Bewertung_Stammdaten!B$16,Bewertung_Stammdaten!A$16,IF(G11&lt;Bewertung_Stammdaten!B$17,Bewertung_Stammdaten!A$17,IF(G11&lt;Bewertung_Stammdaten!B$18,Bewertung_Stammdaten!A$18,IF(G11&lt;Bewertung_Stammdaten!B$19,Bewertung_Stammdaten!A$19,Bewertung_Stammdaten!A$20)))))))))</f>
        <v>20</v>
      </c>
      <c r="K11" s="36">
        <f ca="1">IF(I11&lt;Bewertung_Stammdaten!N$11,Bewertung_Stammdaten!M$11,IF(I11&lt;Bewertung_Stammdaten!N$12,Bewertung_Stammdaten!M$12,IF(I11&lt;Bewertung_Stammdaten!N$13,Bewertung_Stammdaten!M$13,IF(I11&lt;Bewertung_Stammdaten!N$14,Bewertung_Stammdaten!M$14,IF(I11&lt;Bewertung_Stammdaten!N$15,Bewertung_Stammdaten!M$15,IF(I11&lt;Bewertung_Stammdaten!N$16,Bewertung_Stammdaten!M$16,IF(I11&lt;Bewertung_Stammdaten!N$17,Bewertung_Stammdaten!M$17,IF(I11&lt;Bewertung_Stammdaten!N$18,Bewertung_Stammdaten!M$18,IF(I11&lt;Bewertung_Stammdaten!N$19,Bewertung_Stammdaten!M$19,Bewertung_Stammdaten!M$20)))))))))</f>
        <v>1</v>
      </c>
      <c r="L11" s="49"/>
      <c r="M11" s="12">
        <f ca="1">VLOOKUP(A11,Buchwert_je_Aktie!A3:AC68,18,FALSE)</f>
        <v>37.56861111111111</v>
      </c>
      <c r="N11" s="12">
        <f>VLOOKUP(A11,Buchwert_je_Aktie!A3:AC68,15,FALSE)</f>
        <v>31.607999999999997</v>
      </c>
      <c r="O11" s="13">
        <f ca="1">VLOOKUP(A11,Buchwert_je_Aktie!A3:AC68,19,FALSE)</f>
        <v>0.18857919232824338</v>
      </c>
      <c r="P11" s="13">
        <f>VLOOKUP(A11,Buchwert_je_Aktie!A3:AC68,29,FALSE)</f>
        <v>-8.5149082568807377E-2</v>
      </c>
      <c r="Q11" s="19">
        <f t="shared" ca="1" si="6"/>
        <v>34.369678341615696</v>
      </c>
      <c r="R11" s="13">
        <f t="shared" ca="1" si="3"/>
        <v>8.7372764541119308E-2</v>
      </c>
      <c r="S11" s="58">
        <f ca="1">IF(O11&lt;Bewertung_Stammdaten!D$24,Bewertung_Stammdaten!C$24,IF(O11&lt;Bewertung_Stammdaten!D$25,Bewertung_Stammdaten!C$25,IF(O11&lt;Bewertung_Stammdaten!D$26,Bewertung_Stammdaten!C$26,IF(O11&lt;Bewertung_Stammdaten!D$27,Bewertung_Stammdaten!C$27,IF(O11&lt;Bewertung_Stammdaten!D$28,Bewertung_Stammdaten!C$28,IF(O11&lt;Bewertung_Stammdaten!D$29,Bewertung_Stammdaten!C$29,IF(O11&lt;Bewertung_Stammdaten!D$30,Bewertung_Stammdaten!C$30,IF(O11&lt;Bewertung_Stammdaten!D$31,Bewertung_Stammdaten!C$31,IF(O11&lt;Bewertung_Stammdaten!D$32,Bewertung_Stammdaten!C$32,Bewertung_Stammdaten!C$33)))))))))</f>
        <v>6</v>
      </c>
      <c r="T11" s="58">
        <f>IF(P11&lt;Bewertung_Stammdaten!F$24,Bewertung_Stammdaten!E$24,IF(P11&lt;Bewertung_Stammdaten!F$25,Bewertung_Stammdaten!E$25,IF(P11&lt;Bewertung_Stammdaten!F$26,Bewertung_Stammdaten!E$26,IF(P11&lt;Bewertung_Stammdaten!F$27,Bewertung_Stammdaten!E$27,IF(P11&lt;Bewertung_Stammdaten!F$28,Bewertung_Stammdaten!E$28,IF(P11&lt;Bewertung_Stammdaten!F$29,Bewertung_Stammdaten!E$29,IF(P11&lt;Bewertung_Stammdaten!F$30,Bewertung_Stammdaten!E$30,IF(P11&lt;Bewertung_Stammdaten!F$31,Bewertung_Stammdaten!E$31,IF(P11&lt;Bewertung_Stammdaten!F$32,Bewertung_Stammdaten!E$32,Bewertung_Stammdaten!E$33)))))))))</f>
        <v>9</v>
      </c>
      <c r="U11" s="58">
        <f ca="1">IF(R11&lt;Bewertung_Stammdaten!H$24,Bewertung_Stammdaten!G$24,IF(R11&lt;Bewertung_Stammdaten!H$25,Bewertung_Stammdaten!G$25,IF(R11&lt;Bewertung_Stammdaten!H$26,Bewertung_Stammdaten!G$26,IF(R11&lt;Bewertung_Stammdaten!H$27,Bewertung_Stammdaten!G$27,IF(R11&lt;Bewertung_Stammdaten!H$28,Bewertung_Stammdaten!G$28,IF(R11&lt;Bewertung_Stammdaten!H$29,Bewertung_Stammdaten!G$29,IF(R11&lt;Bewertung_Stammdaten!H$30,Bewertung_Stammdaten!G$30,IF(R11&lt;Bewertung_Stammdaten!H$31,Bewertung_Stammdaten!G$31,IF(R11&lt;Bewertung_Stammdaten!H$32,Bewertung_Stammdaten!G$32,Bewertung_Stammdaten!G$33)))))))))</f>
        <v>2</v>
      </c>
      <c r="V11" s="49"/>
      <c r="W11" s="17">
        <f ca="1">VLOOKUP(A11,Ergebnis_je_Aktie_verwässert!A3:S68,18,FALSE)</f>
        <v>6.948666666666667</v>
      </c>
      <c r="X11" s="17">
        <f>VLOOKUP(A11,Ergebnis_je_Aktie_verwässert!A3:S68,15,FALSE)</f>
        <v>4.3930000000000007</v>
      </c>
      <c r="Y11" s="13">
        <f ca="1">VLOOKUP(A11,Ergebnis_je_Aktie_verwässert!A3:S68,19,FALSE)</f>
        <v>0.58175885879049982</v>
      </c>
      <c r="Z11" s="46">
        <f>VLOOKUP(A11,Ergebnis_je_Aktie_verwässert!A3:AC68,29,FALSE)</f>
        <v>-0.58841940532081383</v>
      </c>
      <c r="AA11" s="19">
        <f t="shared" ca="1" si="4"/>
        <v>2.8599363588941049</v>
      </c>
      <c r="AB11" s="13">
        <f t="shared" ca="1" si="5"/>
        <v>-0.34897874825993525</v>
      </c>
      <c r="AC11" s="36">
        <f ca="1">IF(Y11&lt;Bewertung_Stammdaten!L$11,Bewertung_Stammdaten!K$11,IF(Y11&lt;Bewertung_Stammdaten!L$12,Bewertung_Stammdaten!K$12,IF(Y11&lt;Bewertung_Stammdaten!L$13,Bewertung_Stammdaten!K$13,IF(Y11&lt;Bewertung_Stammdaten!L$14,Bewertung_Stammdaten!K$14,IF(Y11&lt;Bewertung_Stammdaten!L$15,Bewertung_Stammdaten!K$15,IF(Y11&lt;Bewertung_Stammdaten!L$16,Bewertung_Stammdaten!K$16,IF(Y11&lt;Bewertung_Stammdaten!L$17,Bewertung_Stammdaten!K$17,IF(Y11&lt;Bewertung_Stammdaten!L$18,Bewertung_Stammdaten!K$18,IF(Y11&lt;Bewertung_Stammdaten!L$19,Bewertung_Stammdaten!K$19,Bewertung_Stammdaten!K$20)))))))))</f>
        <v>14</v>
      </c>
      <c r="AD11" s="36">
        <f>IF(Z11&lt;Bewertung_Stammdaten!R$11,Bewertung_Stammdaten!Q$11,IF(Z11&lt;Bewertung_Stammdaten!R$12,Bewertung_Stammdaten!Q$12,IF(Z11&lt;Bewertung_Stammdaten!R$13,Bewertung_Stammdaten!Q$13,IF(Z11&lt;Bewertung_Stammdaten!R$14,Bewertung_Stammdaten!Q$14,IF(Z11&lt;Bewertung_Stammdaten!R$15,Bewertung_Stammdaten!Q$15,IF(Z11&lt;Bewertung_Stammdaten!R$16,Bewertung_Stammdaten!Q$16,IF(Z11&lt;Bewertung_Stammdaten!R$17,Bewertung_Stammdaten!Q$17,IF(Z11&lt;Bewertung_Stammdaten!R$18,Bewertung_Stammdaten!Q$18,IF(Z11&lt;Bewertung_Stammdaten!R$19,Bewertung_Stammdaten!Q$19,Bewertung_Stammdaten!Q$20)))))))))</f>
        <v>2</v>
      </c>
      <c r="AE11" s="36">
        <f ca="1">IF(AB11&lt;Bewertung_Stammdaten!P$11,Bewertung_Stammdaten!O$11,IF(AB11&lt;Bewertung_Stammdaten!P$12,Bewertung_Stammdaten!O$12,IF(AB11&lt;Bewertung_Stammdaten!P$13,Bewertung_Stammdaten!O$13,IF(AB11&lt;Bewertung_Stammdaten!P$14,Bewertung_Stammdaten!O$14,IF(AB11&lt;Bewertung_Stammdaten!P$15,Bewertung_Stammdaten!O$15,IF(AB11&lt;Bewertung_Stammdaten!P$16,Bewertung_Stammdaten!O$16,IF(AB11&lt;Bewertung_Stammdaten!P$17,Bewertung_Stammdaten!O$17,IF(AB11&lt;Bewertung_Stammdaten!P$18,Bewertung_Stammdaten!O$18,IF(AB11&lt;Bewertung_Stammdaten!P$19,Bewertung_Stammdaten!O$19,Bewertung_Stammdaten!O$20)))))))))</f>
        <v>1</v>
      </c>
      <c r="AF11" s="49"/>
      <c r="AG11" s="13">
        <f ca="1">VLOOKUP(A11,Dividendenrendite!A3:S68,18,FALSE)</f>
        <v>3.6587777777777775E-2</v>
      </c>
      <c r="AH11" s="13">
        <f>VLOOKUP(A11,Dividendenrendite!A3:S68,15,FALSE)</f>
        <v>2.8080000000000001E-2</v>
      </c>
      <c r="AI11" s="13">
        <f ca="1">VLOOKUP(A11,Dividendenrendite!A3:S68,19,FALSE)</f>
        <v>0.30298353909465003</v>
      </c>
      <c r="AJ11" s="36">
        <f ca="1">IF(AG11&lt;Bewertung_Stammdaten!D$11,Bewertung_Stammdaten!C$11,IF(AG11&lt;Bewertung_Stammdaten!D$12,Bewertung_Stammdaten!C$12,IF(AG11&lt;Bewertung_Stammdaten!D$13,Bewertung_Stammdaten!C$13,IF(AG11&lt;Bewertung_Stammdaten!D$14,Bewertung_Stammdaten!C$14,IF(AG11&lt;Bewertung_Stammdaten!D$15,Bewertung_Stammdaten!C$15,IF(AG11&lt;Bewertung_Stammdaten!D$16,Bewertung_Stammdaten!C$16,IF(AG11&lt;Bewertung_Stammdaten!D$17,Bewertung_Stammdaten!C$17,IF(AG11&lt;Bewertung_Stammdaten!D$18,Bewertung_Stammdaten!C$18,IF(AG11&lt;Bewertung_Stammdaten!D$19,Bewertung_Stammdaten!C$19,Bewertung_Stammdaten!C$20)))))))))</f>
        <v>12</v>
      </c>
      <c r="AK11" s="36">
        <f>IF(AH11&lt;Bewertung_Stammdaten!T$11,Bewertung_Stammdaten!S$11,IF(AH11&lt;Bewertung_Stammdaten!T$12,Bewertung_Stammdaten!S$12,IF(AH11&lt;Bewertung_Stammdaten!T$13,Bewertung_Stammdaten!S$13,IF(AH11&lt;Bewertung_Stammdaten!T$14,Bewertung_Stammdaten!S$14,IF(AH11&lt;Bewertung_Stammdaten!T$15,Bewertung_Stammdaten!S$15,IF(AH11&lt;Bewertung_Stammdaten!T$16,Bewertung_Stammdaten!S$16,IF(AH11&lt;Bewertung_Stammdaten!T$17,Bewertung_Stammdaten!S$17,IF(AH11&lt;Bewertung_Stammdaten!T$18,Bewertung_Stammdaten!S$18,IF(AH11&lt;Bewertung_Stammdaten!T$19,Bewertung_Stammdaten!S$19,Bewertung_Stammdaten!S$20)))))))))</f>
        <v>6</v>
      </c>
      <c r="AL11" s="36">
        <f ca="1">IF(AI11&lt;Bewertung_Stammdaten!F$11,Bewertung_Stammdaten!E$11,IF(AI11&lt;Bewertung_Stammdaten!F$12,Bewertung_Stammdaten!E$12,IF(AI11&lt;Bewertung_Stammdaten!F$13,Bewertung_Stammdaten!E$13,IF(AI11&lt;Bewertung_Stammdaten!F$14,Bewertung_Stammdaten!E$14,IF(AI11&lt;Bewertung_Stammdaten!F$15,Bewertung_Stammdaten!E$15,IF(AI11&lt;Bewertung_Stammdaten!F$16,Bewertung_Stammdaten!E$16,IF(AI11&lt;Bewertung_Stammdaten!F$17,Bewertung_Stammdaten!E$17,IF(AI11&lt;Bewertung_Stammdaten!F$18,Bewertung_Stammdaten!E$18,IF(AI11&lt;Bewertung_Stammdaten!F$19,Bewertung_Stammdaten!E$19,Bewertung_Stammdaten!E$20)))))))))</f>
        <v>5</v>
      </c>
      <c r="AM11" s="49"/>
      <c r="AN11" s="13">
        <f>VLOOKUP(A11,Aktien_im_Umlauf_splitbereinigt!A3:W68,13,FALSE)</f>
        <v>0</v>
      </c>
      <c r="AO11" s="13">
        <f>VLOOKUP(A11,Aktien_im_Umlauf_splitbereinigt!A3:W68,22,FALSE)</f>
        <v>-1.1544406772443629E-3</v>
      </c>
      <c r="AP11" s="13">
        <f>VLOOKUP(A11,Aktien_im_Umlauf_splitbereinigt!A3:W68,23,FALSE)</f>
        <v>-1</v>
      </c>
      <c r="AQ11" s="47">
        <f>IF(AN11&lt;Bewertung_Stammdaten!J$24,Bewertung_Stammdaten!I$24,IF(AN11&lt;Bewertung_Stammdaten!J$25,Bewertung_Stammdaten!I$25,IF(AN11&lt;Bewertung_Stammdaten!J$26,Bewertung_Stammdaten!I$26,IF(AN11&lt;Bewertung_Stammdaten!J$27,Bewertung_Stammdaten!I$27,IF(AN11&lt;Bewertung_Stammdaten!J$28,Bewertung_Stammdaten!I$28,IF(AN11&lt;Bewertung_Stammdaten!J$29,Bewertung_Stammdaten!I$29,IF(AN11&lt;Bewertung_Stammdaten!J$30,Bewertung_Stammdaten!I$30,IF(AN11&lt;Bewertung_Stammdaten!J$31,Bewertung_Stammdaten!I$31,IF(AN11&lt;Bewertung_Stammdaten!J$32,Bewertung_Stammdaten!I$32,Bewertung_Stammdaten!I$33)))))))))</f>
        <v>1</v>
      </c>
      <c r="AR11" s="47">
        <f>IF(AO11&lt;Bewertung_Stammdaten!L$24,Bewertung_Stammdaten!K$24,IF(AO11&lt;Bewertung_Stammdaten!L$25,Bewertung_Stammdaten!K$25,IF(AO11&lt;Bewertung_Stammdaten!L$26,Bewertung_Stammdaten!K$26,IF(AO11&lt;Bewertung_Stammdaten!L$27,Bewertung_Stammdaten!K$27,IF(AO11&lt;Bewertung_Stammdaten!L$28,Bewertung_Stammdaten!K$28,IF(AO11&lt;Bewertung_Stammdaten!L$29,Bewertung_Stammdaten!K$29,IF(AO11&lt;Bewertung_Stammdaten!L$30,Bewertung_Stammdaten!K$30,IF(AO11&lt;Bewertung_Stammdaten!L$31,Bewertung_Stammdaten!K$31,IF(AO11&lt;Bewertung_Stammdaten!L$32,Bewertung_Stammdaten!K$32,Bewertung_Stammdaten!K$33)))))))))</f>
        <v>1.5</v>
      </c>
      <c r="AS11" s="47">
        <f>IF(AP11&lt;Bewertung_Stammdaten!N$24,Bewertung_Stammdaten!M$24,IF(AP11&lt;Bewertung_Stammdaten!N$25,Bewertung_Stammdaten!M$25,IF(AP11&lt;Bewertung_Stammdaten!N$26,Bewertung_Stammdaten!M$26,IF(AP11&lt;Bewertung_Stammdaten!N$27,Bewertung_Stammdaten!M$27,IF(AP11&lt;Bewertung_Stammdaten!N$28,Bewertung_Stammdaten!M$28,IF(AP11&lt;Bewertung_Stammdaten!N$29,Bewertung_Stammdaten!M$29,IF(AP11&lt;Bewertung_Stammdaten!N$30,Bewertung_Stammdaten!M$30,IF(AP11&lt;Bewertung_Stammdaten!N$31,Bewertung_Stammdaten!M$31,IF(AP11&lt;Bewertung_Stammdaten!N$32,Bewertung_Stammdaten!M$32,Bewertung_Stammdaten!M$33)))))))))</f>
        <v>1</v>
      </c>
      <c r="AT11" s="49"/>
      <c r="AU11" s="13">
        <f ca="1">VLOOKUP(A11,Ausschüttungsquote!A3:S68,18,FALSE)</f>
        <v>0.4884151113833437</v>
      </c>
      <c r="AV11" s="13">
        <f>VLOOKUP(A11,Ausschüttungsquote!A3:S68,15,FALSE)</f>
        <v>0.48239688854227952</v>
      </c>
      <c r="AW11" s="13">
        <f ca="1">VLOOKUP(A11,Ausschüttungsquote!A3:S68,19,FALSE)</f>
        <v>1.2475666788088535E-2</v>
      </c>
      <c r="AX11" s="36">
        <f ca="1">IF(AU11&lt;Bewertung_Stammdaten!H$11,Bewertung_Stammdaten!G$11,IF(AU11&lt;Bewertung_Stammdaten!H$12,Bewertung_Stammdaten!G$12,IF(AU11&lt;Bewertung_Stammdaten!H$13,Bewertung_Stammdaten!G$13,IF(AU11&lt;Bewertung_Stammdaten!H$14,Bewertung_Stammdaten!G$14,IF(AU11&lt;Bewertung_Stammdaten!H$15,Bewertung_Stammdaten!G$15,IF(AU11&lt;Bewertung_Stammdaten!H$16,Bewertung_Stammdaten!G$16,IF(AU11&lt;Bewertung_Stammdaten!H$17,Bewertung_Stammdaten!G$17,IF(AU11&lt;Bewertung_Stammdaten!H$18,Bewertung_Stammdaten!G$18,IF(AU11&lt;Bewertung_Stammdaten!H$19,Bewertung_Stammdaten!G$19,Bewertung_Stammdaten!G$20)))))))))</f>
        <v>4</v>
      </c>
      <c r="AY11" s="47">
        <f>IF(AV11&lt;Bewertung_Stammdaten!B$24,Bewertung_Stammdaten!A$24,IF(AV11&lt;Bewertung_Stammdaten!B$25,Bewertung_Stammdaten!A$25,IF(AV11&lt;Bewertung_Stammdaten!B$26,Bewertung_Stammdaten!A$26,IF(AV11&lt;Bewertung_Stammdaten!B$27,Bewertung_Stammdaten!A$27,IF(AV11&lt;Bewertung_Stammdaten!B$28,Bewertung_Stammdaten!A$28,IF(AV11&lt;Bewertung_Stammdaten!B$29,Bewertung_Stammdaten!A$29,IF(AV11&lt;Bewertung_Stammdaten!B$30,Bewertung_Stammdaten!A$30,IF(AV11&lt;Bewertung_Stammdaten!B$31,Bewertung_Stammdaten!A$31,IF(AV11&lt;Bewertung_Stammdaten!B$32,Bewertung_Stammdaten!A$32,Bewertung_Stammdaten!A$33)))))))))</f>
        <v>4</v>
      </c>
      <c r="AZ11" s="36">
        <f ca="1">IF(AW11&lt;Bewertung_Stammdaten!J$11,Bewertung_Stammdaten!I$11,IF(AW11&lt;Bewertung_Stammdaten!J$12,Bewertung_Stammdaten!I$12,IF(AW11&lt;Bewertung_Stammdaten!J$13,Bewertung_Stammdaten!I$13,IF(AW11&lt;Bewertung_Stammdaten!J$14,Bewertung_Stammdaten!I$14,IF(AW11&lt;Bewertung_Stammdaten!J$15,Bewertung_Stammdaten!I$15,IF(AW11&lt;Bewertung_Stammdaten!J$16,Bewertung_Stammdaten!I$16,IF(AW11&lt;Bewertung_Stammdaten!J$17,Bewertung_Stammdaten!I$17,IF(AW11&lt;Bewertung_Stammdaten!J$18,Bewertung_Stammdaten!I$18,IF(AW11&lt;Bewertung_Stammdaten!J$19,Bewertung_Stammdaten!I$19,Bewertung_Stammdaten!I$20)))))))))</f>
        <v>2.5</v>
      </c>
    </row>
    <row r="12" spans="1:52" x14ac:dyDescent="0.25">
      <c r="A12" s="44" t="s">
        <v>20</v>
      </c>
      <c r="B12" s="44" t="s">
        <v>21</v>
      </c>
      <c r="C12" s="36">
        <f t="shared" ca="1" si="0"/>
        <v>78</v>
      </c>
      <c r="D12" s="49"/>
      <c r="E12" s="12">
        <f ca="1">VLOOKUP(A12,KGV!A3:S68,18,FALSE)</f>
        <v>9.4397222222222226</v>
      </c>
      <c r="F12" s="12">
        <f>VLOOKUP(A12,KGV!A3:S68,15,FALSE)</f>
        <v>9.1999999999999993</v>
      </c>
      <c r="G12" s="13">
        <f ca="1">VLOOKUP(A12,KGV!A3:S68,19,FALSE)</f>
        <v>2.6056763285024376E-2</v>
      </c>
      <c r="H12" s="19">
        <f t="shared" ca="1" si="1"/>
        <v>99</v>
      </c>
      <c r="I12" s="13">
        <f t="shared" ca="1" si="2"/>
        <v>9.7608695652173925</v>
      </c>
      <c r="J12" s="36">
        <f ca="1">IF(G12&lt;Bewertung_Stammdaten!B$11,Bewertung_Stammdaten!A$11,IF(G12&lt;Bewertung_Stammdaten!B$12,Bewertung_Stammdaten!A$12,IF(G12&lt;Bewertung_Stammdaten!B$13,Bewertung_Stammdaten!A$13,IF(G12&lt;Bewertung_Stammdaten!B$14,Bewertung_Stammdaten!A$14,IF(G12&lt;Bewertung_Stammdaten!B$15,Bewertung_Stammdaten!A$15,IF(G12&lt;Bewertung_Stammdaten!B$16,Bewertung_Stammdaten!A$16,IF(G12&lt;Bewertung_Stammdaten!B$17,Bewertung_Stammdaten!A$17,IF(G12&lt;Bewertung_Stammdaten!B$18,Bewertung_Stammdaten!A$18,IF(G12&lt;Bewertung_Stammdaten!B$19,Bewertung_Stammdaten!A$19,Bewertung_Stammdaten!A$20)))))))))</f>
        <v>10</v>
      </c>
      <c r="K12" s="36">
        <f ca="1">IF(I12&lt;Bewertung_Stammdaten!N$11,Bewertung_Stammdaten!M$11,IF(I12&lt;Bewertung_Stammdaten!N$12,Bewertung_Stammdaten!M$12,IF(I12&lt;Bewertung_Stammdaten!N$13,Bewertung_Stammdaten!M$13,IF(I12&lt;Bewertung_Stammdaten!N$14,Bewertung_Stammdaten!M$14,IF(I12&lt;Bewertung_Stammdaten!N$15,Bewertung_Stammdaten!M$15,IF(I12&lt;Bewertung_Stammdaten!N$16,Bewertung_Stammdaten!M$16,IF(I12&lt;Bewertung_Stammdaten!N$17,Bewertung_Stammdaten!M$17,IF(I12&lt;Bewertung_Stammdaten!N$18,Bewertung_Stammdaten!M$18,IF(I12&lt;Bewertung_Stammdaten!N$19,Bewertung_Stammdaten!M$19,Bewertung_Stammdaten!M$20)))))))))</f>
        <v>1</v>
      </c>
      <c r="L12" s="49"/>
      <c r="M12" s="12">
        <f ca="1">VLOOKUP(A12,Buchwert_je_Aktie!A3:AC68,18,FALSE)</f>
        <v>122.21944444444443</v>
      </c>
      <c r="N12" s="12">
        <f>VLOOKUP(A12,Buchwert_je_Aktie!A3:AC68,15,FALSE)</f>
        <v>98.657999999999987</v>
      </c>
      <c r="O12" s="13">
        <f ca="1">VLOOKUP(A12,Buchwert_je_Aktie!A3:AC68,19,FALSE)</f>
        <v>0.23881940080322384</v>
      </c>
      <c r="P12" s="13">
        <f>VLOOKUP(A12,Buchwert_je_Aktie!A3:AC68,29,FALSE)</f>
        <v>-0.29904779862355046</v>
      </c>
      <c r="Q12" s="19">
        <f t="shared" ca="1" si="6"/>
        <v>85.669988634340001</v>
      </c>
      <c r="R12" s="13">
        <f t="shared" ca="1" si="3"/>
        <v>-0.13164681389912614</v>
      </c>
      <c r="S12" s="58">
        <f ca="1">IF(O12&lt;Bewertung_Stammdaten!D$24,Bewertung_Stammdaten!C$24,IF(O12&lt;Bewertung_Stammdaten!D$25,Bewertung_Stammdaten!C$25,IF(O12&lt;Bewertung_Stammdaten!D$26,Bewertung_Stammdaten!C$26,IF(O12&lt;Bewertung_Stammdaten!D$27,Bewertung_Stammdaten!C$27,IF(O12&lt;Bewertung_Stammdaten!D$28,Bewertung_Stammdaten!C$28,IF(O12&lt;Bewertung_Stammdaten!D$29,Bewertung_Stammdaten!C$29,IF(O12&lt;Bewertung_Stammdaten!D$30,Bewertung_Stammdaten!C$30,IF(O12&lt;Bewertung_Stammdaten!D$31,Bewertung_Stammdaten!C$31,IF(O12&lt;Bewertung_Stammdaten!D$32,Bewertung_Stammdaten!C$32,Bewertung_Stammdaten!C$33)))))))))</f>
        <v>8</v>
      </c>
      <c r="T12" s="58">
        <f>IF(P12&lt;Bewertung_Stammdaten!F$24,Bewertung_Stammdaten!E$24,IF(P12&lt;Bewertung_Stammdaten!F$25,Bewertung_Stammdaten!E$25,IF(P12&lt;Bewertung_Stammdaten!F$26,Bewertung_Stammdaten!E$26,IF(P12&lt;Bewertung_Stammdaten!F$27,Bewertung_Stammdaten!E$27,IF(P12&lt;Bewertung_Stammdaten!F$28,Bewertung_Stammdaten!E$28,IF(P12&lt;Bewertung_Stammdaten!F$29,Bewertung_Stammdaten!E$29,IF(P12&lt;Bewertung_Stammdaten!F$30,Bewertung_Stammdaten!E$30,IF(P12&lt;Bewertung_Stammdaten!F$31,Bewertung_Stammdaten!E$31,IF(P12&lt;Bewertung_Stammdaten!F$32,Bewertung_Stammdaten!E$32,Bewertung_Stammdaten!E$33)))))))))</f>
        <v>3</v>
      </c>
      <c r="U12" s="58">
        <f ca="1">IF(R12&lt;Bewertung_Stammdaten!H$24,Bewertung_Stammdaten!G$24,IF(R12&lt;Bewertung_Stammdaten!H$25,Bewertung_Stammdaten!G$25,IF(R12&lt;Bewertung_Stammdaten!H$26,Bewertung_Stammdaten!G$26,IF(R12&lt;Bewertung_Stammdaten!H$27,Bewertung_Stammdaten!G$27,IF(R12&lt;Bewertung_Stammdaten!H$28,Bewertung_Stammdaten!G$28,IF(R12&lt;Bewertung_Stammdaten!H$29,Bewertung_Stammdaten!G$29,IF(R12&lt;Bewertung_Stammdaten!H$30,Bewertung_Stammdaten!G$30,IF(R12&lt;Bewertung_Stammdaten!H$31,Bewertung_Stammdaten!G$31,IF(R12&lt;Bewertung_Stammdaten!H$32,Bewertung_Stammdaten!G$32,Bewertung_Stammdaten!G$33)))))))))</f>
        <v>1</v>
      </c>
      <c r="V12" s="49"/>
      <c r="W12" s="17">
        <f ca="1">VLOOKUP(A12,Ergebnis_je_Aktie_verwässert!A3:S68,18,FALSE)</f>
        <v>13.720555555555556</v>
      </c>
      <c r="X12" s="17">
        <f>VLOOKUP(A12,Ergebnis_je_Aktie_verwässert!A3:S68,15,FALSE)</f>
        <v>9.673</v>
      </c>
      <c r="Y12" s="13">
        <f ca="1">VLOOKUP(A12,Ergebnis_je_Aktie_verwässert!A3:S68,19,FALSE)</f>
        <v>0.41843849431981361</v>
      </c>
      <c r="Z12" s="46">
        <f>VLOOKUP(A12,Ergebnis_je_Aktie_verwässert!A3:AC68,29,FALSE)</f>
        <v>-2.7367458866544792</v>
      </c>
      <c r="AA12" s="19">
        <f t="shared" ca="1" si="4"/>
        <v>-23.829118423725376</v>
      </c>
      <c r="AB12" s="13">
        <f t="shared" ca="1" si="5"/>
        <v>-3.4634672204823089</v>
      </c>
      <c r="AC12" s="36">
        <f ca="1">IF(Y12&lt;Bewertung_Stammdaten!L$11,Bewertung_Stammdaten!K$11,IF(Y12&lt;Bewertung_Stammdaten!L$12,Bewertung_Stammdaten!K$12,IF(Y12&lt;Bewertung_Stammdaten!L$13,Bewertung_Stammdaten!K$13,IF(Y12&lt;Bewertung_Stammdaten!L$14,Bewertung_Stammdaten!K$14,IF(Y12&lt;Bewertung_Stammdaten!L$15,Bewertung_Stammdaten!K$15,IF(Y12&lt;Bewertung_Stammdaten!L$16,Bewertung_Stammdaten!K$16,IF(Y12&lt;Bewertung_Stammdaten!L$17,Bewertung_Stammdaten!K$17,IF(Y12&lt;Bewertung_Stammdaten!L$18,Bewertung_Stammdaten!K$18,IF(Y12&lt;Bewertung_Stammdaten!L$19,Bewertung_Stammdaten!K$19,Bewertung_Stammdaten!K$20)))))))))</f>
        <v>12</v>
      </c>
      <c r="AD12" s="36">
        <f>IF(Z12&lt;Bewertung_Stammdaten!R$11,Bewertung_Stammdaten!Q$11,IF(Z12&lt;Bewertung_Stammdaten!R$12,Bewertung_Stammdaten!Q$12,IF(Z12&lt;Bewertung_Stammdaten!R$13,Bewertung_Stammdaten!Q$13,IF(Z12&lt;Bewertung_Stammdaten!R$14,Bewertung_Stammdaten!Q$14,IF(Z12&lt;Bewertung_Stammdaten!R$15,Bewertung_Stammdaten!Q$15,IF(Z12&lt;Bewertung_Stammdaten!R$16,Bewertung_Stammdaten!Q$16,IF(Z12&lt;Bewertung_Stammdaten!R$17,Bewertung_Stammdaten!Q$17,IF(Z12&lt;Bewertung_Stammdaten!R$18,Bewertung_Stammdaten!Q$18,IF(Z12&lt;Bewertung_Stammdaten!R$19,Bewertung_Stammdaten!Q$19,Bewertung_Stammdaten!Q$20)))))))))</f>
        <v>1</v>
      </c>
      <c r="AE12" s="36">
        <f ca="1">IF(AB12&lt;Bewertung_Stammdaten!P$11,Bewertung_Stammdaten!O$11,IF(AB12&lt;Bewertung_Stammdaten!P$12,Bewertung_Stammdaten!O$12,IF(AB12&lt;Bewertung_Stammdaten!P$13,Bewertung_Stammdaten!O$13,IF(AB12&lt;Bewertung_Stammdaten!P$14,Bewertung_Stammdaten!O$14,IF(AB12&lt;Bewertung_Stammdaten!P$15,Bewertung_Stammdaten!O$15,IF(AB12&lt;Bewertung_Stammdaten!P$16,Bewertung_Stammdaten!O$16,IF(AB12&lt;Bewertung_Stammdaten!P$17,Bewertung_Stammdaten!O$17,IF(AB12&lt;Bewertung_Stammdaten!P$18,Bewertung_Stammdaten!O$18,IF(AB12&lt;Bewertung_Stammdaten!P$19,Bewertung_Stammdaten!O$19,Bewertung_Stammdaten!O$20)))))))))</f>
        <v>1</v>
      </c>
      <c r="AF12" s="49"/>
      <c r="AG12" s="13">
        <f ca="1">VLOOKUP(A12,Dividendenrendite!A3:S68,18,FALSE)</f>
        <v>4.6843888888888879E-2</v>
      </c>
      <c r="AH12" s="13">
        <f>VLOOKUP(A12,Dividendenrendite!A3:S68,15,FALSE)</f>
        <v>3.8410000000000014E-2</v>
      </c>
      <c r="AI12" s="13">
        <f ca="1">VLOOKUP(A12,Dividendenrendite!A3:S68,19,FALSE)</f>
        <v>0.21957534206948348</v>
      </c>
      <c r="AJ12" s="36">
        <f ca="1">IF(AG12&lt;Bewertung_Stammdaten!D$11,Bewertung_Stammdaten!C$11,IF(AG12&lt;Bewertung_Stammdaten!D$12,Bewertung_Stammdaten!C$12,IF(AG12&lt;Bewertung_Stammdaten!D$13,Bewertung_Stammdaten!C$13,IF(AG12&lt;Bewertung_Stammdaten!D$14,Bewertung_Stammdaten!C$14,IF(AG12&lt;Bewertung_Stammdaten!D$15,Bewertung_Stammdaten!C$15,IF(AG12&lt;Bewertung_Stammdaten!D$16,Bewertung_Stammdaten!C$16,IF(AG12&lt;Bewertung_Stammdaten!D$17,Bewertung_Stammdaten!C$17,IF(AG12&lt;Bewertung_Stammdaten!D$18,Bewertung_Stammdaten!C$18,IF(AG12&lt;Bewertung_Stammdaten!D$19,Bewertung_Stammdaten!C$19,Bewertung_Stammdaten!C$20)))))))))</f>
        <v>15</v>
      </c>
      <c r="AK12" s="36">
        <f>IF(AH12&lt;Bewertung_Stammdaten!T$11,Bewertung_Stammdaten!S$11,IF(AH12&lt;Bewertung_Stammdaten!T$12,Bewertung_Stammdaten!S$12,IF(AH12&lt;Bewertung_Stammdaten!T$13,Bewertung_Stammdaten!S$13,IF(AH12&lt;Bewertung_Stammdaten!T$14,Bewertung_Stammdaten!S$14,IF(AH12&lt;Bewertung_Stammdaten!T$15,Bewertung_Stammdaten!S$15,IF(AH12&lt;Bewertung_Stammdaten!T$16,Bewertung_Stammdaten!S$16,IF(AH12&lt;Bewertung_Stammdaten!T$17,Bewertung_Stammdaten!S$17,IF(AH12&lt;Bewertung_Stammdaten!T$18,Bewertung_Stammdaten!S$18,IF(AH12&lt;Bewertung_Stammdaten!T$19,Bewertung_Stammdaten!S$19,Bewertung_Stammdaten!S$20)))))))))</f>
        <v>8</v>
      </c>
      <c r="AL12" s="36">
        <f ca="1">IF(AI12&lt;Bewertung_Stammdaten!F$11,Bewertung_Stammdaten!E$11,IF(AI12&lt;Bewertung_Stammdaten!F$12,Bewertung_Stammdaten!E$12,IF(AI12&lt;Bewertung_Stammdaten!F$13,Bewertung_Stammdaten!E$13,IF(AI12&lt;Bewertung_Stammdaten!F$14,Bewertung_Stammdaten!E$14,IF(AI12&lt;Bewertung_Stammdaten!F$15,Bewertung_Stammdaten!E$15,IF(AI12&lt;Bewertung_Stammdaten!F$16,Bewertung_Stammdaten!E$16,IF(AI12&lt;Bewertung_Stammdaten!F$17,Bewertung_Stammdaten!E$17,IF(AI12&lt;Bewertung_Stammdaten!F$18,Bewertung_Stammdaten!E$18,IF(AI12&lt;Bewertung_Stammdaten!F$19,Bewertung_Stammdaten!E$19,Bewertung_Stammdaten!E$20)))))))))</f>
        <v>5</v>
      </c>
      <c r="AM12" s="49"/>
      <c r="AN12" s="13">
        <f>VLOOKUP(A12,Aktien_im_Umlauf_splitbereinigt!A3:W68,13,FALSE)</f>
        <v>1.2062726176116367E-3</v>
      </c>
      <c r="AO12" s="13">
        <f>VLOOKUP(A12,Aktien_im_Umlauf_splitbereinigt!A3:W68,22,FALSE)</f>
        <v>1.9162309831280359E-2</v>
      </c>
      <c r="AP12" s="13">
        <f>VLOOKUP(A12,Aktien_im_Umlauf_splitbereinigt!A3:W68,23,FALSE)</f>
        <v>-99.999989999999997</v>
      </c>
      <c r="AQ12" s="47">
        <f>IF(AN12&lt;Bewertung_Stammdaten!J$24,Bewertung_Stammdaten!I$24,IF(AN12&lt;Bewertung_Stammdaten!J$25,Bewertung_Stammdaten!I$25,IF(AN12&lt;Bewertung_Stammdaten!J$26,Bewertung_Stammdaten!I$26,IF(AN12&lt;Bewertung_Stammdaten!J$27,Bewertung_Stammdaten!I$27,IF(AN12&lt;Bewertung_Stammdaten!J$28,Bewertung_Stammdaten!I$28,IF(AN12&lt;Bewertung_Stammdaten!J$29,Bewertung_Stammdaten!I$29,IF(AN12&lt;Bewertung_Stammdaten!J$30,Bewertung_Stammdaten!I$30,IF(AN12&lt;Bewertung_Stammdaten!J$31,Bewertung_Stammdaten!I$31,IF(AN12&lt;Bewertung_Stammdaten!J$32,Bewertung_Stammdaten!I$32,Bewertung_Stammdaten!I$33)))))))))</f>
        <v>1</v>
      </c>
      <c r="AR12" s="47">
        <f>IF(AO12&lt;Bewertung_Stammdaten!L$24,Bewertung_Stammdaten!K$24,IF(AO12&lt;Bewertung_Stammdaten!L$25,Bewertung_Stammdaten!K$25,IF(AO12&lt;Bewertung_Stammdaten!L$26,Bewertung_Stammdaten!K$26,IF(AO12&lt;Bewertung_Stammdaten!L$27,Bewertung_Stammdaten!K$27,IF(AO12&lt;Bewertung_Stammdaten!L$28,Bewertung_Stammdaten!K$28,IF(AO12&lt;Bewertung_Stammdaten!L$29,Bewertung_Stammdaten!K$29,IF(AO12&lt;Bewertung_Stammdaten!L$30,Bewertung_Stammdaten!K$30,IF(AO12&lt;Bewertung_Stammdaten!L$31,Bewertung_Stammdaten!K$31,IF(AO12&lt;Bewertung_Stammdaten!L$32,Bewertung_Stammdaten!K$32,Bewertung_Stammdaten!K$33)))))))))</f>
        <v>0.5</v>
      </c>
      <c r="AS12" s="47">
        <f>IF(AP12&lt;Bewertung_Stammdaten!N$24,Bewertung_Stammdaten!M$24,IF(AP12&lt;Bewertung_Stammdaten!N$25,Bewertung_Stammdaten!M$25,IF(AP12&lt;Bewertung_Stammdaten!N$26,Bewertung_Stammdaten!M$26,IF(AP12&lt;Bewertung_Stammdaten!N$27,Bewertung_Stammdaten!M$27,IF(AP12&lt;Bewertung_Stammdaten!N$28,Bewertung_Stammdaten!M$28,IF(AP12&lt;Bewertung_Stammdaten!N$29,Bewertung_Stammdaten!M$29,IF(AP12&lt;Bewertung_Stammdaten!N$30,Bewertung_Stammdaten!M$30,IF(AP12&lt;Bewertung_Stammdaten!N$31,Bewertung_Stammdaten!M$31,IF(AP12&lt;Bewertung_Stammdaten!N$32,Bewertung_Stammdaten!M$32,Bewertung_Stammdaten!M$33)))))))))</f>
        <v>0.5</v>
      </c>
      <c r="AT12" s="49"/>
      <c r="AU12" s="13">
        <f ca="1">VLOOKUP(A12,Ausschüttungsquote!A3:S68,18,FALSE)</f>
        <v>0.44270602443876106</v>
      </c>
      <c r="AV12" s="13">
        <f>VLOOKUP(A12,Ausschüttungsquote!A3:S68,15,FALSE)</f>
        <v>0.38533065731679428</v>
      </c>
      <c r="AW12" s="13">
        <f ca="1">VLOOKUP(A12,Ausschüttungsquote!A3:S68,19,FALSE)</f>
        <v>0.14889904561836209</v>
      </c>
      <c r="AX12" s="36">
        <f ca="1">IF(AU12&lt;Bewertung_Stammdaten!H$11,Bewertung_Stammdaten!G$11,IF(AU12&lt;Bewertung_Stammdaten!H$12,Bewertung_Stammdaten!G$12,IF(AU12&lt;Bewertung_Stammdaten!H$13,Bewertung_Stammdaten!G$13,IF(AU12&lt;Bewertung_Stammdaten!H$14,Bewertung_Stammdaten!G$14,IF(AU12&lt;Bewertung_Stammdaten!H$15,Bewertung_Stammdaten!G$15,IF(AU12&lt;Bewertung_Stammdaten!H$16,Bewertung_Stammdaten!G$16,IF(AU12&lt;Bewertung_Stammdaten!H$17,Bewertung_Stammdaten!G$17,IF(AU12&lt;Bewertung_Stammdaten!H$18,Bewertung_Stammdaten!G$18,IF(AU12&lt;Bewertung_Stammdaten!H$19,Bewertung_Stammdaten!G$19,Bewertung_Stammdaten!G$20)))))))))</f>
        <v>4.5</v>
      </c>
      <c r="AY12" s="47">
        <f>IF(AV12&lt;Bewertung_Stammdaten!B$24,Bewertung_Stammdaten!A$24,IF(AV12&lt;Bewertung_Stammdaten!B$25,Bewertung_Stammdaten!A$25,IF(AV12&lt;Bewertung_Stammdaten!B$26,Bewertung_Stammdaten!A$26,IF(AV12&lt;Bewertung_Stammdaten!B$27,Bewertung_Stammdaten!A$27,IF(AV12&lt;Bewertung_Stammdaten!B$28,Bewertung_Stammdaten!A$28,IF(AV12&lt;Bewertung_Stammdaten!B$29,Bewertung_Stammdaten!A$29,IF(AV12&lt;Bewertung_Stammdaten!B$30,Bewertung_Stammdaten!A$30,IF(AV12&lt;Bewertung_Stammdaten!B$31,Bewertung_Stammdaten!A$31,IF(AV12&lt;Bewertung_Stammdaten!B$32,Bewertung_Stammdaten!A$32,Bewertung_Stammdaten!A$33)))))))))</f>
        <v>5</v>
      </c>
      <c r="AZ12" s="36">
        <f ca="1">IF(AW12&lt;Bewertung_Stammdaten!J$11,Bewertung_Stammdaten!I$11,IF(AW12&lt;Bewertung_Stammdaten!J$12,Bewertung_Stammdaten!I$12,IF(AW12&lt;Bewertung_Stammdaten!J$13,Bewertung_Stammdaten!I$13,IF(AW12&lt;Bewertung_Stammdaten!J$14,Bewertung_Stammdaten!I$14,IF(AW12&lt;Bewertung_Stammdaten!J$15,Bewertung_Stammdaten!I$15,IF(AW12&lt;Bewertung_Stammdaten!J$16,Bewertung_Stammdaten!I$16,IF(AW12&lt;Bewertung_Stammdaten!J$17,Bewertung_Stammdaten!I$17,IF(AW12&lt;Bewertung_Stammdaten!J$18,Bewertung_Stammdaten!I$18,IF(AW12&lt;Bewertung_Stammdaten!J$19,Bewertung_Stammdaten!I$19,Bewertung_Stammdaten!I$20)))))))))</f>
        <v>1.5</v>
      </c>
    </row>
    <row r="13" spans="1:52" x14ac:dyDescent="0.25">
      <c r="A13" s="44" t="s">
        <v>22</v>
      </c>
      <c r="B13" s="44" t="s">
        <v>23</v>
      </c>
      <c r="C13" s="36">
        <f t="shared" ca="1" si="0"/>
        <v>88</v>
      </c>
      <c r="D13" s="49"/>
      <c r="E13" s="12">
        <f ca="1">VLOOKUP(A13,KGV!A3:S68,18,FALSE)</f>
        <v>9.3000000000000007</v>
      </c>
      <c r="F13" s="12">
        <f>VLOOKUP(A13,KGV!A3:S68,15,FALSE)</f>
        <v>8.6999999999999993</v>
      </c>
      <c r="G13" s="13">
        <f ca="1">VLOOKUP(A13,KGV!A3:S68,19,FALSE)</f>
        <v>6.8965517241379448E-2</v>
      </c>
      <c r="H13" s="19">
        <f t="shared" ca="1" si="1"/>
        <v>30.826903553299488</v>
      </c>
      <c r="I13" s="13">
        <f t="shared" ca="1" si="2"/>
        <v>2.5433222475056887</v>
      </c>
      <c r="J13" s="36">
        <f ca="1">IF(G13&lt;Bewertung_Stammdaten!B$11,Bewertung_Stammdaten!A$11,IF(G13&lt;Bewertung_Stammdaten!B$12,Bewertung_Stammdaten!A$12,IF(G13&lt;Bewertung_Stammdaten!B$13,Bewertung_Stammdaten!A$13,IF(G13&lt;Bewertung_Stammdaten!B$14,Bewertung_Stammdaten!A$14,IF(G13&lt;Bewertung_Stammdaten!B$15,Bewertung_Stammdaten!A$15,IF(G13&lt;Bewertung_Stammdaten!B$16,Bewertung_Stammdaten!A$16,IF(G13&lt;Bewertung_Stammdaten!B$17,Bewertung_Stammdaten!A$17,IF(G13&lt;Bewertung_Stammdaten!B$18,Bewertung_Stammdaten!A$18,IF(G13&lt;Bewertung_Stammdaten!B$19,Bewertung_Stammdaten!A$19,Bewertung_Stammdaten!A$20)))))))))</f>
        <v>8</v>
      </c>
      <c r="K13" s="36">
        <f ca="1">IF(I13&lt;Bewertung_Stammdaten!N$11,Bewertung_Stammdaten!M$11,IF(I13&lt;Bewertung_Stammdaten!N$12,Bewertung_Stammdaten!M$12,IF(I13&lt;Bewertung_Stammdaten!N$13,Bewertung_Stammdaten!M$13,IF(I13&lt;Bewertung_Stammdaten!N$14,Bewertung_Stammdaten!M$14,IF(I13&lt;Bewertung_Stammdaten!N$15,Bewertung_Stammdaten!M$15,IF(I13&lt;Bewertung_Stammdaten!N$16,Bewertung_Stammdaten!M$16,IF(I13&lt;Bewertung_Stammdaten!N$17,Bewertung_Stammdaten!M$17,IF(I13&lt;Bewertung_Stammdaten!N$18,Bewertung_Stammdaten!M$18,IF(I13&lt;Bewertung_Stammdaten!N$19,Bewertung_Stammdaten!M$19,Bewertung_Stammdaten!M$20)))))))))</f>
        <v>1</v>
      </c>
      <c r="L13" s="49"/>
      <c r="M13" s="12">
        <f ca="1">VLOOKUP(A13,Buchwert_je_Aktie!A3:AC68,18,FALSE)</f>
        <v>161.42500000000001</v>
      </c>
      <c r="N13" s="12">
        <f>VLOOKUP(A13,Buchwert_je_Aktie!A3:AC68,15,FALSE)</f>
        <v>118.006</v>
      </c>
      <c r="O13" s="13">
        <f ca="1">VLOOKUP(A13,Buchwert_je_Aktie!A3:AC68,19,FALSE)</f>
        <v>0.36793891836008341</v>
      </c>
      <c r="P13" s="13">
        <f>VLOOKUP(A13,Buchwert_je_Aktie!A3:AC68,29,FALSE)</f>
        <v>-0.11307081114118578</v>
      </c>
      <c r="Q13" s="19">
        <f t="shared" ca="1" si="6"/>
        <v>143.1725443115341</v>
      </c>
      <c r="R13" s="13">
        <f t="shared" ca="1" si="3"/>
        <v>0.2132649552695125</v>
      </c>
      <c r="S13" s="58">
        <f ca="1">IF(O13&lt;Bewertung_Stammdaten!D$24,Bewertung_Stammdaten!C$24,IF(O13&lt;Bewertung_Stammdaten!D$25,Bewertung_Stammdaten!C$25,IF(O13&lt;Bewertung_Stammdaten!D$26,Bewertung_Stammdaten!C$26,IF(O13&lt;Bewertung_Stammdaten!D$27,Bewertung_Stammdaten!C$27,IF(O13&lt;Bewertung_Stammdaten!D$28,Bewertung_Stammdaten!C$28,IF(O13&lt;Bewertung_Stammdaten!D$29,Bewertung_Stammdaten!C$29,IF(O13&lt;Bewertung_Stammdaten!D$30,Bewertung_Stammdaten!C$30,IF(O13&lt;Bewertung_Stammdaten!D$31,Bewertung_Stammdaten!C$31,IF(O13&lt;Bewertung_Stammdaten!D$32,Bewertung_Stammdaten!C$32,Bewertung_Stammdaten!C$33)))))))))</f>
        <v>10</v>
      </c>
      <c r="T13" s="58">
        <f>IF(P13&lt;Bewertung_Stammdaten!F$24,Bewertung_Stammdaten!E$24,IF(P13&lt;Bewertung_Stammdaten!F$25,Bewertung_Stammdaten!E$25,IF(P13&lt;Bewertung_Stammdaten!F$26,Bewertung_Stammdaten!E$26,IF(P13&lt;Bewertung_Stammdaten!F$27,Bewertung_Stammdaten!E$27,IF(P13&lt;Bewertung_Stammdaten!F$28,Bewertung_Stammdaten!E$28,IF(P13&lt;Bewertung_Stammdaten!F$29,Bewertung_Stammdaten!E$29,IF(P13&lt;Bewertung_Stammdaten!F$30,Bewertung_Stammdaten!E$30,IF(P13&lt;Bewertung_Stammdaten!F$31,Bewertung_Stammdaten!E$31,IF(P13&lt;Bewertung_Stammdaten!F$32,Bewertung_Stammdaten!E$32,Bewertung_Stammdaten!E$33)))))))))</f>
        <v>7.5</v>
      </c>
      <c r="U13" s="58">
        <f ca="1">IF(R13&lt;Bewertung_Stammdaten!H$24,Bewertung_Stammdaten!G$24,IF(R13&lt;Bewertung_Stammdaten!H$25,Bewertung_Stammdaten!G$25,IF(R13&lt;Bewertung_Stammdaten!H$26,Bewertung_Stammdaten!G$26,IF(R13&lt;Bewertung_Stammdaten!H$27,Bewertung_Stammdaten!G$27,IF(R13&lt;Bewertung_Stammdaten!H$28,Bewertung_Stammdaten!G$28,IF(R13&lt;Bewertung_Stammdaten!H$29,Bewertung_Stammdaten!G$29,IF(R13&lt;Bewertung_Stammdaten!H$30,Bewertung_Stammdaten!G$30,IF(R13&lt;Bewertung_Stammdaten!H$31,Bewertung_Stammdaten!G$31,IF(R13&lt;Bewertung_Stammdaten!H$32,Bewertung_Stammdaten!G$32,Bewertung_Stammdaten!G$33)))))))))</f>
        <v>4</v>
      </c>
      <c r="V13" s="49"/>
      <c r="W13" s="17">
        <f ca="1">VLOOKUP(A13,Ergebnis_je_Aktie_verwässert!A3:S68,18,FALSE)</f>
        <v>17.360277777777778</v>
      </c>
      <c r="X13" s="17">
        <f>VLOOKUP(A13,Ergebnis_je_Aktie_verwässert!A3:S68,15,FALSE)</f>
        <v>12.664000000000001</v>
      </c>
      <c r="Y13" s="13">
        <f ca="1">VLOOKUP(A13,Ergebnis_je_Aktie_verwässert!A3:S68,19,FALSE)</f>
        <v>0.37083684284410734</v>
      </c>
      <c r="Z13" s="46">
        <f>VLOOKUP(A13,Ergebnis_je_Aktie_verwässert!A3:AC68,29,FALSE)</f>
        <v>-0.69831546707503822</v>
      </c>
      <c r="AA13" s="19">
        <f t="shared" ca="1" si="4"/>
        <v>5.2373272928364827</v>
      </c>
      <c r="AB13" s="13">
        <f t="shared" ca="1" si="5"/>
        <v>-0.58643972735024619</v>
      </c>
      <c r="AC13" s="36">
        <f ca="1">IF(Y13&lt;Bewertung_Stammdaten!L$11,Bewertung_Stammdaten!K$11,IF(Y13&lt;Bewertung_Stammdaten!L$12,Bewertung_Stammdaten!K$12,IF(Y13&lt;Bewertung_Stammdaten!L$13,Bewertung_Stammdaten!K$13,IF(Y13&lt;Bewertung_Stammdaten!L$14,Bewertung_Stammdaten!K$14,IF(Y13&lt;Bewertung_Stammdaten!L$15,Bewertung_Stammdaten!K$15,IF(Y13&lt;Bewertung_Stammdaten!L$16,Bewertung_Stammdaten!K$16,IF(Y13&lt;Bewertung_Stammdaten!L$17,Bewertung_Stammdaten!K$17,IF(Y13&lt;Bewertung_Stammdaten!L$18,Bewertung_Stammdaten!K$18,IF(Y13&lt;Bewertung_Stammdaten!L$19,Bewertung_Stammdaten!K$19,Bewertung_Stammdaten!K$20)))))))))</f>
        <v>10</v>
      </c>
      <c r="AD13" s="36">
        <f>IF(Z13&lt;Bewertung_Stammdaten!R$11,Bewertung_Stammdaten!Q$11,IF(Z13&lt;Bewertung_Stammdaten!R$12,Bewertung_Stammdaten!Q$12,IF(Z13&lt;Bewertung_Stammdaten!R$13,Bewertung_Stammdaten!Q$13,IF(Z13&lt;Bewertung_Stammdaten!R$14,Bewertung_Stammdaten!Q$14,IF(Z13&lt;Bewertung_Stammdaten!R$15,Bewertung_Stammdaten!Q$15,IF(Z13&lt;Bewertung_Stammdaten!R$16,Bewertung_Stammdaten!Q$16,IF(Z13&lt;Bewertung_Stammdaten!R$17,Bewertung_Stammdaten!Q$17,IF(Z13&lt;Bewertung_Stammdaten!R$18,Bewertung_Stammdaten!Q$18,IF(Z13&lt;Bewertung_Stammdaten!R$19,Bewertung_Stammdaten!Q$19,Bewertung_Stammdaten!Q$20)))))))))</f>
        <v>1</v>
      </c>
      <c r="AE13" s="36">
        <f ca="1">IF(AB13&lt;Bewertung_Stammdaten!P$11,Bewertung_Stammdaten!O$11,IF(AB13&lt;Bewertung_Stammdaten!P$12,Bewertung_Stammdaten!O$12,IF(AB13&lt;Bewertung_Stammdaten!P$13,Bewertung_Stammdaten!O$13,IF(AB13&lt;Bewertung_Stammdaten!P$14,Bewertung_Stammdaten!O$14,IF(AB13&lt;Bewertung_Stammdaten!P$15,Bewertung_Stammdaten!O$15,IF(AB13&lt;Bewertung_Stammdaten!P$16,Bewertung_Stammdaten!O$16,IF(AB13&lt;Bewertung_Stammdaten!P$17,Bewertung_Stammdaten!O$17,IF(AB13&lt;Bewertung_Stammdaten!P$18,Bewertung_Stammdaten!O$18,IF(AB13&lt;Bewertung_Stammdaten!P$19,Bewertung_Stammdaten!O$19,Bewertung_Stammdaten!O$20)))))))))</f>
        <v>1</v>
      </c>
      <c r="AF13" s="49"/>
      <c r="AG13" s="13">
        <f ca="1">VLOOKUP(A13,Dividendenrendite!A3:S68,18,FALSE)</f>
        <v>4.7243888888888891E-2</v>
      </c>
      <c r="AH13" s="13">
        <f>VLOOKUP(A13,Dividendenrendite!A3:S68,15,FALSE)</f>
        <v>4.453E-2</v>
      </c>
      <c r="AI13" s="13">
        <f ca="1">VLOOKUP(A13,Dividendenrendite!A3:S68,19,FALSE)</f>
        <v>6.0945180527484544E-2</v>
      </c>
      <c r="AJ13" s="36">
        <f ca="1">IF(AG13&lt;Bewertung_Stammdaten!D$11,Bewertung_Stammdaten!C$11,IF(AG13&lt;Bewertung_Stammdaten!D$12,Bewertung_Stammdaten!C$12,IF(AG13&lt;Bewertung_Stammdaten!D$13,Bewertung_Stammdaten!C$13,IF(AG13&lt;Bewertung_Stammdaten!D$14,Bewertung_Stammdaten!C$14,IF(AG13&lt;Bewertung_Stammdaten!D$15,Bewertung_Stammdaten!C$15,IF(AG13&lt;Bewertung_Stammdaten!D$16,Bewertung_Stammdaten!C$16,IF(AG13&lt;Bewertung_Stammdaten!D$17,Bewertung_Stammdaten!C$17,IF(AG13&lt;Bewertung_Stammdaten!D$18,Bewertung_Stammdaten!C$18,IF(AG13&lt;Bewertung_Stammdaten!D$19,Bewertung_Stammdaten!C$19,Bewertung_Stammdaten!C$20)))))))))</f>
        <v>15</v>
      </c>
      <c r="AK13" s="36">
        <f>IF(AH13&lt;Bewertung_Stammdaten!T$11,Bewertung_Stammdaten!S$11,IF(AH13&lt;Bewertung_Stammdaten!T$12,Bewertung_Stammdaten!S$12,IF(AH13&lt;Bewertung_Stammdaten!T$13,Bewertung_Stammdaten!S$13,IF(AH13&lt;Bewertung_Stammdaten!T$14,Bewertung_Stammdaten!S$14,IF(AH13&lt;Bewertung_Stammdaten!T$15,Bewertung_Stammdaten!S$15,IF(AH13&lt;Bewertung_Stammdaten!T$16,Bewertung_Stammdaten!S$16,IF(AH13&lt;Bewertung_Stammdaten!T$17,Bewertung_Stammdaten!S$17,IF(AH13&lt;Bewertung_Stammdaten!T$18,Bewertung_Stammdaten!S$18,IF(AH13&lt;Bewertung_Stammdaten!T$19,Bewertung_Stammdaten!S$19,Bewertung_Stammdaten!S$20)))))))))</f>
        <v>9</v>
      </c>
      <c r="AL13" s="36">
        <f ca="1">IF(AI13&lt;Bewertung_Stammdaten!F$11,Bewertung_Stammdaten!E$11,IF(AI13&lt;Bewertung_Stammdaten!F$12,Bewertung_Stammdaten!E$12,IF(AI13&lt;Bewertung_Stammdaten!F$13,Bewertung_Stammdaten!E$13,IF(AI13&lt;Bewertung_Stammdaten!F$14,Bewertung_Stammdaten!E$14,IF(AI13&lt;Bewertung_Stammdaten!F$15,Bewertung_Stammdaten!E$15,IF(AI13&lt;Bewertung_Stammdaten!F$16,Bewertung_Stammdaten!E$16,IF(AI13&lt;Bewertung_Stammdaten!F$17,Bewertung_Stammdaten!E$17,IF(AI13&lt;Bewertung_Stammdaten!F$18,Bewertung_Stammdaten!E$18,IF(AI13&lt;Bewertung_Stammdaten!F$19,Bewertung_Stammdaten!E$19,Bewertung_Stammdaten!E$20)))))))))</f>
        <v>3.5</v>
      </c>
      <c r="AM13" s="49"/>
      <c r="AN13" s="13">
        <f>VLOOKUP(A13,Aktien_im_Umlauf_splitbereinigt!A3:W68,13,FALSE)</f>
        <v>0</v>
      </c>
      <c r="AO13" s="13">
        <f>VLOOKUP(A13,Aktien_im_Umlauf_splitbereinigt!A3:W68,22,FALSE)</f>
        <v>-2.6778748678603179E-2</v>
      </c>
      <c r="AP13" s="13">
        <f>VLOOKUP(A13,Aktien_im_Umlauf_splitbereinigt!A3:W68,23,FALSE)</f>
        <v>-1</v>
      </c>
      <c r="AQ13" s="47">
        <f>IF(AN13&lt;Bewertung_Stammdaten!J$24,Bewertung_Stammdaten!I$24,IF(AN13&lt;Bewertung_Stammdaten!J$25,Bewertung_Stammdaten!I$25,IF(AN13&lt;Bewertung_Stammdaten!J$26,Bewertung_Stammdaten!I$26,IF(AN13&lt;Bewertung_Stammdaten!J$27,Bewertung_Stammdaten!I$27,IF(AN13&lt;Bewertung_Stammdaten!J$28,Bewertung_Stammdaten!I$28,IF(AN13&lt;Bewertung_Stammdaten!J$29,Bewertung_Stammdaten!I$29,IF(AN13&lt;Bewertung_Stammdaten!J$30,Bewertung_Stammdaten!I$30,IF(AN13&lt;Bewertung_Stammdaten!J$31,Bewertung_Stammdaten!I$31,IF(AN13&lt;Bewertung_Stammdaten!J$32,Bewertung_Stammdaten!I$32,Bewertung_Stammdaten!I$33)))))))))</f>
        <v>1</v>
      </c>
      <c r="AR13" s="47">
        <f>IF(AO13&lt;Bewertung_Stammdaten!L$24,Bewertung_Stammdaten!K$24,IF(AO13&lt;Bewertung_Stammdaten!L$25,Bewertung_Stammdaten!K$25,IF(AO13&lt;Bewertung_Stammdaten!L$26,Bewertung_Stammdaten!K$26,IF(AO13&lt;Bewertung_Stammdaten!L$27,Bewertung_Stammdaten!K$27,IF(AO13&lt;Bewertung_Stammdaten!L$28,Bewertung_Stammdaten!K$28,IF(AO13&lt;Bewertung_Stammdaten!L$29,Bewertung_Stammdaten!K$29,IF(AO13&lt;Bewertung_Stammdaten!L$30,Bewertung_Stammdaten!K$30,IF(AO13&lt;Bewertung_Stammdaten!L$31,Bewertung_Stammdaten!K$31,IF(AO13&lt;Bewertung_Stammdaten!L$32,Bewertung_Stammdaten!K$32,Bewertung_Stammdaten!K$33)))))))))</f>
        <v>4</v>
      </c>
      <c r="AS13" s="47">
        <f>IF(AP13&lt;Bewertung_Stammdaten!N$24,Bewertung_Stammdaten!M$24,IF(AP13&lt;Bewertung_Stammdaten!N$25,Bewertung_Stammdaten!M$25,IF(AP13&lt;Bewertung_Stammdaten!N$26,Bewertung_Stammdaten!M$26,IF(AP13&lt;Bewertung_Stammdaten!N$27,Bewertung_Stammdaten!M$27,IF(AP13&lt;Bewertung_Stammdaten!N$28,Bewertung_Stammdaten!M$28,IF(AP13&lt;Bewertung_Stammdaten!N$29,Bewertung_Stammdaten!M$29,IF(AP13&lt;Bewertung_Stammdaten!N$30,Bewertung_Stammdaten!M$30,IF(AP13&lt;Bewertung_Stammdaten!N$31,Bewertung_Stammdaten!M$31,IF(AP13&lt;Bewertung_Stammdaten!N$32,Bewertung_Stammdaten!M$32,Bewertung_Stammdaten!M$33)))))))))</f>
        <v>1</v>
      </c>
      <c r="AT13" s="49"/>
      <c r="AU13" s="13">
        <f ca="1">VLOOKUP(A13,Ausschüttungsquote!A3:S68,18,FALSE)</f>
        <v>0.43768779667648516</v>
      </c>
      <c r="AV13" s="13">
        <f>VLOOKUP(A13,Ausschüttungsquote!A3:S68,15,FALSE)</f>
        <v>0.51449046006881427</v>
      </c>
      <c r="AW13" s="13">
        <f ca="1">VLOOKUP(A13,Ausschüttungsquote!A3:S68,19,FALSE)</f>
        <v>-0.14927908164139059</v>
      </c>
      <c r="AX13" s="36">
        <f ca="1">IF(AU13&lt;Bewertung_Stammdaten!H$11,Bewertung_Stammdaten!G$11,IF(AU13&lt;Bewertung_Stammdaten!H$12,Bewertung_Stammdaten!G$12,IF(AU13&lt;Bewertung_Stammdaten!H$13,Bewertung_Stammdaten!G$13,IF(AU13&lt;Bewertung_Stammdaten!H$14,Bewertung_Stammdaten!G$14,IF(AU13&lt;Bewertung_Stammdaten!H$15,Bewertung_Stammdaten!G$15,IF(AU13&lt;Bewertung_Stammdaten!H$16,Bewertung_Stammdaten!G$16,IF(AU13&lt;Bewertung_Stammdaten!H$17,Bewertung_Stammdaten!G$17,IF(AU13&lt;Bewertung_Stammdaten!H$18,Bewertung_Stammdaten!G$18,IF(AU13&lt;Bewertung_Stammdaten!H$19,Bewertung_Stammdaten!G$19,Bewertung_Stammdaten!G$20)))))))))</f>
        <v>4.5</v>
      </c>
      <c r="AY13" s="47">
        <f>IF(AV13&lt;Bewertung_Stammdaten!B$24,Bewertung_Stammdaten!A$24,IF(AV13&lt;Bewertung_Stammdaten!B$25,Bewertung_Stammdaten!A$25,IF(AV13&lt;Bewertung_Stammdaten!B$26,Bewertung_Stammdaten!A$26,IF(AV13&lt;Bewertung_Stammdaten!B$27,Bewertung_Stammdaten!A$27,IF(AV13&lt;Bewertung_Stammdaten!B$28,Bewertung_Stammdaten!A$28,IF(AV13&lt;Bewertung_Stammdaten!B$29,Bewertung_Stammdaten!A$29,IF(AV13&lt;Bewertung_Stammdaten!B$30,Bewertung_Stammdaten!A$30,IF(AV13&lt;Bewertung_Stammdaten!B$31,Bewertung_Stammdaten!A$31,IF(AV13&lt;Bewertung_Stammdaten!B$32,Bewertung_Stammdaten!A$32,Bewertung_Stammdaten!A$33)))))))))</f>
        <v>3.5</v>
      </c>
      <c r="AZ13" s="36">
        <f ca="1">IF(AW13&lt;Bewertung_Stammdaten!J$11,Bewertung_Stammdaten!I$11,IF(AW13&lt;Bewertung_Stammdaten!J$12,Bewertung_Stammdaten!I$12,IF(AW13&lt;Bewertung_Stammdaten!J$13,Bewertung_Stammdaten!I$13,IF(AW13&lt;Bewertung_Stammdaten!J$14,Bewertung_Stammdaten!I$14,IF(AW13&lt;Bewertung_Stammdaten!J$15,Bewertung_Stammdaten!I$15,IF(AW13&lt;Bewertung_Stammdaten!J$16,Bewertung_Stammdaten!I$16,IF(AW13&lt;Bewertung_Stammdaten!J$17,Bewertung_Stammdaten!I$17,IF(AW13&lt;Bewertung_Stammdaten!J$18,Bewertung_Stammdaten!I$18,IF(AW13&lt;Bewertung_Stammdaten!J$19,Bewertung_Stammdaten!I$19,Bewertung_Stammdaten!I$20)))))))))</f>
        <v>4</v>
      </c>
    </row>
    <row r="14" spans="1:52" x14ac:dyDescent="0.25">
      <c r="A14" s="44" t="s">
        <v>24</v>
      </c>
      <c r="B14" s="44" t="s">
        <v>25</v>
      </c>
      <c r="C14" s="36">
        <f t="shared" ca="1" si="0"/>
        <v>89</v>
      </c>
      <c r="D14" s="49"/>
      <c r="E14" s="12">
        <f ca="1">VLOOKUP(A14,KGV!A3:S68,18,FALSE)</f>
        <v>13.997222222222224</v>
      </c>
      <c r="F14" s="12">
        <f>VLOOKUP(A14,KGV!A3:S68,15,FALSE)</f>
        <v>12.1</v>
      </c>
      <c r="G14" s="13">
        <f ca="1">VLOOKUP(A14,KGV!A3:S68,19,FALSE)</f>
        <v>0.15679522497704323</v>
      </c>
      <c r="H14" s="19">
        <f t="shared" ca="1" si="1"/>
        <v>28.448899711399719</v>
      </c>
      <c r="I14" s="13">
        <f t="shared" ca="1" si="2"/>
        <v>1.3511487364793155</v>
      </c>
      <c r="J14" s="36">
        <f ca="1">IF(G14&lt;Bewertung_Stammdaten!B$11,Bewertung_Stammdaten!A$11,IF(G14&lt;Bewertung_Stammdaten!B$12,Bewertung_Stammdaten!A$12,IF(G14&lt;Bewertung_Stammdaten!B$13,Bewertung_Stammdaten!A$13,IF(G14&lt;Bewertung_Stammdaten!B$14,Bewertung_Stammdaten!A$14,IF(G14&lt;Bewertung_Stammdaten!B$15,Bewertung_Stammdaten!A$15,IF(G14&lt;Bewertung_Stammdaten!B$16,Bewertung_Stammdaten!A$16,IF(G14&lt;Bewertung_Stammdaten!B$17,Bewertung_Stammdaten!A$17,IF(G14&lt;Bewertung_Stammdaten!B$18,Bewertung_Stammdaten!A$18,IF(G14&lt;Bewertung_Stammdaten!B$19,Bewertung_Stammdaten!A$19,Bewertung_Stammdaten!A$20)))))))))</f>
        <v>4</v>
      </c>
      <c r="K14" s="36">
        <f ca="1">IF(I14&lt;Bewertung_Stammdaten!N$11,Bewertung_Stammdaten!M$11,IF(I14&lt;Bewertung_Stammdaten!N$12,Bewertung_Stammdaten!M$12,IF(I14&lt;Bewertung_Stammdaten!N$13,Bewertung_Stammdaten!M$13,IF(I14&lt;Bewertung_Stammdaten!N$14,Bewertung_Stammdaten!M$14,IF(I14&lt;Bewertung_Stammdaten!N$15,Bewertung_Stammdaten!M$15,IF(I14&lt;Bewertung_Stammdaten!N$16,Bewertung_Stammdaten!M$16,IF(I14&lt;Bewertung_Stammdaten!N$17,Bewertung_Stammdaten!M$17,IF(I14&lt;Bewertung_Stammdaten!N$18,Bewertung_Stammdaten!M$18,IF(I14&lt;Bewertung_Stammdaten!N$19,Bewertung_Stammdaten!M$19,Bewertung_Stammdaten!M$20)))))))))</f>
        <v>1</v>
      </c>
      <c r="L14" s="49"/>
      <c r="M14" s="12">
        <f ca="1">VLOOKUP(A14,Buchwert_je_Aktie!A3:AC68,18,FALSE)</f>
        <v>32.587777777777774</v>
      </c>
      <c r="N14" s="12">
        <f>VLOOKUP(A14,Buchwert_je_Aktie!A3:AC68,15,FALSE)</f>
        <v>22.247999999999998</v>
      </c>
      <c r="O14" s="13">
        <f ca="1">VLOOKUP(A14,Buchwert_je_Aktie!A3:AC68,19,FALSE)</f>
        <v>0.46475088896879613</v>
      </c>
      <c r="P14" s="13">
        <f>VLOOKUP(A14,Buchwert_je_Aktie!A3:AC68,29,FALSE)</f>
        <v>-2.9985721085197592E-2</v>
      </c>
      <c r="Q14" s="19">
        <f t="shared" ca="1" si="6"/>
        <v>31.610609762546929</v>
      </c>
      <c r="R14" s="13">
        <f t="shared" ca="1" si="3"/>
        <v>0.42082927735288256</v>
      </c>
      <c r="S14" s="58">
        <f ca="1">IF(O14&lt;Bewertung_Stammdaten!D$24,Bewertung_Stammdaten!C$24,IF(O14&lt;Bewertung_Stammdaten!D$25,Bewertung_Stammdaten!C$25,IF(O14&lt;Bewertung_Stammdaten!D$26,Bewertung_Stammdaten!C$26,IF(O14&lt;Bewertung_Stammdaten!D$27,Bewertung_Stammdaten!C$27,IF(O14&lt;Bewertung_Stammdaten!D$28,Bewertung_Stammdaten!C$28,IF(O14&lt;Bewertung_Stammdaten!D$29,Bewertung_Stammdaten!C$29,IF(O14&lt;Bewertung_Stammdaten!D$30,Bewertung_Stammdaten!C$30,IF(O14&lt;Bewertung_Stammdaten!D$31,Bewertung_Stammdaten!C$31,IF(O14&lt;Bewertung_Stammdaten!D$32,Bewertung_Stammdaten!C$32,Bewertung_Stammdaten!C$33)))))))))</f>
        <v>12</v>
      </c>
      <c r="T14" s="58">
        <f>IF(P14&lt;Bewertung_Stammdaten!F$24,Bewertung_Stammdaten!E$24,IF(P14&lt;Bewertung_Stammdaten!F$25,Bewertung_Stammdaten!E$25,IF(P14&lt;Bewertung_Stammdaten!F$26,Bewertung_Stammdaten!E$26,IF(P14&lt;Bewertung_Stammdaten!F$27,Bewertung_Stammdaten!E$27,IF(P14&lt;Bewertung_Stammdaten!F$28,Bewertung_Stammdaten!E$28,IF(P14&lt;Bewertung_Stammdaten!F$29,Bewertung_Stammdaten!E$29,IF(P14&lt;Bewertung_Stammdaten!F$30,Bewertung_Stammdaten!E$30,IF(P14&lt;Bewertung_Stammdaten!F$31,Bewertung_Stammdaten!E$31,IF(P14&lt;Bewertung_Stammdaten!F$32,Bewertung_Stammdaten!E$32,Bewertung_Stammdaten!E$33)))))))))</f>
        <v>10.5</v>
      </c>
      <c r="U14" s="58">
        <f ca="1">IF(R14&lt;Bewertung_Stammdaten!H$24,Bewertung_Stammdaten!G$24,IF(R14&lt;Bewertung_Stammdaten!H$25,Bewertung_Stammdaten!G$25,IF(R14&lt;Bewertung_Stammdaten!H$26,Bewertung_Stammdaten!G$26,IF(R14&lt;Bewertung_Stammdaten!H$27,Bewertung_Stammdaten!G$27,IF(R14&lt;Bewertung_Stammdaten!H$28,Bewertung_Stammdaten!G$28,IF(R14&lt;Bewertung_Stammdaten!H$29,Bewertung_Stammdaten!G$29,IF(R14&lt;Bewertung_Stammdaten!H$30,Bewertung_Stammdaten!G$30,IF(R14&lt;Bewertung_Stammdaten!H$31,Bewertung_Stammdaten!G$31,IF(R14&lt;Bewertung_Stammdaten!H$32,Bewertung_Stammdaten!G$32,Bewertung_Stammdaten!G$33)))))))))</f>
        <v>6</v>
      </c>
      <c r="V14" s="49"/>
      <c r="W14" s="17">
        <f ca="1">VLOOKUP(A14,Ergebnis_je_Aktie_verwässert!A3:S68,18,FALSE)</f>
        <v>5.9652222222222218</v>
      </c>
      <c r="X14" s="17">
        <f>VLOOKUP(A14,Ergebnis_je_Aktie_verwässert!A3:S68,15,FALSE)</f>
        <v>3.8879999999999995</v>
      </c>
      <c r="Y14" s="13">
        <f ca="1">VLOOKUP(A14,Ergebnis_je_Aktie_verwässert!A3:S68,19,FALSE)</f>
        <v>0.53426497485139479</v>
      </c>
      <c r="Z14" s="46">
        <f>VLOOKUP(A14,Ergebnis_je_Aktie_verwässert!A3:AC68,29,FALSE)</f>
        <v>-0.50798722044728439</v>
      </c>
      <c r="AA14" s="19">
        <f t="shared" ca="1" si="4"/>
        <v>2.9349655662051823</v>
      </c>
      <c r="AB14" s="13">
        <f t="shared" ca="1" si="5"/>
        <v>-0.24512202515298798</v>
      </c>
      <c r="AC14" s="36">
        <f ca="1">IF(Y14&lt;Bewertung_Stammdaten!L$11,Bewertung_Stammdaten!K$11,IF(Y14&lt;Bewertung_Stammdaten!L$12,Bewertung_Stammdaten!K$12,IF(Y14&lt;Bewertung_Stammdaten!L$13,Bewertung_Stammdaten!K$13,IF(Y14&lt;Bewertung_Stammdaten!L$14,Bewertung_Stammdaten!K$14,IF(Y14&lt;Bewertung_Stammdaten!L$15,Bewertung_Stammdaten!K$15,IF(Y14&lt;Bewertung_Stammdaten!L$16,Bewertung_Stammdaten!K$16,IF(Y14&lt;Bewertung_Stammdaten!L$17,Bewertung_Stammdaten!K$17,IF(Y14&lt;Bewertung_Stammdaten!L$18,Bewertung_Stammdaten!K$18,IF(Y14&lt;Bewertung_Stammdaten!L$19,Bewertung_Stammdaten!K$19,Bewertung_Stammdaten!K$20)))))))))</f>
        <v>14</v>
      </c>
      <c r="AD14" s="36">
        <f>IF(Z14&lt;Bewertung_Stammdaten!R$11,Bewertung_Stammdaten!Q$11,IF(Z14&lt;Bewertung_Stammdaten!R$12,Bewertung_Stammdaten!Q$12,IF(Z14&lt;Bewertung_Stammdaten!R$13,Bewertung_Stammdaten!Q$13,IF(Z14&lt;Bewertung_Stammdaten!R$14,Bewertung_Stammdaten!Q$14,IF(Z14&lt;Bewertung_Stammdaten!R$15,Bewertung_Stammdaten!Q$15,IF(Z14&lt;Bewertung_Stammdaten!R$16,Bewertung_Stammdaten!Q$16,IF(Z14&lt;Bewertung_Stammdaten!R$17,Bewertung_Stammdaten!Q$17,IF(Z14&lt;Bewertung_Stammdaten!R$18,Bewertung_Stammdaten!Q$18,IF(Z14&lt;Bewertung_Stammdaten!R$19,Bewertung_Stammdaten!Q$19,Bewertung_Stammdaten!Q$20)))))))))</f>
        <v>2</v>
      </c>
      <c r="AE14" s="36">
        <f ca="1">IF(AB14&lt;Bewertung_Stammdaten!P$11,Bewertung_Stammdaten!O$11,IF(AB14&lt;Bewertung_Stammdaten!P$12,Bewertung_Stammdaten!O$12,IF(AB14&lt;Bewertung_Stammdaten!P$13,Bewertung_Stammdaten!O$13,IF(AB14&lt;Bewertung_Stammdaten!P$14,Bewertung_Stammdaten!O$14,IF(AB14&lt;Bewertung_Stammdaten!P$15,Bewertung_Stammdaten!O$15,IF(AB14&lt;Bewertung_Stammdaten!P$16,Bewertung_Stammdaten!O$16,IF(AB14&lt;Bewertung_Stammdaten!P$17,Bewertung_Stammdaten!O$17,IF(AB14&lt;Bewertung_Stammdaten!P$18,Bewertung_Stammdaten!O$18,IF(AB14&lt;Bewertung_Stammdaten!P$19,Bewertung_Stammdaten!O$19,Bewertung_Stammdaten!O$20)))))))))</f>
        <v>1</v>
      </c>
      <c r="AF14" s="49"/>
      <c r="AG14" s="13">
        <f ca="1">VLOOKUP(A14,Dividendenrendite!A3:S68,18,FALSE)</f>
        <v>3.5465833333333335E-2</v>
      </c>
      <c r="AH14" s="13">
        <f>VLOOKUP(A14,Dividendenrendite!A3:S68,15,FALSE)</f>
        <v>4.0609999999999993E-2</v>
      </c>
      <c r="AI14" s="13">
        <f ca="1">VLOOKUP(A14,Dividendenrendite!A3:S68,19,FALSE)</f>
        <v>-0.1266724123779035</v>
      </c>
      <c r="AJ14" s="36">
        <f ca="1">IF(AG14&lt;Bewertung_Stammdaten!D$11,Bewertung_Stammdaten!C$11,IF(AG14&lt;Bewertung_Stammdaten!D$12,Bewertung_Stammdaten!C$12,IF(AG14&lt;Bewertung_Stammdaten!D$13,Bewertung_Stammdaten!C$13,IF(AG14&lt;Bewertung_Stammdaten!D$14,Bewertung_Stammdaten!C$14,IF(AG14&lt;Bewertung_Stammdaten!D$15,Bewertung_Stammdaten!C$15,IF(AG14&lt;Bewertung_Stammdaten!D$16,Bewertung_Stammdaten!C$16,IF(AG14&lt;Bewertung_Stammdaten!D$17,Bewertung_Stammdaten!C$17,IF(AG14&lt;Bewertung_Stammdaten!D$18,Bewertung_Stammdaten!C$18,IF(AG14&lt;Bewertung_Stammdaten!D$19,Bewertung_Stammdaten!C$19,Bewertung_Stammdaten!C$20)))))))))</f>
        <v>12</v>
      </c>
      <c r="AK14" s="36">
        <f>IF(AH14&lt;Bewertung_Stammdaten!T$11,Bewertung_Stammdaten!S$11,IF(AH14&lt;Bewertung_Stammdaten!T$12,Bewertung_Stammdaten!S$12,IF(AH14&lt;Bewertung_Stammdaten!T$13,Bewertung_Stammdaten!S$13,IF(AH14&lt;Bewertung_Stammdaten!T$14,Bewertung_Stammdaten!S$14,IF(AH14&lt;Bewertung_Stammdaten!T$15,Bewertung_Stammdaten!S$15,IF(AH14&lt;Bewertung_Stammdaten!T$16,Bewertung_Stammdaten!S$16,IF(AH14&lt;Bewertung_Stammdaten!T$17,Bewertung_Stammdaten!S$17,IF(AH14&lt;Bewertung_Stammdaten!T$18,Bewertung_Stammdaten!S$18,IF(AH14&lt;Bewertung_Stammdaten!T$19,Bewertung_Stammdaten!S$19,Bewertung_Stammdaten!S$20)))))))))</f>
        <v>9</v>
      </c>
      <c r="AL14" s="36">
        <f ca="1">IF(AI14&lt;Bewertung_Stammdaten!F$11,Bewertung_Stammdaten!E$11,IF(AI14&lt;Bewertung_Stammdaten!F$12,Bewertung_Stammdaten!E$12,IF(AI14&lt;Bewertung_Stammdaten!F$13,Bewertung_Stammdaten!E$13,IF(AI14&lt;Bewertung_Stammdaten!F$14,Bewertung_Stammdaten!E$14,IF(AI14&lt;Bewertung_Stammdaten!F$15,Bewertung_Stammdaten!E$15,IF(AI14&lt;Bewertung_Stammdaten!F$16,Bewertung_Stammdaten!E$16,IF(AI14&lt;Bewertung_Stammdaten!F$17,Bewertung_Stammdaten!E$17,IF(AI14&lt;Bewertung_Stammdaten!F$18,Bewertung_Stammdaten!E$18,IF(AI14&lt;Bewertung_Stammdaten!F$19,Bewertung_Stammdaten!E$19,Bewertung_Stammdaten!E$20)))))))))</f>
        <v>1.5</v>
      </c>
      <c r="AM14" s="49"/>
      <c r="AN14" s="13">
        <f>VLOOKUP(A14,Aktien_im_Umlauf_splitbereinigt!A3:W68,13,FALSE)</f>
        <v>0</v>
      </c>
      <c r="AO14" s="13">
        <f>VLOOKUP(A14,Aktien_im_Umlauf_splitbereinigt!A3:W68,22,FALSE)</f>
        <v>-1.7822526940896217E-2</v>
      </c>
      <c r="AP14" s="13">
        <f>VLOOKUP(A14,Aktien_im_Umlauf_splitbereinigt!A3:W68,23,FALSE)</f>
        <v>-1</v>
      </c>
      <c r="AQ14" s="47">
        <f>IF(AN14&lt;Bewertung_Stammdaten!J$24,Bewertung_Stammdaten!I$24,IF(AN14&lt;Bewertung_Stammdaten!J$25,Bewertung_Stammdaten!I$25,IF(AN14&lt;Bewertung_Stammdaten!J$26,Bewertung_Stammdaten!I$26,IF(AN14&lt;Bewertung_Stammdaten!J$27,Bewertung_Stammdaten!I$27,IF(AN14&lt;Bewertung_Stammdaten!J$28,Bewertung_Stammdaten!I$28,IF(AN14&lt;Bewertung_Stammdaten!J$29,Bewertung_Stammdaten!I$29,IF(AN14&lt;Bewertung_Stammdaten!J$30,Bewertung_Stammdaten!I$30,IF(AN14&lt;Bewertung_Stammdaten!J$31,Bewertung_Stammdaten!I$31,IF(AN14&lt;Bewertung_Stammdaten!J$32,Bewertung_Stammdaten!I$32,Bewertung_Stammdaten!I$33)))))))))</f>
        <v>1</v>
      </c>
      <c r="AR14" s="47">
        <f>IF(AO14&lt;Bewertung_Stammdaten!L$24,Bewertung_Stammdaten!K$24,IF(AO14&lt;Bewertung_Stammdaten!L$25,Bewertung_Stammdaten!K$25,IF(AO14&lt;Bewertung_Stammdaten!L$26,Bewertung_Stammdaten!K$26,IF(AO14&lt;Bewertung_Stammdaten!L$27,Bewertung_Stammdaten!K$27,IF(AO14&lt;Bewertung_Stammdaten!L$28,Bewertung_Stammdaten!K$28,IF(AO14&lt;Bewertung_Stammdaten!L$29,Bewertung_Stammdaten!K$29,IF(AO14&lt;Bewertung_Stammdaten!L$30,Bewertung_Stammdaten!K$30,IF(AO14&lt;Bewertung_Stammdaten!L$31,Bewertung_Stammdaten!K$31,IF(AO14&lt;Bewertung_Stammdaten!L$32,Bewertung_Stammdaten!K$32,Bewertung_Stammdaten!K$33)))))))))</f>
        <v>3</v>
      </c>
      <c r="AS14" s="47">
        <f>IF(AP14&lt;Bewertung_Stammdaten!N$24,Bewertung_Stammdaten!M$24,IF(AP14&lt;Bewertung_Stammdaten!N$25,Bewertung_Stammdaten!M$25,IF(AP14&lt;Bewertung_Stammdaten!N$26,Bewertung_Stammdaten!M$26,IF(AP14&lt;Bewertung_Stammdaten!N$27,Bewertung_Stammdaten!M$27,IF(AP14&lt;Bewertung_Stammdaten!N$28,Bewertung_Stammdaten!M$28,IF(AP14&lt;Bewertung_Stammdaten!N$29,Bewertung_Stammdaten!M$29,IF(AP14&lt;Bewertung_Stammdaten!N$30,Bewertung_Stammdaten!M$30,IF(AP14&lt;Bewertung_Stammdaten!N$31,Bewertung_Stammdaten!M$31,IF(AP14&lt;Bewertung_Stammdaten!N$32,Bewertung_Stammdaten!M$32,Bewertung_Stammdaten!M$33)))))))))</f>
        <v>1</v>
      </c>
      <c r="AT14" s="49"/>
      <c r="AU14" s="13">
        <f ca="1">VLOOKUP(A14,Ausschüttungsquote!A3:S68,18,FALSE)</f>
        <v>0.49607310893955847</v>
      </c>
      <c r="AV14" s="13">
        <f>VLOOKUP(A14,Ausschüttungsquote!A3:S68,15,FALSE)</f>
        <v>0.53254823995403622</v>
      </c>
      <c r="AW14" s="13">
        <f ca="1">VLOOKUP(A14,Ausschüttungsquote!A3:S68,19,FALSE)</f>
        <v>-6.8491693855989189E-2</v>
      </c>
      <c r="AX14" s="36">
        <f ca="1">IF(AU14&lt;Bewertung_Stammdaten!H$11,Bewertung_Stammdaten!G$11,IF(AU14&lt;Bewertung_Stammdaten!H$12,Bewertung_Stammdaten!G$12,IF(AU14&lt;Bewertung_Stammdaten!H$13,Bewertung_Stammdaten!G$13,IF(AU14&lt;Bewertung_Stammdaten!H$14,Bewertung_Stammdaten!G$14,IF(AU14&lt;Bewertung_Stammdaten!H$15,Bewertung_Stammdaten!G$15,IF(AU14&lt;Bewertung_Stammdaten!H$16,Bewertung_Stammdaten!G$16,IF(AU14&lt;Bewertung_Stammdaten!H$17,Bewertung_Stammdaten!G$17,IF(AU14&lt;Bewertung_Stammdaten!H$18,Bewertung_Stammdaten!G$18,IF(AU14&lt;Bewertung_Stammdaten!H$19,Bewertung_Stammdaten!G$19,Bewertung_Stammdaten!G$20)))))))))</f>
        <v>4</v>
      </c>
      <c r="AY14" s="47">
        <f>IF(AV14&lt;Bewertung_Stammdaten!B$24,Bewertung_Stammdaten!A$24,IF(AV14&lt;Bewertung_Stammdaten!B$25,Bewertung_Stammdaten!A$25,IF(AV14&lt;Bewertung_Stammdaten!B$26,Bewertung_Stammdaten!A$26,IF(AV14&lt;Bewertung_Stammdaten!B$27,Bewertung_Stammdaten!A$27,IF(AV14&lt;Bewertung_Stammdaten!B$28,Bewertung_Stammdaten!A$28,IF(AV14&lt;Bewertung_Stammdaten!B$29,Bewertung_Stammdaten!A$29,IF(AV14&lt;Bewertung_Stammdaten!B$30,Bewertung_Stammdaten!A$30,IF(AV14&lt;Bewertung_Stammdaten!B$31,Bewertung_Stammdaten!A$31,IF(AV14&lt;Bewertung_Stammdaten!B$32,Bewertung_Stammdaten!A$32,Bewertung_Stammdaten!A$33)))))))))</f>
        <v>3.5</v>
      </c>
      <c r="AZ14" s="36">
        <f ca="1">IF(AW14&lt;Bewertung_Stammdaten!J$11,Bewertung_Stammdaten!I$11,IF(AW14&lt;Bewertung_Stammdaten!J$12,Bewertung_Stammdaten!I$12,IF(AW14&lt;Bewertung_Stammdaten!J$13,Bewertung_Stammdaten!I$13,IF(AW14&lt;Bewertung_Stammdaten!J$14,Bewertung_Stammdaten!I$14,IF(AW14&lt;Bewertung_Stammdaten!J$15,Bewertung_Stammdaten!I$15,IF(AW14&lt;Bewertung_Stammdaten!J$16,Bewertung_Stammdaten!I$16,IF(AW14&lt;Bewertung_Stammdaten!J$17,Bewertung_Stammdaten!I$17,IF(AW14&lt;Bewertung_Stammdaten!J$18,Bewertung_Stammdaten!I$18,IF(AW14&lt;Bewertung_Stammdaten!J$19,Bewertung_Stammdaten!I$19,Bewertung_Stammdaten!I$20)))))))))</f>
        <v>3.5</v>
      </c>
    </row>
    <row r="15" spans="1:52" x14ac:dyDescent="0.25">
      <c r="A15" s="44" t="s">
        <v>26</v>
      </c>
      <c r="B15" s="44" t="s">
        <v>27</v>
      </c>
      <c r="C15" s="36">
        <f t="shared" ca="1" si="0"/>
        <v>95.5</v>
      </c>
      <c r="D15" s="49"/>
      <c r="E15" s="12">
        <f ca="1">VLOOKUP(A15,KGV!A3:S68,18,FALSE)</f>
        <v>19.012222222222221</v>
      </c>
      <c r="F15" s="12">
        <f>VLOOKUP(A15,KGV!A3:S68,15,FALSE)</f>
        <v>21.5</v>
      </c>
      <c r="G15" s="13">
        <f ca="1">VLOOKUP(A15,KGV!A3:S68,19,FALSE)</f>
        <v>-0.11571059431524555</v>
      </c>
      <c r="H15" s="19">
        <f t="shared" ca="1" si="1"/>
        <v>32.543443443443437</v>
      </c>
      <c r="I15" s="13">
        <f t="shared" ca="1" si="2"/>
        <v>0.51364853225318319</v>
      </c>
      <c r="J15" s="36">
        <f ca="1">IF(G15&lt;Bewertung_Stammdaten!B$11,Bewertung_Stammdaten!A$11,IF(G15&lt;Bewertung_Stammdaten!B$12,Bewertung_Stammdaten!A$12,IF(G15&lt;Bewertung_Stammdaten!B$13,Bewertung_Stammdaten!A$13,IF(G15&lt;Bewertung_Stammdaten!B$14,Bewertung_Stammdaten!A$14,IF(G15&lt;Bewertung_Stammdaten!B$15,Bewertung_Stammdaten!A$15,IF(G15&lt;Bewertung_Stammdaten!B$16,Bewertung_Stammdaten!A$16,IF(G15&lt;Bewertung_Stammdaten!B$17,Bewertung_Stammdaten!A$17,IF(G15&lt;Bewertung_Stammdaten!B$18,Bewertung_Stammdaten!A$18,IF(G15&lt;Bewertung_Stammdaten!B$19,Bewertung_Stammdaten!A$19,Bewertung_Stammdaten!A$20)))))))))</f>
        <v>16</v>
      </c>
      <c r="K15" s="36">
        <f ca="1">IF(I15&lt;Bewertung_Stammdaten!N$11,Bewertung_Stammdaten!M$11,IF(I15&lt;Bewertung_Stammdaten!N$12,Bewertung_Stammdaten!M$12,IF(I15&lt;Bewertung_Stammdaten!N$13,Bewertung_Stammdaten!M$13,IF(I15&lt;Bewertung_Stammdaten!N$14,Bewertung_Stammdaten!M$14,IF(I15&lt;Bewertung_Stammdaten!N$15,Bewertung_Stammdaten!M$15,IF(I15&lt;Bewertung_Stammdaten!N$16,Bewertung_Stammdaten!M$16,IF(I15&lt;Bewertung_Stammdaten!N$17,Bewertung_Stammdaten!M$17,IF(I15&lt;Bewertung_Stammdaten!N$18,Bewertung_Stammdaten!M$18,IF(I15&lt;Bewertung_Stammdaten!N$19,Bewertung_Stammdaten!M$19,Bewertung_Stammdaten!M$20)))))))))</f>
        <v>1</v>
      </c>
      <c r="L15" s="49"/>
      <c r="M15" s="12">
        <f ca="1">VLOOKUP(A15,Buchwert_je_Aktie!A3:AC68,18,FALSE)</f>
        <v>29.649444444444445</v>
      </c>
      <c r="N15" s="12">
        <f>VLOOKUP(A15,Buchwert_je_Aktie!A3:AC68,15,FALSE)</f>
        <v>22.867142857142856</v>
      </c>
      <c r="O15" s="13">
        <f ca="1">VLOOKUP(A15,Buchwert_je_Aktie!A3:AC68,19,FALSE)</f>
        <v>0.29659593372344051</v>
      </c>
      <c r="P15" s="13">
        <f>VLOOKUP(A15,Buchwert_je_Aktie!A3:AC68,29,FALSE)</f>
        <v>-3.6480686695279041E-2</v>
      </c>
      <c r="Q15" s="19">
        <f t="shared" ca="1" si="6"/>
        <v>28.567812350977587</v>
      </c>
      <c r="R15" s="13">
        <f t="shared" ca="1" si="3"/>
        <v>0.24929522369490287</v>
      </c>
      <c r="S15" s="58">
        <f ca="1">IF(O15&lt;Bewertung_Stammdaten!D$24,Bewertung_Stammdaten!C$24,IF(O15&lt;Bewertung_Stammdaten!D$25,Bewertung_Stammdaten!C$25,IF(O15&lt;Bewertung_Stammdaten!D$26,Bewertung_Stammdaten!C$26,IF(O15&lt;Bewertung_Stammdaten!D$27,Bewertung_Stammdaten!C$27,IF(O15&lt;Bewertung_Stammdaten!D$28,Bewertung_Stammdaten!C$28,IF(O15&lt;Bewertung_Stammdaten!D$29,Bewertung_Stammdaten!C$29,IF(O15&lt;Bewertung_Stammdaten!D$30,Bewertung_Stammdaten!C$30,IF(O15&lt;Bewertung_Stammdaten!D$31,Bewertung_Stammdaten!C$31,IF(O15&lt;Bewertung_Stammdaten!D$32,Bewertung_Stammdaten!C$32,Bewertung_Stammdaten!C$33)))))))))</f>
        <v>8</v>
      </c>
      <c r="T15" s="58">
        <f>IF(P15&lt;Bewertung_Stammdaten!F$24,Bewertung_Stammdaten!E$24,IF(P15&lt;Bewertung_Stammdaten!F$25,Bewertung_Stammdaten!E$25,IF(P15&lt;Bewertung_Stammdaten!F$26,Bewertung_Stammdaten!E$26,IF(P15&lt;Bewertung_Stammdaten!F$27,Bewertung_Stammdaten!E$27,IF(P15&lt;Bewertung_Stammdaten!F$28,Bewertung_Stammdaten!E$28,IF(P15&lt;Bewertung_Stammdaten!F$29,Bewertung_Stammdaten!E$29,IF(P15&lt;Bewertung_Stammdaten!F$30,Bewertung_Stammdaten!E$30,IF(P15&lt;Bewertung_Stammdaten!F$31,Bewertung_Stammdaten!E$31,IF(P15&lt;Bewertung_Stammdaten!F$32,Bewertung_Stammdaten!E$32,Bewertung_Stammdaten!E$33)))))))))</f>
        <v>10.5</v>
      </c>
      <c r="U15" s="58">
        <f ca="1">IF(R15&lt;Bewertung_Stammdaten!H$24,Bewertung_Stammdaten!G$24,IF(R15&lt;Bewertung_Stammdaten!H$25,Bewertung_Stammdaten!G$25,IF(R15&lt;Bewertung_Stammdaten!H$26,Bewertung_Stammdaten!G$26,IF(R15&lt;Bewertung_Stammdaten!H$27,Bewertung_Stammdaten!G$27,IF(R15&lt;Bewertung_Stammdaten!H$28,Bewertung_Stammdaten!G$28,IF(R15&lt;Bewertung_Stammdaten!H$29,Bewertung_Stammdaten!G$29,IF(R15&lt;Bewertung_Stammdaten!H$30,Bewertung_Stammdaten!G$30,IF(R15&lt;Bewertung_Stammdaten!H$31,Bewertung_Stammdaten!G$31,IF(R15&lt;Bewertung_Stammdaten!H$32,Bewertung_Stammdaten!G$32,Bewertung_Stammdaten!G$33)))))))))</f>
        <v>4</v>
      </c>
      <c r="V15" s="49"/>
      <c r="W15" s="17">
        <f ca="1">VLOOKUP(A15,Ergebnis_je_Aktie_verwässert!A3:S68,18,FALSE)</f>
        <v>5.3220833333333335</v>
      </c>
      <c r="X15" s="17">
        <f>VLOOKUP(A15,Ergebnis_je_Aktie_verwässert!A3:S68,15,FALSE)</f>
        <v>2.4340000000000002</v>
      </c>
      <c r="Y15" s="13">
        <f ca="1">VLOOKUP(A15,Ergebnis_je_Aktie_verwässert!A3:S68,19,FALSE)</f>
        <v>1.1865584771295534</v>
      </c>
      <c r="Z15" s="46">
        <f>VLOOKUP(A15,Ergebnis_je_Aktie_verwässert!A3:AC68,29,FALSE)</f>
        <v>-0.41578947368421049</v>
      </c>
      <c r="AA15" s="19">
        <f t="shared" ca="1" si="4"/>
        <v>3.1092171052631583</v>
      </c>
      <c r="AB15" s="13">
        <f t="shared" ca="1" si="5"/>
        <v>0.27741047874410762</v>
      </c>
      <c r="AC15" s="36">
        <f ca="1">IF(Y15&lt;Bewertung_Stammdaten!L$11,Bewertung_Stammdaten!K$11,IF(Y15&lt;Bewertung_Stammdaten!L$12,Bewertung_Stammdaten!K$12,IF(Y15&lt;Bewertung_Stammdaten!L$13,Bewertung_Stammdaten!K$13,IF(Y15&lt;Bewertung_Stammdaten!L$14,Bewertung_Stammdaten!K$14,IF(Y15&lt;Bewertung_Stammdaten!L$15,Bewertung_Stammdaten!K$15,IF(Y15&lt;Bewertung_Stammdaten!L$16,Bewertung_Stammdaten!K$16,IF(Y15&lt;Bewertung_Stammdaten!L$17,Bewertung_Stammdaten!K$17,IF(Y15&lt;Bewertung_Stammdaten!L$18,Bewertung_Stammdaten!K$18,IF(Y15&lt;Bewertung_Stammdaten!L$19,Bewertung_Stammdaten!K$19,Bewertung_Stammdaten!K$20)))))))))</f>
        <v>20</v>
      </c>
      <c r="AD15" s="36">
        <f>IF(Z15&lt;Bewertung_Stammdaten!R$11,Bewertung_Stammdaten!Q$11,IF(Z15&lt;Bewertung_Stammdaten!R$12,Bewertung_Stammdaten!Q$12,IF(Z15&lt;Bewertung_Stammdaten!R$13,Bewertung_Stammdaten!Q$13,IF(Z15&lt;Bewertung_Stammdaten!R$14,Bewertung_Stammdaten!Q$14,IF(Z15&lt;Bewertung_Stammdaten!R$15,Bewertung_Stammdaten!Q$15,IF(Z15&lt;Bewertung_Stammdaten!R$16,Bewertung_Stammdaten!Q$16,IF(Z15&lt;Bewertung_Stammdaten!R$17,Bewertung_Stammdaten!Q$17,IF(Z15&lt;Bewertung_Stammdaten!R$18,Bewertung_Stammdaten!Q$18,IF(Z15&lt;Bewertung_Stammdaten!R$19,Bewertung_Stammdaten!Q$19,Bewertung_Stammdaten!Q$20)))))))))</f>
        <v>3</v>
      </c>
      <c r="AE15" s="36">
        <f ca="1">IF(AB15&lt;Bewertung_Stammdaten!P$11,Bewertung_Stammdaten!O$11,IF(AB15&lt;Bewertung_Stammdaten!P$12,Bewertung_Stammdaten!O$12,IF(AB15&lt;Bewertung_Stammdaten!P$13,Bewertung_Stammdaten!O$13,IF(AB15&lt;Bewertung_Stammdaten!P$14,Bewertung_Stammdaten!O$14,IF(AB15&lt;Bewertung_Stammdaten!P$15,Bewertung_Stammdaten!O$15,IF(AB15&lt;Bewertung_Stammdaten!P$16,Bewertung_Stammdaten!O$16,IF(AB15&lt;Bewertung_Stammdaten!P$17,Bewertung_Stammdaten!O$17,IF(AB15&lt;Bewertung_Stammdaten!P$18,Bewertung_Stammdaten!O$18,IF(AB15&lt;Bewertung_Stammdaten!P$19,Bewertung_Stammdaten!O$19,Bewertung_Stammdaten!O$20)))))))))</f>
        <v>4</v>
      </c>
      <c r="AF15" s="49"/>
      <c r="AG15" s="13">
        <f ca="1">VLOOKUP(A15,Dividendenrendite!A3:S68,18,FALSE)</f>
        <v>2.3846666666666662E-2</v>
      </c>
      <c r="AH15" s="13">
        <f>VLOOKUP(A15,Dividendenrendite!A3:S68,15,FALSE)</f>
        <v>2.6140000000000004E-2</v>
      </c>
      <c r="AI15" s="13">
        <f ca="1">VLOOKUP(A15,Dividendenrendite!A3:S68,19,FALSE)</f>
        <v>-8.7732721244580758E-2</v>
      </c>
      <c r="AJ15" s="36">
        <f ca="1">IF(AG15&lt;Bewertung_Stammdaten!D$11,Bewertung_Stammdaten!C$11,IF(AG15&lt;Bewertung_Stammdaten!D$12,Bewertung_Stammdaten!C$12,IF(AG15&lt;Bewertung_Stammdaten!D$13,Bewertung_Stammdaten!C$13,IF(AG15&lt;Bewertung_Stammdaten!D$14,Bewertung_Stammdaten!C$14,IF(AG15&lt;Bewertung_Stammdaten!D$15,Bewertung_Stammdaten!C$15,IF(AG15&lt;Bewertung_Stammdaten!D$16,Bewertung_Stammdaten!C$16,IF(AG15&lt;Bewertung_Stammdaten!D$17,Bewertung_Stammdaten!C$17,IF(AG15&lt;Bewertung_Stammdaten!D$18,Bewertung_Stammdaten!C$18,IF(AG15&lt;Bewertung_Stammdaten!D$19,Bewertung_Stammdaten!C$19,Bewertung_Stammdaten!C$20)))))))))</f>
        <v>7.5</v>
      </c>
      <c r="AK15" s="36">
        <f>IF(AH15&lt;Bewertung_Stammdaten!T$11,Bewertung_Stammdaten!S$11,IF(AH15&lt;Bewertung_Stammdaten!T$12,Bewertung_Stammdaten!S$12,IF(AH15&lt;Bewertung_Stammdaten!T$13,Bewertung_Stammdaten!S$13,IF(AH15&lt;Bewertung_Stammdaten!T$14,Bewertung_Stammdaten!S$14,IF(AH15&lt;Bewertung_Stammdaten!T$15,Bewertung_Stammdaten!S$15,IF(AH15&lt;Bewertung_Stammdaten!T$16,Bewertung_Stammdaten!S$16,IF(AH15&lt;Bewertung_Stammdaten!T$17,Bewertung_Stammdaten!S$17,IF(AH15&lt;Bewertung_Stammdaten!T$18,Bewertung_Stammdaten!S$18,IF(AH15&lt;Bewertung_Stammdaten!T$19,Bewertung_Stammdaten!S$19,Bewertung_Stammdaten!S$20)))))))))</f>
        <v>6</v>
      </c>
      <c r="AL15" s="36">
        <f ca="1">IF(AI15&lt;Bewertung_Stammdaten!F$11,Bewertung_Stammdaten!E$11,IF(AI15&lt;Bewertung_Stammdaten!F$12,Bewertung_Stammdaten!E$12,IF(AI15&lt;Bewertung_Stammdaten!F$13,Bewertung_Stammdaten!E$13,IF(AI15&lt;Bewertung_Stammdaten!F$14,Bewertung_Stammdaten!E$14,IF(AI15&lt;Bewertung_Stammdaten!F$15,Bewertung_Stammdaten!E$15,IF(AI15&lt;Bewertung_Stammdaten!F$16,Bewertung_Stammdaten!E$16,IF(AI15&lt;Bewertung_Stammdaten!F$17,Bewertung_Stammdaten!E$17,IF(AI15&lt;Bewertung_Stammdaten!F$18,Bewertung_Stammdaten!E$18,IF(AI15&lt;Bewertung_Stammdaten!F$19,Bewertung_Stammdaten!E$19,Bewertung_Stammdaten!E$20)))))))))</f>
        <v>2</v>
      </c>
      <c r="AM15" s="49"/>
      <c r="AN15" s="13">
        <f>VLOOKUP(A15,Aktien_im_Umlauf_splitbereinigt!A3:W68,13,FALSE)</f>
        <v>0</v>
      </c>
      <c r="AO15" s="13">
        <f>VLOOKUP(A15,Aktien_im_Umlauf_splitbereinigt!A3:W68,22,FALSE)</f>
        <v>1.4280187522424029E-2</v>
      </c>
      <c r="AP15" s="13">
        <f>VLOOKUP(A15,Aktien_im_Umlauf_splitbereinigt!A3:W68,23,FALSE)</f>
        <v>-99.999989999999997</v>
      </c>
      <c r="AQ15" s="47">
        <f>IF(AN15&lt;Bewertung_Stammdaten!J$24,Bewertung_Stammdaten!I$24,IF(AN15&lt;Bewertung_Stammdaten!J$25,Bewertung_Stammdaten!I$25,IF(AN15&lt;Bewertung_Stammdaten!J$26,Bewertung_Stammdaten!I$26,IF(AN15&lt;Bewertung_Stammdaten!J$27,Bewertung_Stammdaten!I$27,IF(AN15&lt;Bewertung_Stammdaten!J$28,Bewertung_Stammdaten!I$28,IF(AN15&lt;Bewertung_Stammdaten!J$29,Bewertung_Stammdaten!I$29,IF(AN15&lt;Bewertung_Stammdaten!J$30,Bewertung_Stammdaten!I$30,IF(AN15&lt;Bewertung_Stammdaten!J$31,Bewertung_Stammdaten!I$31,IF(AN15&lt;Bewertung_Stammdaten!J$32,Bewertung_Stammdaten!I$32,Bewertung_Stammdaten!I$33)))))))))</f>
        <v>1</v>
      </c>
      <c r="AR15" s="47">
        <f>IF(AO15&lt;Bewertung_Stammdaten!L$24,Bewertung_Stammdaten!K$24,IF(AO15&lt;Bewertung_Stammdaten!L$25,Bewertung_Stammdaten!K$25,IF(AO15&lt;Bewertung_Stammdaten!L$26,Bewertung_Stammdaten!K$26,IF(AO15&lt;Bewertung_Stammdaten!L$27,Bewertung_Stammdaten!K$27,IF(AO15&lt;Bewertung_Stammdaten!L$28,Bewertung_Stammdaten!K$28,IF(AO15&lt;Bewertung_Stammdaten!L$29,Bewertung_Stammdaten!K$29,IF(AO15&lt;Bewertung_Stammdaten!L$30,Bewertung_Stammdaten!K$30,IF(AO15&lt;Bewertung_Stammdaten!L$31,Bewertung_Stammdaten!K$31,IF(AO15&lt;Bewertung_Stammdaten!L$32,Bewertung_Stammdaten!K$32,Bewertung_Stammdaten!K$33)))))))))</f>
        <v>0.5</v>
      </c>
      <c r="AS15" s="47">
        <f>IF(AP15&lt;Bewertung_Stammdaten!N$24,Bewertung_Stammdaten!M$24,IF(AP15&lt;Bewertung_Stammdaten!N$25,Bewertung_Stammdaten!M$25,IF(AP15&lt;Bewertung_Stammdaten!N$26,Bewertung_Stammdaten!M$26,IF(AP15&lt;Bewertung_Stammdaten!N$27,Bewertung_Stammdaten!M$27,IF(AP15&lt;Bewertung_Stammdaten!N$28,Bewertung_Stammdaten!M$28,IF(AP15&lt;Bewertung_Stammdaten!N$29,Bewertung_Stammdaten!M$29,IF(AP15&lt;Bewertung_Stammdaten!N$30,Bewertung_Stammdaten!M$30,IF(AP15&lt;Bewertung_Stammdaten!N$31,Bewertung_Stammdaten!M$31,IF(AP15&lt;Bewertung_Stammdaten!N$32,Bewertung_Stammdaten!M$32,Bewertung_Stammdaten!M$33)))))))))</f>
        <v>0.5</v>
      </c>
      <c r="AT15" s="49"/>
      <c r="AU15" s="13">
        <f ca="1">VLOOKUP(A15,Ausschüttungsquote!A3:S68,18,FALSE)</f>
        <v>0.45247679281728254</v>
      </c>
      <c r="AV15" s="13">
        <f>VLOOKUP(A15,Ausschüttungsquote!A3:S68,15,FALSE)</f>
        <v>0.60495010277789518</v>
      </c>
      <c r="AW15" s="13">
        <f ca="1">VLOOKUP(A15,Ausschüttungsquote!A3:S68,19,FALSE)</f>
        <v>-0.25204278710006689</v>
      </c>
      <c r="AX15" s="36">
        <f ca="1">IF(AU15&lt;Bewertung_Stammdaten!H$11,Bewertung_Stammdaten!G$11,IF(AU15&lt;Bewertung_Stammdaten!H$12,Bewertung_Stammdaten!G$12,IF(AU15&lt;Bewertung_Stammdaten!H$13,Bewertung_Stammdaten!G$13,IF(AU15&lt;Bewertung_Stammdaten!H$14,Bewertung_Stammdaten!G$14,IF(AU15&lt;Bewertung_Stammdaten!H$15,Bewertung_Stammdaten!G$15,IF(AU15&lt;Bewertung_Stammdaten!H$16,Bewertung_Stammdaten!G$16,IF(AU15&lt;Bewertung_Stammdaten!H$17,Bewertung_Stammdaten!G$17,IF(AU15&lt;Bewertung_Stammdaten!H$18,Bewertung_Stammdaten!G$18,IF(AU15&lt;Bewertung_Stammdaten!H$19,Bewertung_Stammdaten!G$19,Bewertung_Stammdaten!G$20)))))))))</f>
        <v>4</v>
      </c>
      <c r="AY15" s="47">
        <f>IF(AV15&lt;Bewertung_Stammdaten!B$24,Bewertung_Stammdaten!A$24,IF(AV15&lt;Bewertung_Stammdaten!B$25,Bewertung_Stammdaten!A$25,IF(AV15&lt;Bewertung_Stammdaten!B$26,Bewertung_Stammdaten!A$26,IF(AV15&lt;Bewertung_Stammdaten!B$27,Bewertung_Stammdaten!A$27,IF(AV15&lt;Bewertung_Stammdaten!B$28,Bewertung_Stammdaten!A$28,IF(AV15&lt;Bewertung_Stammdaten!B$29,Bewertung_Stammdaten!A$29,IF(AV15&lt;Bewertung_Stammdaten!B$30,Bewertung_Stammdaten!A$30,IF(AV15&lt;Bewertung_Stammdaten!B$31,Bewertung_Stammdaten!A$31,IF(AV15&lt;Bewertung_Stammdaten!B$32,Bewertung_Stammdaten!A$32,Bewertung_Stammdaten!A$33)))))))))</f>
        <v>2.5</v>
      </c>
      <c r="AZ15" s="36">
        <f ca="1">IF(AW15&lt;Bewertung_Stammdaten!J$11,Bewertung_Stammdaten!I$11,IF(AW15&lt;Bewertung_Stammdaten!J$12,Bewertung_Stammdaten!I$12,IF(AW15&lt;Bewertung_Stammdaten!J$13,Bewertung_Stammdaten!I$13,IF(AW15&lt;Bewertung_Stammdaten!J$14,Bewertung_Stammdaten!I$14,IF(AW15&lt;Bewertung_Stammdaten!J$15,Bewertung_Stammdaten!I$15,IF(AW15&lt;Bewertung_Stammdaten!J$16,Bewertung_Stammdaten!I$16,IF(AW15&lt;Bewertung_Stammdaten!J$17,Bewertung_Stammdaten!I$17,IF(AW15&lt;Bewertung_Stammdaten!J$18,Bewertung_Stammdaten!I$18,IF(AW15&lt;Bewertung_Stammdaten!J$19,Bewertung_Stammdaten!I$19,Bewertung_Stammdaten!I$20)))))))))</f>
        <v>5</v>
      </c>
    </row>
    <row r="16" spans="1:52" x14ac:dyDescent="0.25">
      <c r="A16" s="44" t="s">
        <v>28</v>
      </c>
      <c r="B16" s="44" t="s">
        <v>29</v>
      </c>
      <c r="C16" s="36">
        <f t="shared" ca="1" si="0"/>
        <v>48.5</v>
      </c>
      <c r="D16" s="49"/>
      <c r="E16" s="12">
        <f ca="1">VLOOKUP(A16,KGV!A3:S68,18,FALSE)</f>
        <v>13.71222222222222</v>
      </c>
      <c r="F16" s="12">
        <f>VLOOKUP(A16,KGV!A3:S68,15,FALSE)</f>
        <v>11.1</v>
      </c>
      <c r="G16" s="13">
        <f ca="1">VLOOKUP(A16,KGV!A3:S68,19,FALSE)</f>
        <v>0.23533533533533513</v>
      </c>
      <c r="H16" s="19">
        <f t="shared" ca="1" si="1"/>
        <v>37.396969696969684</v>
      </c>
      <c r="I16" s="13">
        <f t="shared" ca="1" si="2"/>
        <v>2.369096369096368</v>
      </c>
      <c r="J16" s="36">
        <f ca="1">IF(G16&lt;Bewertung_Stammdaten!B$11,Bewertung_Stammdaten!A$11,IF(G16&lt;Bewertung_Stammdaten!B$12,Bewertung_Stammdaten!A$12,IF(G16&lt;Bewertung_Stammdaten!B$13,Bewertung_Stammdaten!A$13,IF(G16&lt;Bewertung_Stammdaten!B$14,Bewertung_Stammdaten!A$14,IF(G16&lt;Bewertung_Stammdaten!B$15,Bewertung_Stammdaten!A$15,IF(G16&lt;Bewertung_Stammdaten!B$16,Bewertung_Stammdaten!A$16,IF(G16&lt;Bewertung_Stammdaten!B$17,Bewertung_Stammdaten!A$17,IF(G16&lt;Bewertung_Stammdaten!B$18,Bewertung_Stammdaten!A$18,IF(G16&lt;Bewertung_Stammdaten!B$19,Bewertung_Stammdaten!A$19,Bewertung_Stammdaten!A$20)))))))))</f>
        <v>2</v>
      </c>
      <c r="K16" s="36">
        <f ca="1">IF(I16&lt;Bewertung_Stammdaten!N$11,Bewertung_Stammdaten!M$11,IF(I16&lt;Bewertung_Stammdaten!N$12,Bewertung_Stammdaten!M$12,IF(I16&lt;Bewertung_Stammdaten!N$13,Bewertung_Stammdaten!M$13,IF(I16&lt;Bewertung_Stammdaten!N$14,Bewertung_Stammdaten!M$14,IF(I16&lt;Bewertung_Stammdaten!N$15,Bewertung_Stammdaten!M$15,IF(I16&lt;Bewertung_Stammdaten!N$16,Bewertung_Stammdaten!M$16,IF(I16&lt;Bewertung_Stammdaten!N$17,Bewertung_Stammdaten!M$17,IF(I16&lt;Bewertung_Stammdaten!N$18,Bewertung_Stammdaten!M$18,IF(I16&lt;Bewertung_Stammdaten!N$19,Bewertung_Stammdaten!M$19,Bewertung_Stammdaten!M$20)))))))))</f>
        <v>1</v>
      </c>
      <c r="L16" s="49"/>
      <c r="M16" s="12">
        <f ca="1">VLOOKUP(A16,Buchwert_je_Aktie!A3:AC68,18,FALSE)</f>
        <v>6.6643888888888885</v>
      </c>
      <c r="N16" s="12">
        <f>VLOOKUP(A16,Buchwert_je_Aktie!A3:AC68,15,FALSE)</f>
        <v>7.484</v>
      </c>
      <c r="O16" s="13">
        <f ca="1">VLOOKUP(A16,Buchwert_je_Aktie!A3:AC68,19,FALSE)</f>
        <v>-0.10951511372409295</v>
      </c>
      <c r="P16" s="13">
        <f>VLOOKUP(A16,Buchwert_je_Aktie!A3:AC68,29,FALSE)</f>
        <v>-0.18459796149490371</v>
      </c>
      <c r="Q16" s="19">
        <f t="shared" ca="1" si="6"/>
        <v>5.4341562853907135</v>
      </c>
      <c r="R16" s="13">
        <f t="shared" ca="1" si="3"/>
        <v>-0.27389680847264652</v>
      </c>
      <c r="S16" s="58">
        <f ca="1">IF(O16&lt;Bewertung_Stammdaten!D$24,Bewertung_Stammdaten!C$24,IF(O16&lt;Bewertung_Stammdaten!D$25,Bewertung_Stammdaten!C$25,IF(O16&lt;Bewertung_Stammdaten!D$26,Bewertung_Stammdaten!C$26,IF(O16&lt;Bewertung_Stammdaten!D$27,Bewertung_Stammdaten!C$27,IF(O16&lt;Bewertung_Stammdaten!D$28,Bewertung_Stammdaten!C$28,IF(O16&lt;Bewertung_Stammdaten!D$29,Bewertung_Stammdaten!C$29,IF(O16&lt;Bewertung_Stammdaten!D$30,Bewertung_Stammdaten!C$30,IF(O16&lt;Bewertung_Stammdaten!D$31,Bewertung_Stammdaten!C$31,IF(O16&lt;Bewertung_Stammdaten!D$32,Bewertung_Stammdaten!C$32,Bewertung_Stammdaten!C$33)))))))))</f>
        <v>2</v>
      </c>
      <c r="T16" s="58">
        <f>IF(P16&lt;Bewertung_Stammdaten!F$24,Bewertung_Stammdaten!E$24,IF(P16&lt;Bewertung_Stammdaten!F$25,Bewertung_Stammdaten!E$25,IF(P16&lt;Bewertung_Stammdaten!F$26,Bewertung_Stammdaten!E$26,IF(P16&lt;Bewertung_Stammdaten!F$27,Bewertung_Stammdaten!E$27,IF(P16&lt;Bewertung_Stammdaten!F$28,Bewertung_Stammdaten!E$28,IF(P16&lt;Bewertung_Stammdaten!F$29,Bewertung_Stammdaten!E$29,IF(P16&lt;Bewertung_Stammdaten!F$30,Bewertung_Stammdaten!E$30,IF(P16&lt;Bewertung_Stammdaten!F$31,Bewertung_Stammdaten!E$31,IF(P16&lt;Bewertung_Stammdaten!F$32,Bewertung_Stammdaten!E$32,Bewertung_Stammdaten!E$33)))))))))</f>
        <v>6</v>
      </c>
      <c r="U16" s="58">
        <f ca="1">IF(R16&lt;Bewertung_Stammdaten!H$24,Bewertung_Stammdaten!G$24,IF(R16&lt;Bewertung_Stammdaten!H$25,Bewertung_Stammdaten!G$25,IF(R16&lt;Bewertung_Stammdaten!H$26,Bewertung_Stammdaten!G$26,IF(R16&lt;Bewertung_Stammdaten!H$27,Bewertung_Stammdaten!G$27,IF(R16&lt;Bewertung_Stammdaten!H$28,Bewertung_Stammdaten!G$28,IF(R16&lt;Bewertung_Stammdaten!H$29,Bewertung_Stammdaten!G$29,IF(R16&lt;Bewertung_Stammdaten!H$30,Bewertung_Stammdaten!G$30,IF(R16&lt;Bewertung_Stammdaten!H$31,Bewertung_Stammdaten!G$31,IF(R16&lt;Bewertung_Stammdaten!H$32,Bewertung_Stammdaten!G$32,Bewertung_Stammdaten!G$33)))))))))</f>
        <v>1</v>
      </c>
      <c r="V16" s="49"/>
      <c r="W16" s="17">
        <f ca="1">VLOOKUP(A16,Ergebnis_je_Aktie_verwässert!A3:S68,18,FALSE)</f>
        <v>0.54027777777777763</v>
      </c>
      <c r="X16" s="17">
        <f>VLOOKUP(A16,Ergebnis_je_Aktie_verwässert!A3:S68,15,FALSE)</f>
        <v>0.86600000000000021</v>
      </c>
      <c r="Y16" s="13">
        <f ca="1">VLOOKUP(A16,Ergebnis_je_Aktie_verwässert!A3:S68,19,FALSE)</f>
        <v>-0.3761226584552223</v>
      </c>
      <c r="Z16" s="46">
        <f>VLOOKUP(A16,Ergebnis_je_Aktie_verwässert!A3:AC68,29,FALSE)</f>
        <v>-0.6333333333333333</v>
      </c>
      <c r="AA16" s="19">
        <f t="shared" ca="1" si="4"/>
        <v>0.19810185185185181</v>
      </c>
      <c r="AB16" s="13">
        <f t="shared" ca="1" si="5"/>
        <v>-0.77124497476691478</v>
      </c>
      <c r="AC16" s="36">
        <f ca="1">IF(Y16&lt;Bewertung_Stammdaten!L$11,Bewertung_Stammdaten!K$11,IF(Y16&lt;Bewertung_Stammdaten!L$12,Bewertung_Stammdaten!K$12,IF(Y16&lt;Bewertung_Stammdaten!L$13,Bewertung_Stammdaten!K$13,IF(Y16&lt;Bewertung_Stammdaten!L$14,Bewertung_Stammdaten!K$14,IF(Y16&lt;Bewertung_Stammdaten!L$15,Bewertung_Stammdaten!K$15,IF(Y16&lt;Bewertung_Stammdaten!L$16,Bewertung_Stammdaten!K$16,IF(Y16&lt;Bewertung_Stammdaten!L$17,Bewertung_Stammdaten!K$17,IF(Y16&lt;Bewertung_Stammdaten!L$18,Bewertung_Stammdaten!K$18,IF(Y16&lt;Bewertung_Stammdaten!L$19,Bewertung_Stammdaten!K$19,Bewertung_Stammdaten!K$20)))))))))</f>
        <v>2</v>
      </c>
      <c r="AD16" s="36">
        <f>IF(Z16&lt;Bewertung_Stammdaten!R$11,Bewertung_Stammdaten!Q$11,IF(Z16&lt;Bewertung_Stammdaten!R$12,Bewertung_Stammdaten!Q$12,IF(Z16&lt;Bewertung_Stammdaten!R$13,Bewertung_Stammdaten!Q$13,IF(Z16&lt;Bewertung_Stammdaten!R$14,Bewertung_Stammdaten!Q$14,IF(Z16&lt;Bewertung_Stammdaten!R$15,Bewertung_Stammdaten!Q$15,IF(Z16&lt;Bewertung_Stammdaten!R$16,Bewertung_Stammdaten!Q$16,IF(Z16&lt;Bewertung_Stammdaten!R$17,Bewertung_Stammdaten!Q$17,IF(Z16&lt;Bewertung_Stammdaten!R$18,Bewertung_Stammdaten!Q$18,IF(Z16&lt;Bewertung_Stammdaten!R$19,Bewertung_Stammdaten!Q$19,Bewertung_Stammdaten!Q$20)))))))))</f>
        <v>1</v>
      </c>
      <c r="AE16" s="36">
        <f ca="1">IF(AB16&lt;Bewertung_Stammdaten!P$11,Bewertung_Stammdaten!O$11,IF(AB16&lt;Bewertung_Stammdaten!P$12,Bewertung_Stammdaten!O$12,IF(AB16&lt;Bewertung_Stammdaten!P$13,Bewertung_Stammdaten!O$13,IF(AB16&lt;Bewertung_Stammdaten!P$14,Bewertung_Stammdaten!O$14,IF(AB16&lt;Bewertung_Stammdaten!P$15,Bewertung_Stammdaten!O$15,IF(AB16&lt;Bewertung_Stammdaten!P$16,Bewertung_Stammdaten!O$16,IF(AB16&lt;Bewertung_Stammdaten!P$17,Bewertung_Stammdaten!O$17,IF(AB16&lt;Bewertung_Stammdaten!P$18,Bewertung_Stammdaten!O$18,IF(AB16&lt;Bewertung_Stammdaten!P$19,Bewertung_Stammdaten!O$19,Bewertung_Stammdaten!O$20)))))))))</f>
        <v>1</v>
      </c>
      <c r="AF16" s="49"/>
      <c r="AG16" s="13">
        <f ca="1">VLOOKUP(A16,Dividendenrendite!A3:S68,18,FALSE)</f>
        <v>6.9720277777777784E-2</v>
      </c>
      <c r="AH16" s="13">
        <f>VLOOKUP(A16,Dividendenrendite!A3:S68,15,FALSE)</f>
        <v>7.0139999999999994E-2</v>
      </c>
      <c r="AI16" s="13">
        <f ca="1">VLOOKUP(A16,Dividendenrendite!A3:S68,19,FALSE)</f>
        <v>-5.984063618794E-3</v>
      </c>
      <c r="AJ16" s="36">
        <f ca="1">IF(AG16&lt;Bewertung_Stammdaten!D$11,Bewertung_Stammdaten!C$11,IF(AG16&lt;Bewertung_Stammdaten!D$12,Bewertung_Stammdaten!C$12,IF(AG16&lt;Bewertung_Stammdaten!D$13,Bewertung_Stammdaten!C$13,IF(AG16&lt;Bewertung_Stammdaten!D$14,Bewertung_Stammdaten!C$14,IF(AG16&lt;Bewertung_Stammdaten!D$15,Bewertung_Stammdaten!C$15,IF(AG16&lt;Bewertung_Stammdaten!D$16,Bewertung_Stammdaten!C$16,IF(AG16&lt;Bewertung_Stammdaten!D$17,Bewertung_Stammdaten!C$17,IF(AG16&lt;Bewertung_Stammdaten!D$18,Bewertung_Stammdaten!C$18,IF(AG16&lt;Bewertung_Stammdaten!D$19,Bewertung_Stammdaten!C$19,Bewertung_Stammdaten!C$20)))))))))</f>
        <v>15</v>
      </c>
      <c r="AK16" s="36">
        <f>IF(AH16&lt;Bewertung_Stammdaten!T$11,Bewertung_Stammdaten!S$11,IF(AH16&lt;Bewertung_Stammdaten!T$12,Bewertung_Stammdaten!S$12,IF(AH16&lt;Bewertung_Stammdaten!T$13,Bewertung_Stammdaten!S$13,IF(AH16&lt;Bewertung_Stammdaten!T$14,Bewertung_Stammdaten!S$14,IF(AH16&lt;Bewertung_Stammdaten!T$15,Bewertung_Stammdaten!S$15,IF(AH16&lt;Bewertung_Stammdaten!T$16,Bewertung_Stammdaten!S$16,IF(AH16&lt;Bewertung_Stammdaten!T$17,Bewertung_Stammdaten!S$17,IF(AH16&lt;Bewertung_Stammdaten!T$18,Bewertung_Stammdaten!S$18,IF(AH16&lt;Bewertung_Stammdaten!T$19,Bewertung_Stammdaten!S$19,Bewertung_Stammdaten!S$20)))))))))</f>
        <v>10</v>
      </c>
      <c r="AL16" s="36">
        <f ca="1">IF(AI16&lt;Bewertung_Stammdaten!F$11,Bewertung_Stammdaten!E$11,IF(AI16&lt;Bewertung_Stammdaten!F$12,Bewertung_Stammdaten!E$12,IF(AI16&lt;Bewertung_Stammdaten!F$13,Bewertung_Stammdaten!E$13,IF(AI16&lt;Bewertung_Stammdaten!F$14,Bewertung_Stammdaten!E$14,IF(AI16&lt;Bewertung_Stammdaten!F$15,Bewertung_Stammdaten!E$15,IF(AI16&lt;Bewertung_Stammdaten!F$16,Bewertung_Stammdaten!E$16,IF(AI16&lt;Bewertung_Stammdaten!F$17,Bewertung_Stammdaten!E$17,IF(AI16&lt;Bewertung_Stammdaten!F$18,Bewertung_Stammdaten!E$18,IF(AI16&lt;Bewertung_Stammdaten!F$19,Bewertung_Stammdaten!E$19,Bewertung_Stammdaten!E$20)))))))))</f>
        <v>2.5</v>
      </c>
      <c r="AM16" s="49"/>
      <c r="AN16" s="13">
        <f>VLOOKUP(A16,Aktien_im_Umlauf_splitbereinigt!A3:W68,13,FALSE)</f>
        <v>9.8052514291250947E-2</v>
      </c>
      <c r="AO16" s="13">
        <f>VLOOKUP(A16,Aktien_im_Umlauf_splitbereinigt!A3:W68,22,FALSE)</f>
        <v>7.1764294809331178E-2</v>
      </c>
      <c r="AP16" s="13">
        <f>VLOOKUP(A16,Aktien_im_Umlauf_splitbereinigt!A3:W68,23,FALSE)</f>
        <v>-99.999989999999997</v>
      </c>
      <c r="AQ16" s="47">
        <f>IF(AN16&lt;Bewertung_Stammdaten!J$24,Bewertung_Stammdaten!I$24,IF(AN16&lt;Bewertung_Stammdaten!J$25,Bewertung_Stammdaten!I$25,IF(AN16&lt;Bewertung_Stammdaten!J$26,Bewertung_Stammdaten!I$26,IF(AN16&lt;Bewertung_Stammdaten!J$27,Bewertung_Stammdaten!I$27,IF(AN16&lt;Bewertung_Stammdaten!J$28,Bewertung_Stammdaten!I$28,IF(AN16&lt;Bewertung_Stammdaten!J$29,Bewertung_Stammdaten!I$29,IF(AN16&lt;Bewertung_Stammdaten!J$30,Bewertung_Stammdaten!I$30,IF(AN16&lt;Bewertung_Stammdaten!J$31,Bewertung_Stammdaten!I$31,IF(AN16&lt;Bewertung_Stammdaten!J$32,Bewertung_Stammdaten!I$32,Bewertung_Stammdaten!I$33)))))))))</f>
        <v>0.5</v>
      </c>
      <c r="AR16" s="47">
        <f>IF(AO16&lt;Bewertung_Stammdaten!L$24,Bewertung_Stammdaten!K$24,IF(AO16&lt;Bewertung_Stammdaten!L$25,Bewertung_Stammdaten!K$25,IF(AO16&lt;Bewertung_Stammdaten!L$26,Bewertung_Stammdaten!K$26,IF(AO16&lt;Bewertung_Stammdaten!L$27,Bewertung_Stammdaten!K$27,IF(AO16&lt;Bewertung_Stammdaten!L$28,Bewertung_Stammdaten!K$28,IF(AO16&lt;Bewertung_Stammdaten!L$29,Bewertung_Stammdaten!K$29,IF(AO16&lt;Bewertung_Stammdaten!L$30,Bewertung_Stammdaten!K$30,IF(AO16&lt;Bewertung_Stammdaten!L$31,Bewertung_Stammdaten!K$31,IF(AO16&lt;Bewertung_Stammdaten!L$32,Bewertung_Stammdaten!K$32,Bewertung_Stammdaten!K$33)))))))))</f>
        <v>0.5</v>
      </c>
      <c r="AS16" s="47">
        <f>IF(AP16&lt;Bewertung_Stammdaten!N$24,Bewertung_Stammdaten!M$24,IF(AP16&lt;Bewertung_Stammdaten!N$25,Bewertung_Stammdaten!M$25,IF(AP16&lt;Bewertung_Stammdaten!N$26,Bewertung_Stammdaten!M$26,IF(AP16&lt;Bewertung_Stammdaten!N$27,Bewertung_Stammdaten!M$27,IF(AP16&lt;Bewertung_Stammdaten!N$28,Bewertung_Stammdaten!M$28,IF(AP16&lt;Bewertung_Stammdaten!N$29,Bewertung_Stammdaten!M$29,IF(AP16&lt;Bewertung_Stammdaten!N$30,Bewertung_Stammdaten!M$30,IF(AP16&lt;Bewertung_Stammdaten!N$31,Bewertung_Stammdaten!M$31,IF(AP16&lt;Bewertung_Stammdaten!N$32,Bewertung_Stammdaten!M$32,Bewertung_Stammdaten!M$33)))))))))</f>
        <v>0.5</v>
      </c>
      <c r="AT16" s="49"/>
      <c r="AU16" s="13">
        <f ca="1">VLOOKUP(A16,Ausschüttungsquote!A3:S68,18,FALSE)</f>
        <v>0.95611829501915713</v>
      </c>
      <c r="AV16" s="13">
        <f>VLOOKUP(A16,Ausschüttungsquote!A3:S68,15,FALSE)</f>
        <v>0.91142382569074998</v>
      </c>
      <c r="AW16" s="13">
        <f ca="1">VLOOKUP(A16,Ausschüttungsquote!A3:S68,19,FALSE)</f>
        <v>4.903807434980556E-2</v>
      </c>
      <c r="AX16" s="36">
        <f ca="1">IF(AU16&lt;Bewertung_Stammdaten!H$11,Bewertung_Stammdaten!G$11,IF(AU16&lt;Bewertung_Stammdaten!H$12,Bewertung_Stammdaten!G$12,IF(AU16&lt;Bewertung_Stammdaten!H$13,Bewertung_Stammdaten!G$13,IF(AU16&lt;Bewertung_Stammdaten!H$14,Bewertung_Stammdaten!G$14,IF(AU16&lt;Bewertung_Stammdaten!H$15,Bewertung_Stammdaten!G$15,IF(AU16&lt;Bewertung_Stammdaten!H$16,Bewertung_Stammdaten!G$16,IF(AU16&lt;Bewertung_Stammdaten!H$17,Bewertung_Stammdaten!G$17,IF(AU16&lt;Bewertung_Stammdaten!H$18,Bewertung_Stammdaten!G$18,IF(AU16&lt;Bewertung_Stammdaten!H$19,Bewertung_Stammdaten!G$19,Bewertung_Stammdaten!G$20)))))))))</f>
        <v>0.5</v>
      </c>
      <c r="AY16" s="47">
        <f>IF(AV16&lt;Bewertung_Stammdaten!B$24,Bewertung_Stammdaten!A$24,IF(AV16&lt;Bewertung_Stammdaten!B$25,Bewertung_Stammdaten!A$25,IF(AV16&lt;Bewertung_Stammdaten!B$26,Bewertung_Stammdaten!A$26,IF(AV16&lt;Bewertung_Stammdaten!B$27,Bewertung_Stammdaten!A$27,IF(AV16&lt;Bewertung_Stammdaten!B$28,Bewertung_Stammdaten!A$28,IF(AV16&lt;Bewertung_Stammdaten!B$29,Bewertung_Stammdaten!A$29,IF(AV16&lt;Bewertung_Stammdaten!B$30,Bewertung_Stammdaten!A$30,IF(AV16&lt;Bewertung_Stammdaten!B$31,Bewertung_Stammdaten!A$31,IF(AV16&lt;Bewertung_Stammdaten!B$32,Bewertung_Stammdaten!A$32,Bewertung_Stammdaten!A$33)))))))))</f>
        <v>0.5</v>
      </c>
      <c r="AZ16" s="36">
        <f ca="1">IF(AW16&lt;Bewertung_Stammdaten!J$11,Bewertung_Stammdaten!I$11,IF(AW16&lt;Bewertung_Stammdaten!J$12,Bewertung_Stammdaten!I$12,IF(AW16&lt;Bewertung_Stammdaten!J$13,Bewertung_Stammdaten!I$13,IF(AW16&lt;Bewertung_Stammdaten!J$14,Bewertung_Stammdaten!I$14,IF(AW16&lt;Bewertung_Stammdaten!J$15,Bewertung_Stammdaten!I$15,IF(AW16&lt;Bewertung_Stammdaten!J$16,Bewertung_Stammdaten!I$16,IF(AW16&lt;Bewertung_Stammdaten!J$17,Bewertung_Stammdaten!I$17,IF(AW16&lt;Bewertung_Stammdaten!J$18,Bewertung_Stammdaten!I$18,IF(AW16&lt;Bewertung_Stammdaten!J$19,Bewertung_Stammdaten!I$19,Bewertung_Stammdaten!I$20)))))))))</f>
        <v>2.5</v>
      </c>
    </row>
    <row r="17" spans="1:52" x14ac:dyDescent="0.25">
      <c r="A17" s="44" t="s">
        <v>30</v>
      </c>
      <c r="B17" s="44" t="s">
        <v>31</v>
      </c>
      <c r="C17" s="36">
        <f t="shared" ca="1" si="0"/>
        <v>62.5</v>
      </c>
      <c r="D17" s="49"/>
      <c r="E17" s="12">
        <f ca="1">VLOOKUP(A17,KGV!A3:S68,18,FALSE)</f>
        <v>13.276666666666667</v>
      </c>
      <c r="F17" s="12">
        <f>VLOOKUP(A17,KGV!A3:S68,15,FALSE)</f>
        <v>11.7</v>
      </c>
      <c r="G17" s="13">
        <f ca="1">VLOOKUP(A17,KGV!A3:S68,19,FALSE)</f>
        <v>0.13475783475783487</v>
      </c>
      <c r="H17" s="19">
        <f t="shared" ca="1" si="1"/>
        <v>24.893750000000001</v>
      </c>
      <c r="I17" s="13">
        <f t="shared" ca="1" si="2"/>
        <v>1.1276709401709404</v>
      </c>
      <c r="J17" s="36">
        <f ca="1">IF(G17&lt;Bewertung_Stammdaten!B$11,Bewertung_Stammdaten!A$11,IF(G17&lt;Bewertung_Stammdaten!B$12,Bewertung_Stammdaten!A$12,IF(G17&lt;Bewertung_Stammdaten!B$13,Bewertung_Stammdaten!A$13,IF(G17&lt;Bewertung_Stammdaten!B$14,Bewertung_Stammdaten!A$14,IF(G17&lt;Bewertung_Stammdaten!B$15,Bewertung_Stammdaten!A$15,IF(G17&lt;Bewertung_Stammdaten!B$16,Bewertung_Stammdaten!A$16,IF(G17&lt;Bewertung_Stammdaten!B$17,Bewertung_Stammdaten!A$17,IF(G17&lt;Bewertung_Stammdaten!B$18,Bewertung_Stammdaten!A$18,IF(G17&lt;Bewertung_Stammdaten!B$19,Bewertung_Stammdaten!A$19,Bewertung_Stammdaten!A$20)))))))))</f>
        <v>6</v>
      </c>
      <c r="K17" s="36">
        <f ca="1">IF(I17&lt;Bewertung_Stammdaten!N$11,Bewertung_Stammdaten!M$11,IF(I17&lt;Bewertung_Stammdaten!N$12,Bewertung_Stammdaten!M$12,IF(I17&lt;Bewertung_Stammdaten!N$13,Bewertung_Stammdaten!M$13,IF(I17&lt;Bewertung_Stammdaten!N$14,Bewertung_Stammdaten!M$14,IF(I17&lt;Bewertung_Stammdaten!N$15,Bewertung_Stammdaten!M$15,IF(I17&lt;Bewertung_Stammdaten!N$16,Bewertung_Stammdaten!M$16,IF(I17&lt;Bewertung_Stammdaten!N$17,Bewertung_Stammdaten!M$17,IF(I17&lt;Bewertung_Stammdaten!N$18,Bewertung_Stammdaten!M$18,IF(I17&lt;Bewertung_Stammdaten!N$19,Bewertung_Stammdaten!M$19,Bewertung_Stammdaten!M$20)))))))))</f>
        <v>1</v>
      </c>
      <c r="L17" s="49"/>
      <c r="M17" s="12">
        <f ca="1">VLOOKUP(A17,Buchwert_je_Aktie!A3:AC68,18,FALSE)</f>
        <v>5.0465833333333334</v>
      </c>
      <c r="N17" s="12">
        <f>VLOOKUP(A17,Buchwert_je_Aktie!A3:AC68,15,FALSE)</f>
        <v>4.1470000000000002</v>
      </c>
      <c r="O17" s="13">
        <f ca="1">VLOOKUP(A17,Buchwert_je_Aktie!A3:AC68,19,FALSE)</f>
        <v>0.21692388071698421</v>
      </c>
      <c r="P17" s="13">
        <f>VLOOKUP(A17,Buchwert_je_Aktie!A3:AC68,29,FALSE)</f>
        <v>-0.23372781065088755</v>
      </c>
      <c r="Q17" s="19">
        <f t="shared" ca="1" si="6"/>
        <v>3.8670564595660752</v>
      </c>
      <c r="R17" s="13">
        <f t="shared" ca="1" si="3"/>
        <v>-6.750507365177838E-2</v>
      </c>
      <c r="S17" s="58">
        <f ca="1">IF(O17&lt;Bewertung_Stammdaten!D$24,Bewertung_Stammdaten!C$24,IF(O17&lt;Bewertung_Stammdaten!D$25,Bewertung_Stammdaten!C$25,IF(O17&lt;Bewertung_Stammdaten!D$26,Bewertung_Stammdaten!C$26,IF(O17&lt;Bewertung_Stammdaten!D$27,Bewertung_Stammdaten!C$27,IF(O17&lt;Bewertung_Stammdaten!D$28,Bewertung_Stammdaten!C$28,IF(O17&lt;Bewertung_Stammdaten!D$29,Bewertung_Stammdaten!C$29,IF(O17&lt;Bewertung_Stammdaten!D$30,Bewertung_Stammdaten!C$30,IF(O17&lt;Bewertung_Stammdaten!D$31,Bewertung_Stammdaten!C$31,IF(O17&lt;Bewertung_Stammdaten!D$32,Bewertung_Stammdaten!C$32,Bewertung_Stammdaten!C$33)))))))))</f>
        <v>8</v>
      </c>
      <c r="T17" s="58">
        <f>IF(P17&lt;Bewertung_Stammdaten!F$24,Bewertung_Stammdaten!E$24,IF(P17&lt;Bewertung_Stammdaten!F$25,Bewertung_Stammdaten!E$25,IF(P17&lt;Bewertung_Stammdaten!F$26,Bewertung_Stammdaten!E$26,IF(P17&lt;Bewertung_Stammdaten!F$27,Bewertung_Stammdaten!E$27,IF(P17&lt;Bewertung_Stammdaten!F$28,Bewertung_Stammdaten!E$28,IF(P17&lt;Bewertung_Stammdaten!F$29,Bewertung_Stammdaten!E$29,IF(P17&lt;Bewertung_Stammdaten!F$30,Bewertung_Stammdaten!E$30,IF(P17&lt;Bewertung_Stammdaten!F$31,Bewertung_Stammdaten!E$31,IF(P17&lt;Bewertung_Stammdaten!F$32,Bewertung_Stammdaten!E$32,Bewertung_Stammdaten!E$33)))))))))</f>
        <v>4.5</v>
      </c>
      <c r="U17" s="58">
        <f ca="1">IF(R17&lt;Bewertung_Stammdaten!H$24,Bewertung_Stammdaten!G$24,IF(R17&lt;Bewertung_Stammdaten!H$25,Bewertung_Stammdaten!G$25,IF(R17&lt;Bewertung_Stammdaten!H$26,Bewertung_Stammdaten!G$26,IF(R17&lt;Bewertung_Stammdaten!H$27,Bewertung_Stammdaten!G$27,IF(R17&lt;Bewertung_Stammdaten!H$28,Bewertung_Stammdaten!G$28,IF(R17&lt;Bewertung_Stammdaten!H$29,Bewertung_Stammdaten!G$29,IF(R17&lt;Bewertung_Stammdaten!H$30,Bewertung_Stammdaten!G$30,IF(R17&lt;Bewertung_Stammdaten!H$31,Bewertung_Stammdaten!G$31,IF(R17&lt;Bewertung_Stammdaten!H$32,Bewertung_Stammdaten!G$32,Bewertung_Stammdaten!G$33)))))))))</f>
        <v>1</v>
      </c>
      <c r="V17" s="49"/>
      <c r="W17" s="17">
        <f ca="1">VLOOKUP(A17,Ergebnis_je_Aktie_verwässert!A3:S68,18,FALSE)</f>
        <v>0.91219444444444442</v>
      </c>
      <c r="X17" s="17">
        <f>VLOOKUP(A17,Ergebnis_je_Aktie_verwässert!A3:S68,15,FALSE)</f>
        <v>1.335</v>
      </c>
      <c r="Y17" s="13">
        <f ca="1">VLOOKUP(A17,Ergebnis_je_Aktie_verwässert!A3:S68,19,FALSE)</f>
        <v>-0.31670828131502293</v>
      </c>
      <c r="Z17" s="46">
        <f>VLOOKUP(A17,Ergebnis_je_Aktie_verwässert!A3:AC68,29,FALSE)</f>
        <v>-0.46666666666666667</v>
      </c>
      <c r="AA17" s="19">
        <f t="shared" ca="1" si="4"/>
        <v>0.48650370370370366</v>
      </c>
      <c r="AB17" s="13">
        <f t="shared" ca="1" si="5"/>
        <v>-0.63557775003467887</v>
      </c>
      <c r="AC17" s="36">
        <f ca="1">IF(Y17&lt;Bewertung_Stammdaten!L$11,Bewertung_Stammdaten!K$11,IF(Y17&lt;Bewertung_Stammdaten!L$12,Bewertung_Stammdaten!K$12,IF(Y17&lt;Bewertung_Stammdaten!L$13,Bewertung_Stammdaten!K$13,IF(Y17&lt;Bewertung_Stammdaten!L$14,Bewertung_Stammdaten!K$14,IF(Y17&lt;Bewertung_Stammdaten!L$15,Bewertung_Stammdaten!K$15,IF(Y17&lt;Bewertung_Stammdaten!L$16,Bewertung_Stammdaten!K$16,IF(Y17&lt;Bewertung_Stammdaten!L$17,Bewertung_Stammdaten!K$17,IF(Y17&lt;Bewertung_Stammdaten!L$18,Bewertung_Stammdaten!K$18,IF(Y17&lt;Bewertung_Stammdaten!L$19,Bewertung_Stammdaten!K$19,Bewertung_Stammdaten!K$20)))))))))</f>
        <v>2</v>
      </c>
      <c r="AD17" s="36">
        <f>IF(Z17&lt;Bewertung_Stammdaten!R$11,Bewertung_Stammdaten!Q$11,IF(Z17&lt;Bewertung_Stammdaten!R$12,Bewertung_Stammdaten!Q$12,IF(Z17&lt;Bewertung_Stammdaten!R$13,Bewertung_Stammdaten!Q$13,IF(Z17&lt;Bewertung_Stammdaten!R$14,Bewertung_Stammdaten!Q$14,IF(Z17&lt;Bewertung_Stammdaten!R$15,Bewertung_Stammdaten!Q$15,IF(Z17&lt;Bewertung_Stammdaten!R$16,Bewertung_Stammdaten!Q$16,IF(Z17&lt;Bewertung_Stammdaten!R$17,Bewertung_Stammdaten!Q$17,IF(Z17&lt;Bewertung_Stammdaten!R$18,Bewertung_Stammdaten!Q$18,IF(Z17&lt;Bewertung_Stammdaten!R$19,Bewertung_Stammdaten!Q$19,Bewertung_Stammdaten!Q$20)))))))))</f>
        <v>3</v>
      </c>
      <c r="AE17" s="36">
        <f ca="1">IF(AB17&lt;Bewertung_Stammdaten!P$11,Bewertung_Stammdaten!O$11,IF(AB17&lt;Bewertung_Stammdaten!P$12,Bewertung_Stammdaten!O$12,IF(AB17&lt;Bewertung_Stammdaten!P$13,Bewertung_Stammdaten!O$13,IF(AB17&lt;Bewertung_Stammdaten!P$14,Bewertung_Stammdaten!O$14,IF(AB17&lt;Bewertung_Stammdaten!P$15,Bewertung_Stammdaten!O$15,IF(AB17&lt;Bewertung_Stammdaten!P$16,Bewertung_Stammdaten!O$16,IF(AB17&lt;Bewertung_Stammdaten!P$17,Bewertung_Stammdaten!O$17,IF(AB17&lt;Bewertung_Stammdaten!P$18,Bewertung_Stammdaten!O$18,IF(AB17&lt;Bewertung_Stammdaten!P$19,Bewertung_Stammdaten!O$19,Bewertung_Stammdaten!O$20)))))))))</f>
        <v>1</v>
      </c>
      <c r="AF17" s="49"/>
      <c r="AG17" s="13">
        <f ca="1">VLOOKUP(A17,Dividendenrendite!A3:S68,18,FALSE)</f>
        <v>5.9802777777777774E-2</v>
      </c>
      <c r="AH17" s="13">
        <f>VLOOKUP(A17,Dividendenrendite!A3:S68,15,FALSE)</f>
        <v>5.7349999999999998E-2</v>
      </c>
      <c r="AI17" s="13">
        <f ca="1">VLOOKUP(A17,Dividendenrendite!A3:S68,19,FALSE)</f>
        <v>4.2768575026639555E-2</v>
      </c>
      <c r="AJ17" s="36">
        <f ca="1">IF(AG17&lt;Bewertung_Stammdaten!D$11,Bewertung_Stammdaten!C$11,IF(AG17&lt;Bewertung_Stammdaten!D$12,Bewertung_Stammdaten!C$12,IF(AG17&lt;Bewertung_Stammdaten!D$13,Bewertung_Stammdaten!C$13,IF(AG17&lt;Bewertung_Stammdaten!D$14,Bewertung_Stammdaten!C$14,IF(AG17&lt;Bewertung_Stammdaten!D$15,Bewertung_Stammdaten!C$15,IF(AG17&lt;Bewertung_Stammdaten!D$16,Bewertung_Stammdaten!C$16,IF(AG17&lt;Bewertung_Stammdaten!D$17,Bewertung_Stammdaten!C$17,IF(AG17&lt;Bewertung_Stammdaten!D$18,Bewertung_Stammdaten!C$18,IF(AG17&lt;Bewertung_Stammdaten!D$19,Bewertung_Stammdaten!C$19,Bewertung_Stammdaten!C$20)))))))))</f>
        <v>15</v>
      </c>
      <c r="AK17" s="36">
        <f>IF(AH17&lt;Bewertung_Stammdaten!T$11,Bewertung_Stammdaten!S$11,IF(AH17&lt;Bewertung_Stammdaten!T$12,Bewertung_Stammdaten!S$12,IF(AH17&lt;Bewertung_Stammdaten!T$13,Bewertung_Stammdaten!S$13,IF(AH17&lt;Bewertung_Stammdaten!T$14,Bewertung_Stammdaten!S$14,IF(AH17&lt;Bewertung_Stammdaten!T$15,Bewertung_Stammdaten!S$15,IF(AH17&lt;Bewertung_Stammdaten!T$16,Bewertung_Stammdaten!S$16,IF(AH17&lt;Bewertung_Stammdaten!T$17,Bewertung_Stammdaten!S$17,IF(AH17&lt;Bewertung_Stammdaten!T$18,Bewertung_Stammdaten!S$18,IF(AH17&lt;Bewertung_Stammdaten!T$19,Bewertung_Stammdaten!S$19,Bewertung_Stammdaten!S$20)))))))))</f>
        <v>10</v>
      </c>
      <c r="AL17" s="36">
        <f ca="1">IF(AI17&lt;Bewertung_Stammdaten!F$11,Bewertung_Stammdaten!E$11,IF(AI17&lt;Bewertung_Stammdaten!F$12,Bewertung_Stammdaten!E$12,IF(AI17&lt;Bewertung_Stammdaten!F$13,Bewertung_Stammdaten!E$13,IF(AI17&lt;Bewertung_Stammdaten!F$14,Bewertung_Stammdaten!E$14,IF(AI17&lt;Bewertung_Stammdaten!F$15,Bewertung_Stammdaten!E$15,IF(AI17&lt;Bewertung_Stammdaten!F$16,Bewertung_Stammdaten!E$16,IF(AI17&lt;Bewertung_Stammdaten!F$17,Bewertung_Stammdaten!E$17,IF(AI17&lt;Bewertung_Stammdaten!F$18,Bewertung_Stammdaten!E$18,IF(AI17&lt;Bewertung_Stammdaten!F$19,Bewertung_Stammdaten!E$19,Bewertung_Stammdaten!E$20)))))))))</f>
        <v>3</v>
      </c>
      <c r="AM17" s="49"/>
      <c r="AN17" s="13">
        <f>VLOOKUP(A17,Aktien_im_Umlauf_splitbereinigt!A3:W68,13,FALSE)</f>
        <v>0</v>
      </c>
      <c r="AO17" s="13">
        <f>VLOOKUP(A17,Aktien_im_Umlauf_splitbereinigt!A3:W68,22,FALSE)</f>
        <v>-5.6602192411004575E-3</v>
      </c>
      <c r="AP17" s="13">
        <f>VLOOKUP(A17,Aktien_im_Umlauf_splitbereinigt!A3:W68,23,FALSE)</f>
        <v>-1</v>
      </c>
      <c r="AQ17" s="47">
        <f>IF(AN17&lt;Bewertung_Stammdaten!J$24,Bewertung_Stammdaten!I$24,IF(AN17&lt;Bewertung_Stammdaten!J$25,Bewertung_Stammdaten!I$25,IF(AN17&lt;Bewertung_Stammdaten!J$26,Bewertung_Stammdaten!I$26,IF(AN17&lt;Bewertung_Stammdaten!J$27,Bewertung_Stammdaten!I$27,IF(AN17&lt;Bewertung_Stammdaten!J$28,Bewertung_Stammdaten!I$28,IF(AN17&lt;Bewertung_Stammdaten!J$29,Bewertung_Stammdaten!I$29,IF(AN17&lt;Bewertung_Stammdaten!J$30,Bewertung_Stammdaten!I$30,IF(AN17&lt;Bewertung_Stammdaten!J$31,Bewertung_Stammdaten!I$31,IF(AN17&lt;Bewertung_Stammdaten!J$32,Bewertung_Stammdaten!I$32,Bewertung_Stammdaten!I$33)))))))))</f>
        <v>1</v>
      </c>
      <c r="AR17" s="47">
        <f>IF(AO17&lt;Bewertung_Stammdaten!L$24,Bewertung_Stammdaten!K$24,IF(AO17&lt;Bewertung_Stammdaten!L$25,Bewertung_Stammdaten!K$25,IF(AO17&lt;Bewertung_Stammdaten!L$26,Bewertung_Stammdaten!K$26,IF(AO17&lt;Bewertung_Stammdaten!L$27,Bewertung_Stammdaten!K$27,IF(AO17&lt;Bewertung_Stammdaten!L$28,Bewertung_Stammdaten!K$28,IF(AO17&lt;Bewertung_Stammdaten!L$29,Bewertung_Stammdaten!K$29,IF(AO17&lt;Bewertung_Stammdaten!L$30,Bewertung_Stammdaten!K$30,IF(AO17&lt;Bewertung_Stammdaten!L$31,Bewertung_Stammdaten!K$31,IF(AO17&lt;Bewertung_Stammdaten!L$32,Bewertung_Stammdaten!K$32,Bewertung_Stammdaten!K$33)))))))))</f>
        <v>2</v>
      </c>
      <c r="AS17" s="47">
        <f>IF(AP17&lt;Bewertung_Stammdaten!N$24,Bewertung_Stammdaten!M$24,IF(AP17&lt;Bewertung_Stammdaten!N$25,Bewertung_Stammdaten!M$25,IF(AP17&lt;Bewertung_Stammdaten!N$26,Bewertung_Stammdaten!M$26,IF(AP17&lt;Bewertung_Stammdaten!N$27,Bewertung_Stammdaten!M$27,IF(AP17&lt;Bewertung_Stammdaten!N$28,Bewertung_Stammdaten!M$28,IF(AP17&lt;Bewertung_Stammdaten!N$29,Bewertung_Stammdaten!M$29,IF(AP17&lt;Bewertung_Stammdaten!N$30,Bewertung_Stammdaten!M$30,IF(AP17&lt;Bewertung_Stammdaten!N$31,Bewertung_Stammdaten!M$31,IF(AP17&lt;Bewertung_Stammdaten!N$32,Bewertung_Stammdaten!M$32,Bewertung_Stammdaten!M$33)))))))))</f>
        <v>1</v>
      </c>
      <c r="AT17" s="49"/>
      <c r="AU17" s="13">
        <f ca="1">VLOOKUP(A17,Ausschüttungsquote!A3:S68,18,FALSE)</f>
        <v>0.79685028939430991</v>
      </c>
      <c r="AV17" s="13">
        <f>VLOOKUP(A17,Ausschüttungsquote!A3:S68,15,FALSE)</f>
        <v>0.66532777204854421</v>
      </c>
      <c r="AW17" s="13">
        <f ca="1">VLOOKUP(A17,Ausschüttungsquote!A3:S68,19,FALSE)</f>
        <v>0.19768078663063759</v>
      </c>
      <c r="AX17" s="36">
        <f ca="1">IF(AU17&lt;Bewertung_Stammdaten!H$11,Bewertung_Stammdaten!G$11,IF(AU17&lt;Bewertung_Stammdaten!H$12,Bewertung_Stammdaten!G$12,IF(AU17&lt;Bewertung_Stammdaten!H$13,Bewertung_Stammdaten!G$13,IF(AU17&lt;Bewertung_Stammdaten!H$14,Bewertung_Stammdaten!G$14,IF(AU17&lt;Bewertung_Stammdaten!H$15,Bewertung_Stammdaten!G$15,IF(AU17&lt;Bewertung_Stammdaten!H$16,Bewertung_Stammdaten!G$16,IF(AU17&lt;Bewertung_Stammdaten!H$17,Bewertung_Stammdaten!G$17,IF(AU17&lt;Bewertung_Stammdaten!H$18,Bewertung_Stammdaten!G$18,IF(AU17&lt;Bewertung_Stammdaten!H$19,Bewertung_Stammdaten!G$19,Bewertung_Stammdaten!G$20)))))))))</f>
        <v>1</v>
      </c>
      <c r="AY17" s="47">
        <f>IF(AV17&lt;Bewertung_Stammdaten!B$24,Bewertung_Stammdaten!A$24,IF(AV17&lt;Bewertung_Stammdaten!B$25,Bewertung_Stammdaten!A$25,IF(AV17&lt;Bewertung_Stammdaten!B$26,Bewertung_Stammdaten!A$26,IF(AV17&lt;Bewertung_Stammdaten!B$27,Bewertung_Stammdaten!A$27,IF(AV17&lt;Bewertung_Stammdaten!B$28,Bewertung_Stammdaten!A$28,IF(AV17&lt;Bewertung_Stammdaten!B$29,Bewertung_Stammdaten!A$29,IF(AV17&lt;Bewertung_Stammdaten!B$30,Bewertung_Stammdaten!A$30,IF(AV17&lt;Bewertung_Stammdaten!B$31,Bewertung_Stammdaten!A$31,IF(AV17&lt;Bewertung_Stammdaten!B$32,Bewertung_Stammdaten!A$32,Bewertung_Stammdaten!A$33)))))))))</f>
        <v>2</v>
      </c>
      <c r="AZ17" s="36">
        <f ca="1">IF(AW17&lt;Bewertung_Stammdaten!J$11,Bewertung_Stammdaten!I$11,IF(AW17&lt;Bewertung_Stammdaten!J$12,Bewertung_Stammdaten!I$12,IF(AW17&lt;Bewertung_Stammdaten!J$13,Bewertung_Stammdaten!I$13,IF(AW17&lt;Bewertung_Stammdaten!J$14,Bewertung_Stammdaten!I$14,IF(AW17&lt;Bewertung_Stammdaten!J$15,Bewertung_Stammdaten!I$15,IF(AW17&lt;Bewertung_Stammdaten!J$16,Bewertung_Stammdaten!I$16,IF(AW17&lt;Bewertung_Stammdaten!J$17,Bewertung_Stammdaten!I$17,IF(AW17&lt;Bewertung_Stammdaten!J$18,Bewertung_Stammdaten!I$18,IF(AW17&lt;Bewertung_Stammdaten!J$19,Bewertung_Stammdaten!I$19,Bewertung_Stammdaten!I$20)))))))))</f>
        <v>1</v>
      </c>
    </row>
    <row r="18" spans="1:52" x14ac:dyDescent="0.25">
      <c r="A18" s="44" t="s">
        <v>32</v>
      </c>
      <c r="B18" s="44" t="s">
        <v>33</v>
      </c>
      <c r="C18" s="36">
        <f t="shared" ca="1" si="0"/>
        <v>97</v>
      </c>
      <c r="D18" s="49"/>
      <c r="E18" s="12">
        <f ca="1">VLOOKUP(A18,KGV!A3:S68,18,FALSE)</f>
        <v>10.038333333333334</v>
      </c>
      <c r="F18" s="12">
        <f>VLOOKUP(A18,KGV!A3:S68,15,FALSE)</f>
        <v>9.8999999999999986</v>
      </c>
      <c r="G18" s="13">
        <f ca="1">VLOOKUP(A18,KGV!A3:S68,19,FALSE)</f>
        <v>1.3973063973064193E-2</v>
      </c>
      <c r="H18" s="19">
        <f t="shared" ca="1" si="1"/>
        <v>12.736810035842293</v>
      </c>
      <c r="I18" s="13">
        <f t="shared" ca="1" si="2"/>
        <v>0.28654646826689856</v>
      </c>
      <c r="J18" s="36">
        <f ca="1">IF(G18&lt;Bewertung_Stammdaten!B$11,Bewertung_Stammdaten!A$11,IF(G18&lt;Bewertung_Stammdaten!B$12,Bewertung_Stammdaten!A$12,IF(G18&lt;Bewertung_Stammdaten!B$13,Bewertung_Stammdaten!A$13,IF(G18&lt;Bewertung_Stammdaten!B$14,Bewertung_Stammdaten!A$14,IF(G18&lt;Bewertung_Stammdaten!B$15,Bewertung_Stammdaten!A$15,IF(G18&lt;Bewertung_Stammdaten!B$16,Bewertung_Stammdaten!A$16,IF(G18&lt;Bewertung_Stammdaten!B$17,Bewertung_Stammdaten!A$17,IF(G18&lt;Bewertung_Stammdaten!B$18,Bewertung_Stammdaten!A$18,IF(G18&lt;Bewertung_Stammdaten!B$19,Bewertung_Stammdaten!A$19,Bewertung_Stammdaten!A$20)))))))))</f>
        <v>10</v>
      </c>
      <c r="K18" s="36">
        <f ca="1">IF(I18&lt;Bewertung_Stammdaten!N$11,Bewertung_Stammdaten!M$11,IF(I18&lt;Bewertung_Stammdaten!N$12,Bewertung_Stammdaten!M$12,IF(I18&lt;Bewertung_Stammdaten!N$13,Bewertung_Stammdaten!M$13,IF(I18&lt;Bewertung_Stammdaten!N$14,Bewertung_Stammdaten!M$14,IF(I18&lt;Bewertung_Stammdaten!N$15,Bewertung_Stammdaten!M$15,IF(I18&lt;Bewertung_Stammdaten!N$16,Bewertung_Stammdaten!M$16,IF(I18&lt;Bewertung_Stammdaten!N$17,Bewertung_Stammdaten!M$17,IF(I18&lt;Bewertung_Stammdaten!N$18,Bewertung_Stammdaten!M$18,IF(I18&lt;Bewertung_Stammdaten!N$19,Bewertung_Stammdaten!M$19,Bewertung_Stammdaten!M$20)))))))))</f>
        <v>1</v>
      </c>
      <c r="L18" s="49"/>
      <c r="M18" s="12">
        <f ca="1">VLOOKUP(A18,Buchwert_je_Aktie!A3:AC68,18,FALSE)</f>
        <v>36.527500000000003</v>
      </c>
      <c r="N18" s="12">
        <f>VLOOKUP(A18,Buchwert_je_Aktie!A3:AC68,15,FALSE)</f>
        <v>22.308</v>
      </c>
      <c r="O18" s="13">
        <f ca="1">VLOOKUP(A18,Buchwert_je_Aktie!A3:AC68,19,FALSE)</f>
        <v>0.63741707010937798</v>
      </c>
      <c r="P18" s="13">
        <f>VLOOKUP(A18,Buchwert_je_Aktie!A3:AC68,29,FALSE)</f>
        <v>-8.760545100583994E-3</v>
      </c>
      <c r="Q18" s="19">
        <f t="shared" ca="1" si="6"/>
        <v>36.207499188838419</v>
      </c>
      <c r="R18" s="13">
        <f t="shared" ca="1" si="3"/>
        <v>0.62307240401821851</v>
      </c>
      <c r="S18" s="58">
        <f ca="1">IF(O18&lt;Bewertung_Stammdaten!D$24,Bewertung_Stammdaten!C$24,IF(O18&lt;Bewertung_Stammdaten!D$25,Bewertung_Stammdaten!C$25,IF(O18&lt;Bewertung_Stammdaten!D$26,Bewertung_Stammdaten!C$26,IF(O18&lt;Bewertung_Stammdaten!D$27,Bewertung_Stammdaten!C$27,IF(O18&lt;Bewertung_Stammdaten!D$28,Bewertung_Stammdaten!C$28,IF(O18&lt;Bewertung_Stammdaten!D$29,Bewertung_Stammdaten!C$29,IF(O18&lt;Bewertung_Stammdaten!D$30,Bewertung_Stammdaten!C$30,IF(O18&lt;Bewertung_Stammdaten!D$31,Bewertung_Stammdaten!C$31,IF(O18&lt;Bewertung_Stammdaten!D$32,Bewertung_Stammdaten!C$32,Bewertung_Stammdaten!C$33)))))))))</f>
        <v>16</v>
      </c>
      <c r="T18" s="58">
        <f>IF(P18&lt;Bewertung_Stammdaten!F$24,Bewertung_Stammdaten!E$24,IF(P18&lt;Bewertung_Stammdaten!F$25,Bewertung_Stammdaten!E$25,IF(P18&lt;Bewertung_Stammdaten!F$26,Bewertung_Stammdaten!E$26,IF(P18&lt;Bewertung_Stammdaten!F$27,Bewertung_Stammdaten!E$27,IF(P18&lt;Bewertung_Stammdaten!F$28,Bewertung_Stammdaten!E$28,IF(P18&lt;Bewertung_Stammdaten!F$29,Bewertung_Stammdaten!E$29,IF(P18&lt;Bewertung_Stammdaten!F$30,Bewertung_Stammdaten!E$30,IF(P18&lt;Bewertung_Stammdaten!F$31,Bewertung_Stammdaten!E$31,IF(P18&lt;Bewertung_Stammdaten!F$32,Bewertung_Stammdaten!E$32,Bewertung_Stammdaten!E$33)))))))))</f>
        <v>10.5</v>
      </c>
      <c r="U18" s="58">
        <f ca="1">IF(R18&lt;Bewertung_Stammdaten!H$24,Bewertung_Stammdaten!G$24,IF(R18&lt;Bewertung_Stammdaten!H$25,Bewertung_Stammdaten!G$25,IF(R18&lt;Bewertung_Stammdaten!H$26,Bewertung_Stammdaten!G$26,IF(R18&lt;Bewertung_Stammdaten!H$27,Bewertung_Stammdaten!G$27,IF(R18&lt;Bewertung_Stammdaten!H$28,Bewertung_Stammdaten!G$28,IF(R18&lt;Bewertung_Stammdaten!H$29,Bewertung_Stammdaten!G$29,IF(R18&lt;Bewertung_Stammdaten!H$30,Bewertung_Stammdaten!G$30,IF(R18&lt;Bewertung_Stammdaten!H$31,Bewertung_Stammdaten!G$31,IF(R18&lt;Bewertung_Stammdaten!H$32,Bewertung_Stammdaten!G$32,Bewertung_Stammdaten!G$33)))))))))</f>
        <v>8</v>
      </c>
      <c r="V18" s="49"/>
      <c r="W18" s="17">
        <f ca="1">VLOOKUP(A18,Ergebnis_je_Aktie_verwässert!A3:S68,18,FALSE)</f>
        <v>5.0128888888888889</v>
      </c>
      <c r="X18" s="17">
        <f>VLOOKUP(A18,Ergebnis_je_Aktie_verwässert!A3:S68,15,FALSE)</f>
        <v>4.6840000000000002</v>
      </c>
      <c r="Y18" s="13">
        <f ca="1">VLOOKUP(A18,Ergebnis_je_Aktie_verwässert!A3:S68,19,FALSE)</f>
        <v>7.0215390454502202E-2</v>
      </c>
      <c r="Z18" s="46">
        <f>VLOOKUP(A18,Ergebnis_je_Aktie_verwässert!A3:AC68,29,FALSE)</f>
        <v>-0.2118644067796609</v>
      </c>
      <c r="AA18" s="19">
        <f t="shared" ca="1" si="4"/>
        <v>3.9508361581920912</v>
      </c>
      <c r="AB18" s="13">
        <f t="shared" ca="1" si="5"/>
        <v>-0.15652515837060399</v>
      </c>
      <c r="AC18" s="36">
        <f ca="1">IF(Y18&lt;Bewertung_Stammdaten!L$11,Bewertung_Stammdaten!K$11,IF(Y18&lt;Bewertung_Stammdaten!L$12,Bewertung_Stammdaten!K$12,IF(Y18&lt;Bewertung_Stammdaten!L$13,Bewertung_Stammdaten!K$13,IF(Y18&lt;Bewertung_Stammdaten!L$14,Bewertung_Stammdaten!K$14,IF(Y18&lt;Bewertung_Stammdaten!L$15,Bewertung_Stammdaten!K$15,IF(Y18&lt;Bewertung_Stammdaten!L$16,Bewertung_Stammdaten!K$16,IF(Y18&lt;Bewertung_Stammdaten!L$17,Bewertung_Stammdaten!K$17,IF(Y18&lt;Bewertung_Stammdaten!L$18,Bewertung_Stammdaten!K$18,IF(Y18&lt;Bewertung_Stammdaten!L$19,Bewertung_Stammdaten!K$19,Bewertung_Stammdaten!K$20)))))))))</f>
        <v>4</v>
      </c>
      <c r="AD18" s="36">
        <f>IF(Z18&lt;Bewertung_Stammdaten!R$11,Bewertung_Stammdaten!Q$11,IF(Z18&lt;Bewertung_Stammdaten!R$12,Bewertung_Stammdaten!Q$12,IF(Z18&lt;Bewertung_Stammdaten!R$13,Bewertung_Stammdaten!Q$13,IF(Z18&lt;Bewertung_Stammdaten!R$14,Bewertung_Stammdaten!Q$14,IF(Z18&lt;Bewertung_Stammdaten!R$15,Bewertung_Stammdaten!Q$15,IF(Z18&lt;Bewertung_Stammdaten!R$16,Bewertung_Stammdaten!Q$16,IF(Z18&lt;Bewertung_Stammdaten!R$17,Bewertung_Stammdaten!Q$17,IF(Z18&lt;Bewertung_Stammdaten!R$18,Bewertung_Stammdaten!Q$18,IF(Z18&lt;Bewertung_Stammdaten!R$19,Bewertung_Stammdaten!Q$19,Bewertung_Stammdaten!Q$20)))))))))</f>
        <v>5</v>
      </c>
      <c r="AE18" s="36">
        <f ca="1">IF(AB18&lt;Bewertung_Stammdaten!P$11,Bewertung_Stammdaten!O$11,IF(AB18&lt;Bewertung_Stammdaten!P$12,Bewertung_Stammdaten!O$12,IF(AB18&lt;Bewertung_Stammdaten!P$13,Bewertung_Stammdaten!O$13,IF(AB18&lt;Bewertung_Stammdaten!P$14,Bewertung_Stammdaten!O$14,IF(AB18&lt;Bewertung_Stammdaten!P$15,Bewertung_Stammdaten!O$15,IF(AB18&lt;Bewertung_Stammdaten!P$16,Bewertung_Stammdaten!O$16,IF(AB18&lt;Bewertung_Stammdaten!P$17,Bewertung_Stammdaten!O$17,IF(AB18&lt;Bewertung_Stammdaten!P$18,Bewertung_Stammdaten!O$18,IF(AB18&lt;Bewertung_Stammdaten!P$19,Bewertung_Stammdaten!O$19,Bewertung_Stammdaten!O$20)))))))))</f>
        <v>1</v>
      </c>
      <c r="AF18" s="49"/>
      <c r="AG18" s="13">
        <f ca="1">VLOOKUP(A18,Dividendenrendite!A3:S68,18,FALSE)</f>
        <v>4.8963055555555558E-2</v>
      </c>
      <c r="AH18" s="13">
        <f>VLOOKUP(A18,Dividendenrendite!A3:S68,15,FALSE)</f>
        <v>4.7259999999999996E-2</v>
      </c>
      <c r="AI18" s="13">
        <f ca="1">VLOOKUP(A18,Dividendenrendite!A3:S68,19,FALSE)</f>
        <v>3.6035877180608633E-2</v>
      </c>
      <c r="AJ18" s="36">
        <f ca="1">IF(AG18&lt;Bewertung_Stammdaten!D$11,Bewertung_Stammdaten!C$11,IF(AG18&lt;Bewertung_Stammdaten!D$12,Bewertung_Stammdaten!C$12,IF(AG18&lt;Bewertung_Stammdaten!D$13,Bewertung_Stammdaten!C$13,IF(AG18&lt;Bewertung_Stammdaten!D$14,Bewertung_Stammdaten!C$14,IF(AG18&lt;Bewertung_Stammdaten!D$15,Bewertung_Stammdaten!C$15,IF(AG18&lt;Bewertung_Stammdaten!D$16,Bewertung_Stammdaten!C$16,IF(AG18&lt;Bewertung_Stammdaten!D$17,Bewertung_Stammdaten!C$17,IF(AG18&lt;Bewertung_Stammdaten!D$18,Bewertung_Stammdaten!C$18,IF(AG18&lt;Bewertung_Stammdaten!D$19,Bewertung_Stammdaten!C$19,Bewertung_Stammdaten!C$20)))))))))</f>
        <v>15</v>
      </c>
      <c r="AK18" s="36">
        <f>IF(AH18&lt;Bewertung_Stammdaten!T$11,Bewertung_Stammdaten!S$11,IF(AH18&lt;Bewertung_Stammdaten!T$12,Bewertung_Stammdaten!S$12,IF(AH18&lt;Bewertung_Stammdaten!T$13,Bewertung_Stammdaten!S$13,IF(AH18&lt;Bewertung_Stammdaten!T$14,Bewertung_Stammdaten!S$14,IF(AH18&lt;Bewertung_Stammdaten!T$15,Bewertung_Stammdaten!S$15,IF(AH18&lt;Bewertung_Stammdaten!T$16,Bewertung_Stammdaten!S$16,IF(AH18&lt;Bewertung_Stammdaten!T$17,Bewertung_Stammdaten!S$17,IF(AH18&lt;Bewertung_Stammdaten!T$18,Bewertung_Stammdaten!S$18,IF(AH18&lt;Bewertung_Stammdaten!T$19,Bewertung_Stammdaten!S$19,Bewertung_Stammdaten!S$20)))))))))</f>
        <v>10</v>
      </c>
      <c r="AL18" s="36">
        <f ca="1">IF(AI18&lt;Bewertung_Stammdaten!F$11,Bewertung_Stammdaten!E$11,IF(AI18&lt;Bewertung_Stammdaten!F$12,Bewertung_Stammdaten!E$12,IF(AI18&lt;Bewertung_Stammdaten!F$13,Bewertung_Stammdaten!E$13,IF(AI18&lt;Bewertung_Stammdaten!F$14,Bewertung_Stammdaten!E$14,IF(AI18&lt;Bewertung_Stammdaten!F$15,Bewertung_Stammdaten!E$15,IF(AI18&lt;Bewertung_Stammdaten!F$16,Bewertung_Stammdaten!E$16,IF(AI18&lt;Bewertung_Stammdaten!F$17,Bewertung_Stammdaten!E$17,IF(AI18&lt;Bewertung_Stammdaten!F$18,Bewertung_Stammdaten!E$18,IF(AI18&lt;Bewertung_Stammdaten!F$19,Bewertung_Stammdaten!E$19,Bewertung_Stammdaten!E$20)))))))))</f>
        <v>3</v>
      </c>
      <c r="AM18" s="49"/>
      <c r="AN18" s="13">
        <f>VLOOKUP(A18,Aktien_im_Umlauf_splitbereinigt!A3:W68,13,FALSE)</f>
        <v>5.0718512256973103E-3</v>
      </c>
      <c r="AO18" s="13">
        <f>VLOOKUP(A18,Aktien_im_Umlauf_splitbereinigt!A3:W68,22,FALSE)</f>
        <v>-7.2323181872022317E-3</v>
      </c>
      <c r="AP18" s="13">
        <f>VLOOKUP(A18,Aktien_im_Umlauf_splitbereinigt!A3:W68,23,FALSE)</f>
        <v>-1.7012760078327414</v>
      </c>
      <c r="AQ18" s="47">
        <f>IF(AN18&lt;Bewertung_Stammdaten!J$24,Bewertung_Stammdaten!I$24,IF(AN18&lt;Bewertung_Stammdaten!J$25,Bewertung_Stammdaten!I$25,IF(AN18&lt;Bewertung_Stammdaten!J$26,Bewertung_Stammdaten!I$26,IF(AN18&lt;Bewertung_Stammdaten!J$27,Bewertung_Stammdaten!I$27,IF(AN18&lt;Bewertung_Stammdaten!J$28,Bewertung_Stammdaten!I$28,IF(AN18&lt;Bewertung_Stammdaten!J$29,Bewertung_Stammdaten!I$29,IF(AN18&lt;Bewertung_Stammdaten!J$30,Bewertung_Stammdaten!I$30,IF(AN18&lt;Bewertung_Stammdaten!J$31,Bewertung_Stammdaten!I$31,IF(AN18&lt;Bewertung_Stammdaten!J$32,Bewertung_Stammdaten!I$32,Bewertung_Stammdaten!I$33)))))))))</f>
        <v>0.5</v>
      </c>
      <c r="AR18" s="47">
        <f>IF(AO18&lt;Bewertung_Stammdaten!L$24,Bewertung_Stammdaten!K$24,IF(AO18&lt;Bewertung_Stammdaten!L$25,Bewertung_Stammdaten!K$25,IF(AO18&lt;Bewertung_Stammdaten!L$26,Bewertung_Stammdaten!K$26,IF(AO18&lt;Bewertung_Stammdaten!L$27,Bewertung_Stammdaten!K$27,IF(AO18&lt;Bewertung_Stammdaten!L$28,Bewertung_Stammdaten!K$28,IF(AO18&lt;Bewertung_Stammdaten!L$29,Bewertung_Stammdaten!K$29,IF(AO18&lt;Bewertung_Stammdaten!L$30,Bewertung_Stammdaten!K$30,IF(AO18&lt;Bewertung_Stammdaten!L$31,Bewertung_Stammdaten!K$31,IF(AO18&lt;Bewertung_Stammdaten!L$32,Bewertung_Stammdaten!K$32,Bewertung_Stammdaten!K$33)))))))))</f>
        <v>2</v>
      </c>
      <c r="AS18" s="47">
        <f>IF(AP18&lt;Bewertung_Stammdaten!N$24,Bewertung_Stammdaten!M$24,IF(AP18&lt;Bewertung_Stammdaten!N$25,Bewertung_Stammdaten!M$25,IF(AP18&lt;Bewertung_Stammdaten!N$26,Bewertung_Stammdaten!M$26,IF(AP18&lt;Bewertung_Stammdaten!N$27,Bewertung_Stammdaten!M$27,IF(AP18&lt;Bewertung_Stammdaten!N$28,Bewertung_Stammdaten!M$28,IF(AP18&lt;Bewertung_Stammdaten!N$29,Bewertung_Stammdaten!M$29,IF(AP18&lt;Bewertung_Stammdaten!N$30,Bewertung_Stammdaten!M$30,IF(AP18&lt;Bewertung_Stammdaten!N$31,Bewertung_Stammdaten!M$31,IF(AP18&lt;Bewertung_Stammdaten!N$32,Bewertung_Stammdaten!M$32,Bewertung_Stammdaten!M$33)))))))))</f>
        <v>1</v>
      </c>
      <c r="AT18" s="49"/>
      <c r="AU18" s="13">
        <f ca="1">VLOOKUP(A18,Ausschüttungsquote!A3:S68,18,FALSE)</f>
        <v>0.49109375028030278</v>
      </c>
      <c r="AV18" s="13">
        <f>VLOOKUP(A18,Ausschüttungsquote!A3:S68,15,FALSE)</f>
        <v>0.45296622326819935</v>
      </c>
      <c r="AW18" s="13">
        <f ca="1">VLOOKUP(A18,Ausschüttungsquote!A3:S68,19,FALSE)</f>
        <v>8.4173002430532939E-2</v>
      </c>
      <c r="AX18" s="36">
        <f ca="1">IF(AU18&lt;Bewertung_Stammdaten!H$11,Bewertung_Stammdaten!G$11,IF(AU18&lt;Bewertung_Stammdaten!H$12,Bewertung_Stammdaten!G$12,IF(AU18&lt;Bewertung_Stammdaten!H$13,Bewertung_Stammdaten!G$13,IF(AU18&lt;Bewertung_Stammdaten!H$14,Bewertung_Stammdaten!G$14,IF(AU18&lt;Bewertung_Stammdaten!H$15,Bewertung_Stammdaten!G$15,IF(AU18&lt;Bewertung_Stammdaten!H$16,Bewertung_Stammdaten!G$16,IF(AU18&lt;Bewertung_Stammdaten!H$17,Bewertung_Stammdaten!G$17,IF(AU18&lt;Bewertung_Stammdaten!H$18,Bewertung_Stammdaten!G$18,IF(AU18&lt;Bewertung_Stammdaten!H$19,Bewertung_Stammdaten!G$19,Bewertung_Stammdaten!G$20)))))))))</f>
        <v>4</v>
      </c>
      <c r="AY18" s="47">
        <f>IF(AV18&lt;Bewertung_Stammdaten!B$24,Bewertung_Stammdaten!A$24,IF(AV18&lt;Bewertung_Stammdaten!B$25,Bewertung_Stammdaten!A$25,IF(AV18&lt;Bewertung_Stammdaten!B$26,Bewertung_Stammdaten!A$26,IF(AV18&lt;Bewertung_Stammdaten!B$27,Bewertung_Stammdaten!A$27,IF(AV18&lt;Bewertung_Stammdaten!B$28,Bewertung_Stammdaten!A$28,IF(AV18&lt;Bewertung_Stammdaten!B$29,Bewertung_Stammdaten!A$29,IF(AV18&lt;Bewertung_Stammdaten!B$30,Bewertung_Stammdaten!A$30,IF(AV18&lt;Bewertung_Stammdaten!B$31,Bewertung_Stammdaten!A$31,IF(AV18&lt;Bewertung_Stammdaten!B$32,Bewertung_Stammdaten!A$32,Bewertung_Stammdaten!A$33)))))))))</f>
        <v>4</v>
      </c>
      <c r="AZ18" s="36">
        <f ca="1">IF(AW18&lt;Bewertung_Stammdaten!J$11,Bewertung_Stammdaten!I$11,IF(AW18&lt;Bewertung_Stammdaten!J$12,Bewertung_Stammdaten!I$12,IF(AW18&lt;Bewertung_Stammdaten!J$13,Bewertung_Stammdaten!I$13,IF(AW18&lt;Bewertung_Stammdaten!J$14,Bewertung_Stammdaten!I$14,IF(AW18&lt;Bewertung_Stammdaten!J$15,Bewertung_Stammdaten!I$15,IF(AW18&lt;Bewertung_Stammdaten!J$16,Bewertung_Stammdaten!I$16,IF(AW18&lt;Bewertung_Stammdaten!J$17,Bewertung_Stammdaten!I$17,IF(AW18&lt;Bewertung_Stammdaten!J$18,Bewertung_Stammdaten!I$18,IF(AW18&lt;Bewertung_Stammdaten!J$19,Bewertung_Stammdaten!I$19,Bewertung_Stammdaten!I$20)))))))))</f>
        <v>2</v>
      </c>
    </row>
    <row r="19" spans="1:52" x14ac:dyDescent="0.25">
      <c r="A19" s="44" t="s">
        <v>34</v>
      </c>
      <c r="B19" s="44" t="s">
        <v>35</v>
      </c>
      <c r="C19" s="36">
        <f t="shared" ca="1" si="0"/>
        <v>71.5</v>
      </c>
      <c r="D19" s="49"/>
      <c r="E19" s="12">
        <f ca="1">VLOOKUP(A19,KGV!A3:S68,18,FALSE)</f>
        <v>19.851944444444445</v>
      </c>
      <c r="F19" s="12">
        <f>VLOOKUP(A19,KGV!A3:S68,15,FALSE)</f>
        <v>17.7</v>
      </c>
      <c r="G19" s="13">
        <f ca="1">VLOOKUP(A19,KGV!A3:S68,19,FALSE)</f>
        <v>0.12157878217200269</v>
      </c>
      <c r="H19" s="19">
        <f t="shared" ca="1" si="1"/>
        <v>30.049118093503338</v>
      </c>
      <c r="I19" s="13">
        <f t="shared" ca="1" si="2"/>
        <v>0.69769028776855024</v>
      </c>
      <c r="J19" s="36">
        <f ca="1">IF(G19&lt;Bewertung_Stammdaten!B$11,Bewertung_Stammdaten!A$11,IF(G19&lt;Bewertung_Stammdaten!B$12,Bewertung_Stammdaten!A$12,IF(G19&lt;Bewertung_Stammdaten!B$13,Bewertung_Stammdaten!A$13,IF(G19&lt;Bewertung_Stammdaten!B$14,Bewertung_Stammdaten!A$14,IF(G19&lt;Bewertung_Stammdaten!B$15,Bewertung_Stammdaten!A$15,IF(G19&lt;Bewertung_Stammdaten!B$16,Bewertung_Stammdaten!A$16,IF(G19&lt;Bewertung_Stammdaten!B$17,Bewertung_Stammdaten!A$17,IF(G19&lt;Bewertung_Stammdaten!B$18,Bewertung_Stammdaten!A$18,IF(G19&lt;Bewertung_Stammdaten!B$19,Bewertung_Stammdaten!A$19,Bewertung_Stammdaten!A$20)))))))))</f>
        <v>6</v>
      </c>
      <c r="K19" s="36">
        <f ca="1">IF(I19&lt;Bewertung_Stammdaten!N$11,Bewertung_Stammdaten!M$11,IF(I19&lt;Bewertung_Stammdaten!N$12,Bewertung_Stammdaten!M$12,IF(I19&lt;Bewertung_Stammdaten!N$13,Bewertung_Stammdaten!M$13,IF(I19&lt;Bewertung_Stammdaten!N$14,Bewertung_Stammdaten!M$14,IF(I19&lt;Bewertung_Stammdaten!N$15,Bewertung_Stammdaten!M$15,IF(I19&lt;Bewertung_Stammdaten!N$16,Bewertung_Stammdaten!M$16,IF(I19&lt;Bewertung_Stammdaten!N$17,Bewertung_Stammdaten!M$17,IF(I19&lt;Bewertung_Stammdaten!N$18,Bewertung_Stammdaten!M$18,IF(I19&lt;Bewertung_Stammdaten!N$19,Bewertung_Stammdaten!M$19,Bewertung_Stammdaten!M$20)))))))))</f>
        <v>1</v>
      </c>
      <c r="L19" s="49"/>
      <c r="M19" s="12">
        <f ca="1">VLOOKUP(A19,Buchwert_je_Aktie!A3:AC68,18,FALSE)</f>
        <v>22.033055555555553</v>
      </c>
      <c r="N19" s="12">
        <f>VLOOKUP(A19,Buchwert_je_Aktie!A3:AC68,15,FALSE)</f>
        <v>18.295714285714286</v>
      </c>
      <c r="O19" s="13">
        <f ca="1">VLOOKUP(A19,Buchwert_je_Aktie!A3:AC68,19,FALSE)</f>
        <v>0.20427413827507501</v>
      </c>
      <c r="P19" s="13">
        <f>VLOOKUP(A19,Buchwert_je_Aktie!A3:AC68,29,FALSE)</f>
        <v>-0.10554089709762537</v>
      </c>
      <c r="Q19" s="19">
        <f t="shared" ca="1" si="6"/>
        <v>19.707667106420402</v>
      </c>
      <c r="R19" s="13">
        <f t="shared" ca="1" si="3"/>
        <v>7.7173965370054054E-2</v>
      </c>
      <c r="S19" s="58">
        <f ca="1">IF(O19&lt;Bewertung_Stammdaten!D$24,Bewertung_Stammdaten!C$24,IF(O19&lt;Bewertung_Stammdaten!D$25,Bewertung_Stammdaten!C$25,IF(O19&lt;Bewertung_Stammdaten!D$26,Bewertung_Stammdaten!C$26,IF(O19&lt;Bewertung_Stammdaten!D$27,Bewertung_Stammdaten!C$27,IF(O19&lt;Bewertung_Stammdaten!D$28,Bewertung_Stammdaten!C$28,IF(O19&lt;Bewertung_Stammdaten!D$29,Bewertung_Stammdaten!C$29,IF(O19&lt;Bewertung_Stammdaten!D$30,Bewertung_Stammdaten!C$30,IF(O19&lt;Bewertung_Stammdaten!D$31,Bewertung_Stammdaten!C$31,IF(O19&lt;Bewertung_Stammdaten!D$32,Bewertung_Stammdaten!C$32,Bewertung_Stammdaten!C$33)))))))))</f>
        <v>8</v>
      </c>
      <c r="T19" s="58">
        <f>IF(P19&lt;Bewertung_Stammdaten!F$24,Bewertung_Stammdaten!E$24,IF(P19&lt;Bewertung_Stammdaten!F$25,Bewertung_Stammdaten!E$25,IF(P19&lt;Bewertung_Stammdaten!F$26,Bewertung_Stammdaten!E$26,IF(P19&lt;Bewertung_Stammdaten!F$27,Bewertung_Stammdaten!E$27,IF(P19&lt;Bewertung_Stammdaten!F$28,Bewertung_Stammdaten!E$28,IF(P19&lt;Bewertung_Stammdaten!F$29,Bewertung_Stammdaten!E$29,IF(P19&lt;Bewertung_Stammdaten!F$30,Bewertung_Stammdaten!E$30,IF(P19&lt;Bewertung_Stammdaten!F$31,Bewertung_Stammdaten!E$31,IF(P19&lt;Bewertung_Stammdaten!F$32,Bewertung_Stammdaten!E$32,Bewertung_Stammdaten!E$33)))))))))</f>
        <v>7.5</v>
      </c>
      <c r="U19" s="58">
        <f ca="1">IF(R19&lt;Bewertung_Stammdaten!H$24,Bewertung_Stammdaten!G$24,IF(R19&lt;Bewertung_Stammdaten!H$25,Bewertung_Stammdaten!G$25,IF(R19&lt;Bewertung_Stammdaten!H$26,Bewertung_Stammdaten!G$26,IF(R19&lt;Bewertung_Stammdaten!H$27,Bewertung_Stammdaten!G$27,IF(R19&lt;Bewertung_Stammdaten!H$28,Bewertung_Stammdaten!G$28,IF(R19&lt;Bewertung_Stammdaten!H$29,Bewertung_Stammdaten!G$29,IF(R19&lt;Bewertung_Stammdaten!H$30,Bewertung_Stammdaten!G$30,IF(R19&lt;Bewertung_Stammdaten!H$31,Bewertung_Stammdaten!G$31,IF(R19&lt;Bewertung_Stammdaten!H$32,Bewertung_Stammdaten!G$32,Bewertung_Stammdaten!G$33)))))))))</f>
        <v>2</v>
      </c>
      <c r="V19" s="49"/>
      <c r="W19" s="17">
        <f ca="1">VLOOKUP(A19,Ergebnis_je_Aktie_verwässert!A3:S68,18,FALSE)</f>
        <v>2.8471388888888889</v>
      </c>
      <c r="X19" s="17">
        <f>VLOOKUP(A19,Ergebnis_je_Aktie_verwässert!A3:S68,15,FALSE)</f>
        <v>2.448</v>
      </c>
      <c r="Y19" s="13">
        <f ca="1">VLOOKUP(A19,Ergebnis_je_Aktie_verwässert!A3:S68,19,FALSE)</f>
        <v>0.16304693173565732</v>
      </c>
      <c r="Z19" s="46">
        <f>VLOOKUP(A19,Ergebnis_je_Aktie_verwässert!A3:AC68,29,FALSE)</f>
        <v>-0.3393501805054151</v>
      </c>
      <c r="AA19" s="19">
        <f t="shared" ca="1" si="4"/>
        <v>1.8809617930204574</v>
      </c>
      <c r="AB19" s="13">
        <f t="shared" ca="1" si="5"/>
        <v>-0.2316332544851073</v>
      </c>
      <c r="AC19" s="36">
        <f ca="1">IF(Y19&lt;Bewertung_Stammdaten!L$11,Bewertung_Stammdaten!K$11,IF(Y19&lt;Bewertung_Stammdaten!L$12,Bewertung_Stammdaten!K$12,IF(Y19&lt;Bewertung_Stammdaten!L$13,Bewertung_Stammdaten!K$13,IF(Y19&lt;Bewertung_Stammdaten!L$14,Bewertung_Stammdaten!K$14,IF(Y19&lt;Bewertung_Stammdaten!L$15,Bewertung_Stammdaten!K$15,IF(Y19&lt;Bewertung_Stammdaten!L$16,Bewertung_Stammdaten!K$16,IF(Y19&lt;Bewertung_Stammdaten!L$17,Bewertung_Stammdaten!K$17,IF(Y19&lt;Bewertung_Stammdaten!L$18,Bewertung_Stammdaten!K$18,IF(Y19&lt;Bewertung_Stammdaten!L$19,Bewertung_Stammdaten!K$19,Bewertung_Stammdaten!K$20)))))))))</f>
        <v>6</v>
      </c>
      <c r="AD19" s="36">
        <f>IF(Z19&lt;Bewertung_Stammdaten!R$11,Bewertung_Stammdaten!Q$11,IF(Z19&lt;Bewertung_Stammdaten!R$12,Bewertung_Stammdaten!Q$12,IF(Z19&lt;Bewertung_Stammdaten!R$13,Bewertung_Stammdaten!Q$13,IF(Z19&lt;Bewertung_Stammdaten!R$14,Bewertung_Stammdaten!Q$14,IF(Z19&lt;Bewertung_Stammdaten!R$15,Bewertung_Stammdaten!Q$15,IF(Z19&lt;Bewertung_Stammdaten!R$16,Bewertung_Stammdaten!Q$16,IF(Z19&lt;Bewertung_Stammdaten!R$17,Bewertung_Stammdaten!Q$17,IF(Z19&lt;Bewertung_Stammdaten!R$18,Bewertung_Stammdaten!Q$18,IF(Z19&lt;Bewertung_Stammdaten!R$19,Bewertung_Stammdaten!Q$19,Bewertung_Stammdaten!Q$20)))))))))</f>
        <v>4</v>
      </c>
      <c r="AE19" s="36">
        <f ca="1">IF(AB19&lt;Bewertung_Stammdaten!P$11,Bewertung_Stammdaten!O$11,IF(AB19&lt;Bewertung_Stammdaten!P$12,Bewertung_Stammdaten!O$12,IF(AB19&lt;Bewertung_Stammdaten!P$13,Bewertung_Stammdaten!O$13,IF(AB19&lt;Bewertung_Stammdaten!P$14,Bewertung_Stammdaten!O$14,IF(AB19&lt;Bewertung_Stammdaten!P$15,Bewertung_Stammdaten!O$15,IF(AB19&lt;Bewertung_Stammdaten!P$16,Bewertung_Stammdaten!O$16,IF(AB19&lt;Bewertung_Stammdaten!P$17,Bewertung_Stammdaten!O$17,IF(AB19&lt;Bewertung_Stammdaten!P$18,Bewertung_Stammdaten!O$18,IF(AB19&lt;Bewertung_Stammdaten!P$19,Bewertung_Stammdaten!O$19,Bewertung_Stammdaten!O$20)))))))))</f>
        <v>1</v>
      </c>
      <c r="AF19" s="49"/>
      <c r="AG19" s="13">
        <f ca="1">VLOOKUP(A19,Dividendenrendite!A3:S68,18,FALSE)</f>
        <v>2.7684999999999998E-2</v>
      </c>
      <c r="AH19" s="13">
        <f>VLOOKUP(A19,Dividendenrendite!A3:S68,15,FALSE)</f>
        <v>2.436E-2</v>
      </c>
      <c r="AI19" s="13">
        <f ca="1">VLOOKUP(A19,Dividendenrendite!A3:S68,19,FALSE)</f>
        <v>0.13649425287356309</v>
      </c>
      <c r="AJ19" s="36">
        <f ca="1">IF(AG19&lt;Bewertung_Stammdaten!D$11,Bewertung_Stammdaten!C$11,IF(AG19&lt;Bewertung_Stammdaten!D$12,Bewertung_Stammdaten!C$12,IF(AG19&lt;Bewertung_Stammdaten!D$13,Bewertung_Stammdaten!C$13,IF(AG19&lt;Bewertung_Stammdaten!D$14,Bewertung_Stammdaten!C$14,IF(AG19&lt;Bewertung_Stammdaten!D$15,Bewertung_Stammdaten!C$15,IF(AG19&lt;Bewertung_Stammdaten!D$16,Bewertung_Stammdaten!C$16,IF(AG19&lt;Bewertung_Stammdaten!D$17,Bewertung_Stammdaten!C$17,IF(AG19&lt;Bewertung_Stammdaten!D$18,Bewertung_Stammdaten!C$18,IF(AG19&lt;Bewertung_Stammdaten!D$19,Bewertung_Stammdaten!C$19,Bewertung_Stammdaten!C$20)))))))))</f>
        <v>9</v>
      </c>
      <c r="AK19" s="36">
        <f>IF(AH19&lt;Bewertung_Stammdaten!T$11,Bewertung_Stammdaten!S$11,IF(AH19&lt;Bewertung_Stammdaten!T$12,Bewertung_Stammdaten!S$12,IF(AH19&lt;Bewertung_Stammdaten!T$13,Bewertung_Stammdaten!S$13,IF(AH19&lt;Bewertung_Stammdaten!T$14,Bewertung_Stammdaten!S$14,IF(AH19&lt;Bewertung_Stammdaten!T$15,Bewertung_Stammdaten!S$15,IF(AH19&lt;Bewertung_Stammdaten!T$16,Bewertung_Stammdaten!S$16,IF(AH19&lt;Bewertung_Stammdaten!T$17,Bewertung_Stammdaten!S$17,IF(AH19&lt;Bewertung_Stammdaten!T$18,Bewertung_Stammdaten!S$18,IF(AH19&lt;Bewertung_Stammdaten!T$19,Bewertung_Stammdaten!S$19,Bewertung_Stammdaten!S$20)))))))))</f>
        <v>5</v>
      </c>
      <c r="AL19" s="36">
        <f ca="1">IF(AI19&lt;Bewertung_Stammdaten!F$11,Bewertung_Stammdaten!E$11,IF(AI19&lt;Bewertung_Stammdaten!F$12,Bewertung_Stammdaten!E$12,IF(AI19&lt;Bewertung_Stammdaten!F$13,Bewertung_Stammdaten!E$13,IF(AI19&lt;Bewertung_Stammdaten!F$14,Bewertung_Stammdaten!E$14,IF(AI19&lt;Bewertung_Stammdaten!F$15,Bewertung_Stammdaten!E$15,IF(AI19&lt;Bewertung_Stammdaten!F$16,Bewertung_Stammdaten!E$16,IF(AI19&lt;Bewertung_Stammdaten!F$17,Bewertung_Stammdaten!E$17,IF(AI19&lt;Bewertung_Stammdaten!F$18,Bewertung_Stammdaten!E$18,IF(AI19&lt;Bewertung_Stammdaten!F$19,Bewertung_Stammdaten!E$19,Bewertung_Stammdaten!E$20)))))))))</f>
        <v>4</v>
      </c>
      <c r="AM19" s="49"/>
      <c r="AN19" s="13">
        <f>VLOOKUP(A19,Aktien_im_Umlauf_splitbereinigt!A3:W68,13,FALSE)</f>
        <v>-1.886000373157537E-2</v>
      </c>
      <c r="AO19" s="13">
        <f>VLOOKUP(A19,Aktien_im_Umlauf_splitbereinigt!A3:W68,22,FALSE)</f>
        <v>2.1348558694519942E-2</v>
      </c>
      <c r="AP19" s="13">
        <f>VLOOKUP(A19,Aktien_im_Umlauf_splitbereinigt!A3:W68,23,FALSE)</f>
        <v>1.8834321792607307</v>
      </c>
      <c r="AQ19" s="47">
        <f>IF(AN19&lt;Bewertung_Stammdaten!J$24,Bewertung_Stammdaten!I$24,IF(AN19&lt;Bewertung_Stammdaten!J$25,Bewertung_Stammdaten!I$25,IF(AN19&lt;Bewertung_Stammdaten!J$26,Bewertung_Stammdaten!I$26,IF(AN19&lt;Bewertung_Stammdaten!J$27,Bewertung_Stammdaten!I$27,IF(AN19&lt;Bewertung_Stammdaten!J$28,Bewertung_Stammdaten!I$28,IF(AN19&lt;Bewertung_Stammdaten!J$29,Bewertung_Stammdaten!I$29,IF(AN19&lt;Bewertung_Stammdaten!J$30,Bewertung_Stammdaten!I$30,IF(AN19&lt;Bewertung_Stammdaten!J$31,Bewertung_Stammdaten!I$31,IF(AN19&lt;Bewertung_Stammdaten!J$32,Bewertung_Stammdaten!I$32,Bewertung_Stammdaten!I$33)))))))))</f>
        <v>3</v>
      </c>
      <c r="AR19" s="47">
        <f>IF(AO19&lt;Bewertung_Stammdaten!L$24,Bewertung_Stammdaten!K$24,IF(AO19&lt;Bewertung_Stammdaten!L$25,Bewertung_Stammdaten!K$25,IF(AO19&lt;Bewertung_Stammdaten!L$26,Bewertung_Stammdaten!K$26,IF(AO19&lt;Bewertung_Stammdaten!L$27,Bewertung_Stammdaten!K$27,IF(AO19&lt;Bewertung_Stammdaten!L$28,Bewertung_Stammdaten!K$28,IF(AO19&lt;Bewertung_Stammdaten!L$29,Bewertung_Stammdaten!K$29,IF(AO19&lt;Bewertung_Stammdaten!L$30,Bewertung_Stammdaten!K$30,IF(AO19&lt;Bewertung_Stammdaten!L$31,Bewertung_Stammdaten!K$31,IF(AO19&lt;Bewertung_Stammdaten!L$32,Bewertung_Stammdaten!K$32,Bewertung_Stammdaten!K$33)))))))))</f>
        <v>0.5</v>
      </c>
      <c r="AS19" s="47">
        <f>IF(AP19&lt;Bewertung_Stammdaten!N$24,Bewertung_Stammdaten!M$24,IF(AP19&lt;Bewertung_Stammdaten!N$25,Bewertung_Stammdaten!M$25,IF(AP19&lt;Bewertung_Stammdaten!N$26,Bewertung_Stammdaten!M$26,IF(AP19&lt;Bewertung_Stammdaten!N$27,Bewertung_Stammdaten!M$27,IF(AP19&lt;Bewertung_Stammdaten!N$28,Bewertung_Stammdaten!M$28,IF(AP19&lt;Bewertung_Stammdaten!N$29,Bewertung_Stammdaten!M$29,IF(AP19&lt;Bewertung_Stammdaten!N$30,Bewertung_Stammdaten!M$30,IF(AP19&lt;Bewertung_Stammdaten!N$31,Bewertung_Stammdaten!M$31,IF(AP19&lt;Bewertung_Stammdaten!N$32,Bewertung_Stammdaten!M$32,Bewertung_Stammdaten!M$33)))))))))</f>
        <v>5</v>
      </c>
      <c r="AT19" s="49"/>
      <c r="AU19" s="13">
        <f ca="1">VLOOKUP(A19,Ausschüttungsquote!A3:S68,18,FALSE)</f>
        <v>0.54805232558139538</v>
      </c>
      <c r="AV19" s="13">
        <f>VLOOKUP(A19,Ausschüttungsquote!A3:S68,15,FALSE)</f>
        <v>0.52875426173309492</v>
      </c>
      <c r="AW19" s="13">
        <f ca="1">VLOOKUP(A19,Ausschüttungsquote!A3:S68,19,FALSE)</f>
        <v>3.6497226112272463E-2</v>
      </c>
      <c r="AX19" s="36">
        <f ca="1">IF(AU19&lt;Bewertung_Stammdaten!H$11,Bewertung_Stammdaten!G$11,IF(AU19&lt;Bewertung_Stammdaten!H$12,Bewertung_Stammdaten!G$12,IF(AU19&lt;Bewertung_Stammdaten!H$13,Bewertung_Stammdaten!G$13,IF(AU19&lt;Bewertung_Stammdaten!H$14,Bewertung_Stammdaten!G$14,IF(AU19&lt;Bewertung_Stammdaten!H$15,Bewertung_Stammdaten!G$15,IF(AU19&lt;Bewertung_Stammdaten!H$16,Bewertung_Stammdaten!G$16,IF(AU19&lt;Bewertung_Stammdaten!H$17,Bewertung_Stammdaten!G$17,IF(AU19&lt;Bewertung_Stammdaten!H$18,Bewertung_Stammdaten!G$18,IF(AU19&lt;Bewertung_Stammdaten!H$19,Bewertung_Stammdaten!G$19,Bewertung_Stammdaten!G$20)))))))))</f>
        <v>3.5</v>
      </c>
      <c r="AY19" s="47">
        <f>IF(AV19&lt;Bewertung_Stammdaten!B$24,Bewertung_Stammdaten!A$24,IF(AV19&lt;Bewertung_Stammdaten!B$25,Bewertung_Stammdaten!A$25,IF(AV19&lt;Bewertung_Stammdaten!B$26,Bewertung_Stammdaten!A$26,IF(AV19&lt;Bewertung_Stammdaten!B$27,Bewertung_Stammdaten!A$27,IF(AV19&lt;Bewertung_Stammdaten!B$28,Bewertung_Stammdaten!A$28,IF(AV19&lt;Bewertung_Stammdaten!B$29,Bewertung_Stammdaten!A$29,IF(AV19&lt;Bewertung_Stammdaten!B$30,Bewertung_Stammdaten!A$30,IF(AV19&lt;Bewertung_Stammdaten!B$31,Bewertung_Stammdaten!A$31,IF(AV19&lt;Bewertung_Stammdaten!B$32,Bewertung_Stammdaten!A$32,Bewertung_Stammdaten!A$33)))))))))</f>
        <v>3.5</v>
      </c>
      <c r="AZ19" s="36">
        <f ca="1">IF(AW19&lt;Bewertung_Stammdaten!J$11,Bewertung_Stammdaten!I$11,IF(AW19&lt;Bewertung_Stammdaten!J$12,Bewertung_Stammdaten!I$12,IF(AW19&lt;Bewertung_Stammdaten!J$13,Bewertung_Stammdaten!I$13,IF(AW19&lt;Bewertung_Stammdaten!J$14,Bewertung_Stammdaten!I$14,IF(AW19&lt;Bewertung_Stammdaten!J$15,Bewertung_Stammdaten!I$15,IF(AW19&lt;Bewertung_Stammdaten!J$16,Bewertung_Stammdaten!I$16,IF(AW19&lt;Bewertung_Stammdaten!J$17,Bewertung_Stammdaten!I$17,IF(AW19&lt;Bewertung_Stammdaten!J$18,Bewertung_Stammdaten!I$18,IF(AW19&lt;Bewertung_Stammdaten!J$19,Bewertung_Stammdaten!I$19,Bewertung_Stammdaten!I$20)))))))))</f>
        <v>2.5</v>
      </c>
    </row>
    <row r="20" spans="1:52" x14ac:dyDescent="0.25">
      <c r="A20" s="44" t="s">
        <v>36</v>
      </c>
      <c r="B20" s="44" t="s">
        <v>37</v>
      </c>
      <c r="C20" s="36">
        <f t="shared" ca="1" si="0"/>
        <v>96</v>
      </c>
      <c r="D20" s="49"/>
      <c r="E20" s="12">
        <f ca="1">VLOOKUP(A20,KGV!A3:S68,18,FALSE)</f>
        <v>13.121944444444445</v>
      </c>
      <c r="F20" s="12">
        <f>VLOOKUP(A20,KGV!A3:S68,15,FALSE)</f>
        <v>12.2</v>
      </c>
      <c r="G20" s="13">
        <f ca="1">VLOOKUP(A20,KGV!A3:S68,19,FALSE)</f>
        <v>7.5569216757741531E-2</v>
      </c>
      <c r="H20" s="19">
        <f t="shared" ca="1" si="1"/>
        <v>34.366997354497357</v>
      </c>
      <c r="I20" s="13">
        <f t="shared" ca="1" si="2"/>
        <v>1.8169669962702755</v>
      </c>
      <c r="J20" s="36">
        <f ca="1">IF(G20&lt;Bewertung_Stammdaten!B$11,Bewertung_Stammdaten!A$11,IF(G20&lt;Bewertung_Stammdaten!B$12,Bewertung_Stammdaten!A$12,IF(G20&lt;Bewertung_Stammdaten!B$13,Bewertung_Stammdaten!A$13,IF(G20&lt;Bewertung_Stammdaten!B$14,Bewertung_Stammdaten!A$14,IF(G20&lt;Bewertung_Stammdaten!B$15,Bewertung_Stammdaten!A$15,IF(G20&lt;Bewertung_Stammdaten!B$16,Bewertung_Stammdaten!A$16,IF(G20&lt;Bewertung_Stammdaten!B$17,Bewertung_Stammdaten!A$17,IF(G20&lt;Bewertung_Stammdaten!B$18,Bewertung_Stammdaten!A$18,IF(G20&lt;Bewertung_Stammdaten!B$19,Bewertung_Stammdaten!A$19,Bewertung_Stammdaten!A$20)))))))))</f>
        <v>8</v>
      </c>
      <c r="K20" s="36">
        <f ca="1">IF(I20&lt;Bewertung_Stammdaten!N$11,Bewertung_Stammdaten!M$11,IF(I20&lt;Bewertung_Stammdaten!N$12,Bewertung_Stammdaten!M$12,IF(I20&lt;Bewertung_Stammdaten!N$13,Bewertung_Stammdaten!M$13,IF(I20&lt;Bewertung_Stammdaten!N$14,Bewertung_Stammdaten!M$14,IF(I20&lt;Bewertung_Stammdaten!N$15,Bewertung_Stammdaten!M$15,IF(I20&lt;Bewertung_Stammdaten!N$16,Bewertung_Stammdaten!M$16,IF(I20&lt;Bewertung_Stammdaten!N$17,Bewertung_Stammdaten!M$17,IF(I20&lt;Bewertung_Stammdaten!N$18,Bewertung_Stammdaten!M$18,IF(I20&lt;Bewertung_Stammdaten!N$19,Bewertung_Stammdaten!M$19,Bewertung_Stammdaten!M$20)))))))))</f>
        <v>1</v>
      </c>
      <c r="L20" s="49"/>
      <c r="M20" s="12">
        <f ca="1">VLOOKUP(A20,Buchwert_je_Aktie!A3:AC68,18,FALSE)</f>
        <v>16.023333333333333</v>
      </c>
      <c r="N20" s="12">
        <f>VLOOKUP(A20,Buchwert_je_Aktie!A3:AC68,15,FALSE)</f>
        <v>7.8855555555555554</v>
      </c>
      <c r="O20" s="13">
        <f ca="1">VLOOKUP(A20,Buchwert_je_Aktie!A3:AC68,19,FALSE)</f>
        <v>1.0319853459208117</v>
      </c>
      <c r="P20" s="13">
        <f>VLOOKUP(A20,Buchwert_je_Aktie!A3:AC68,29,FALSE)</f>
        <v>4.2274052478134205E-2</v>
      </c>
      <c r="Q20" s="19">
        <f t="shared" ca="1" si="6"/>
        <v>16.023333333333333</v>
      </c>
      <c r="R20" s="13">
        <f t="shared" ca="1" si="3"/>
        <v>1.0319853459208117</v>
      </c>
      <c r="S20" s="58">
        <f ca="1">IF(O20&lt;Bewertung_Stammdaten!D$24,Bewertung_Stammdaten!C$24,IF(O20&lt;Bewertung_Stammdaten!D$25,Bewertung_Stammdaten!C$25,IF(O20&lt;Bewertung_Stammdaten!D$26,Bewertung_Stammdaten!C$26,IF(O20&lt;Bewertung_Stammdaten!D$27,Bewertung_Stammdaten!C$27,IF(O20&lt;Bewertung_Stammdaten!D$28,Bewertung_Stammdaten!C$28,IF(O20&lt;Bewertung_Stammdaten!D$29,Bewertung_Stammdaten!C$29,IF(O20&lt;Bewertung_Stammdaten!D$30,Bewertung_Stammdaten!C$30,IF(O20&lt;Bewertung_Stammdaten!D$31,Bewertung_Stammdaten!C$31,IF(O20&lt;Bewertung_Stammdaten!D$32,Bewertung_Stammdaten!C$32,Bewertung_Stammdaten!C$33)))))))))</f>
        <v>20</v>
      </c>
      <c r="T20" s="58">
        <f>IF(P20&lt;Bewertung_Stammdaten!F$24,Bewertung_Stammdaten!E$24,IF(P20&lt;Bewertung_Stammdaten!F$25,Bewertung_Stammdaten!E$25,IF(P20&lt;Bewertung_Stammdaten!F$26,Bewertung_Stammdaten!E$26,IF(P20&lt;Bewertung_Stammdaten!F$27,Bewertung_Stammdaten!E$27,IF(P20&lt;Bewertung_Stammdaten!F$28,Bewertung_Stammdaten!E$28,IF(P20&lt;Bewertung_Stammdaten!F$29,Bewertung_Stammdaten!E$29,IF(P20&lt;Bewertung_Stammdaten!F$30,Bewertung_Stammdaten!E$30,IF(P20&lt;Bewertung_Stammdaten!F$31,Bewertung_Stammdaten!E$31,IF(P20&lt;Bewertung_Stammdaten!F$32,Bewertung_Stammdaten!E$32,Bewertung_Stammdaten!E$33)))))))))</f>
        <v>12</v>
      </c>
      <c r="U20" s="58">
        <f ca="1">IF(R20&lt;Bewertung_Stammdaten!H$24,Bewertung_Stammdaten!G$24,IF(R20&lt;Bewertung_Stammdaten!H$25,Bewertung_Stammdaten!G$25,IF(R20&lt;Bewertung_Stammdaten!H$26,Bewertung_Stammdaten!G$26,IF(R20&lt;Bewertung_Stammdaten!H$27,Bewertung_Stammdaten!G$27,IF(R20&lt;Bewertung_Stammdaten!H$28,Bewertung_Stammdaten!G$28,IF(R20&lt;Bewertung_Stammdaten!H$29,Bewertung_Stammdaten!G$29,IF(R20&lt;Bewertung_Stammdaten!H$30,Bewertung_Stammdaten!G$30,IF(R20&lt;Bewertung_Stammdaten!H$31,Bewertung_Stammdaten!G$31,IF(R20&lt;Bewertung_Stammdaten!H$32,Bewertung_Stammdaten!G$32,Bewertung_Stammdaten!G$33)))))))))</f>
        <v>10</v>
      </c>
      <c r="V20" s="49"/>
      <c r="W20" s="17">
        <f ca="1">VLOOKUP(A20,Ergebnis_je_Aktie_verwässert!A3:S68,18,FALSE)</f>
        <v>2.6135555555555552</v>
      </c>
      <c r="X20" s="17">
        <f>VLOOKUP(A20,Ergebnis_je_Aktie_verwässert!A3:S68,15,FALSE)</f>
        <v>2.253333333333333</v>
      </c>
      <c r="Y20" s="13">
        <f ca="1">VLOOKUP(A20,Ergebnis_je_Aktie_verwässert!A3:S68,19,FALSE)</f>
        <v>0.15986193293885598</v>
      </c>
      <c r="Z20" s="46">
        <f>VLOOKUP(A20,Ergebnis_je_Aktie_verwässert!A3:AC68,29,FALSE)</f>
        <v>-0.61818181818181817</v>
      </c>
      <c r="AA20" s="19">
        <f t="shared" ca="1" si="4"/>
        <v>0.99790303030303018</v>
      </c>
      <c r="AB20" s="13">
        <f t="shared" ca="1" si="5"/>
        <v>-0.55714362560516406</v>
      </c>
      <c r="AC20" s="36">
        <f ca="1">IF(Y20&lt;Bewertung_Stammdaten!L$11,Bewertung_Stammdaten!K$11,IF(Y20&lt;Bewertung_Stammdaten!L$12,Bewertung_Stammdaten!K$12,IF(Y20&lt;Bewertung_Stammdaten!L$13,Bewertung_Stammdaten!K$13,IF(Y20&lt;Bewertung_Stammdaten!L$14,Bewertung_Stammdaten!K$14,IF(Y20&lt;Bewertung_Stammdaten!L$15,Bewertung_Stammdaten!K$15,IF(Y20&lt;Bewertung_Stammdaten!L$16,Bewertung_Stammdaten!K$16,IF(Y20&lt;Bewertung_Stammdaten!L$17,Bewertung_Stammdaten!K$17,IF(Y20&lt;Bewertung_Stammdaten!L$18,Bewertung_Stammdaten!K$18,IF(Y20&lt;Bewertung_Stammdaten!L$19,Bewertung_Stammdaten!K$19,Bewertung_Stammdaten!K$20)))))))))</f>
        <v>6</v>
      </c>
      <c r="AD20" s="36">
        <f>IF(Z20&lt;Bewertung_Stammdaten!R$11,Bewertung_Stammdaten!Q$11,IF(Z20&lt;Bewertung_Stammdaten!R$12,Bewertung_Stammdaten!Q$12,IF(Z20&lt;Bewertung_Stammdaten!R$13,Bewertung_Stammdaten!Q$13,IF(Z20&lt;Bewertung_Stammdaten!R$14,Bewertung_Stammdaten!Q$14,IF(Z20&lt;Bewertung_Stammdaten!R$15,Bewertung_Stammdaten!Q$15,IF(Z20&lt;Bewertung_Stammdaten!R$16,Bewertung_Stammdaten!Q$16,IF(Z20&lt;Bewertung_Stammdaten!R$17,Bewertung_Stammdaten!Q$17,IF(Z20&lt;Bewertung_Stammdaten!R$18,Bewertung_Stammdaten!Q$18,IF(Z20&lt;Bewertung_Stammdaten!R$19,Bewertung_Stammdaten!Q$19,Bewertung_Stammdaten!Q$20)))))))))</f>
        <v>1</v>
      </c>
      <c r="AE20" s="36">
        <f ca="1">IF(AB20&lt;Bewertung_Stammdaten!P$11,Bewertung_Stammdaten!O$11,IF(AB20&lt;Bewertung_Stammdaten!P$12,Bewertung_Stammdaten!O$12,IF(AB20&lt;Bewertung_Stammdaten!P$13,Bewertung_Stammdaten!O$13,IF(AB20&lt;Bewertung_Stammdaten!P$14,Bewertung_Stammdaten!O$14,IF(AB20&lt;Bewertung_Stammdaten!P$15,Bewertung_Stammdaten!O$15,IF(AB20&lt;Bewertung_Stammdaten!P$16,Bewertung_Stammdaten!O$16,IF(AB20&lt;Bewertung_Stammdaten!P$17,Bewertung_Stammdaten!O$17,IF(AB20&lt;Bewertung_Stammdaten!P$18,Bewertung_Stammdaten!O$18,IF(AB20&lt;Bewertung_Stammdaten!P$19,Bewertung_Stammdaten!O$19,Bewertung_Stammdaten!O$20)))))))))</f>
        <v>1</v>
      </c>
      <c r="AF20" s="49"/>
      <c r="AG20" s="13">
        <f ca="1">VLOOKUP(A20,Dividendenrendite!A3:S68,18,FALSE)</f>
        <v>3.6965833333333337E-2</v>
      </c>
      <c r="AH20" s="13">
        <f>VLOOKUP(A20,Dividendenrendite!A3:S68,15,FALSE)</f>
        <v>2.7188888888888887E-2</v>
      </c>
      <c r="AI20" s="13">
        <f ca="1">VLOOKUP(A20,Dividendenrendite!A3:S68,19,FALSE)</f>
        <v>0.35959337964854954</v>
      </c>
      <c r="AJ20" s="36">
        <f ca="1">IF(AG20&lt;Bewertung_Stammdaten!D$11,Bewertung_Stammdaten!C$11,IF(AG20&lt;Bewertung_Stammdaten!D$12,Bewertung_Stammdaten!C$12,IF(AG20&lt;Bewertung_Stammdaten!D$13,Bewertung_Stammdaten!C$13,IF(AG20&lt;Bewertung_Stammdaten!D$14,Bewertung_Stammdaten!C$14,IF(AG20&lt;Bewertung_Stammdaten!D$15,Bewertung_Stammdaten!C$15,IF(AG20&lt;Bewertung_Stammdaten!D$16,Bewertung_Stammdaten!C$16,IF(AG20&lt;Bewertung_Stammdaten!D$17,Bewertung_Stammdaten!C$17,IF(AG20&lt;Bewertung_Stammdaten!D$18,Bewertung_Stammdaten!C$18,IF(AG20&lt;Bewertung_Stammdaten!D$19,Bewertung_Stammdaten!C$19,Bewertung_Stammdaten!C$20)))))))))</f>
        <v>12</v>
      </c>
      <c r="AK20" s="36">
        <f>IF(AH20&lt;Bewertung_Stammdaten!T$11,Bewertung_Stammdaten!S$11,IF(AH20&lt;Bewertung_Stammdaten!T$12,Bewertung_Stammdaten!S$12,IF(AH20&lt;Bewertung_Stammdaten!T$13,Bewertung_Stammdaten!S$13,IF(AH20&lt;Bewertung_Stammdaten!T$14,Bewertung_Stammdaten!S$14,IF(AH20&lt;Bewertung_Stammdaten!T$15,Bewertung_Stammdaten!S$15,IF(AH20&lt;Bewertung_Stammdaten!T$16,Bewertung_Stammdaten!S$16,IF(AH20&lt;Bewertung_Stammdaten!T$17,Bewertung_Stammdaten!S$17,IF(AH20&lt;Bewertung_Stammdaten!T$18,Bewertung_Stammdaten!S$18,IF(AH20&lt;Bewertung_Stammdaten!T$19,Bewertung_Stammdaten!S$19,Bewertung_Stammdaten!S$20)))))))))</f>
        <v>6</v>
      </c>
      <c r="AL20" s="36">
        <f ca="1">IF(AI20&lt;Bewertung_Stammdaten!F$11,Bewertung_Stammdaten!E$11,IF(AI20&lt;Bewertung_Stammdaten!F$12,Bewertung_Stammdaten!E$12,IF(AI20&lt;Bewertung_Stammdaten!F$13,Bewertung_Stammdaten!E$13,IF(AI20&lt;Bewertung_Stammdaten!F$14,Bewertung_Stammdaten!E$14,IF(AI20&lt;Bewertung_Stammdaten!F$15,Bewertung_Stammdaten!E$15,IF(AI20&lt;Bewertung_Stammdaten!F$16,Bewertung_Stammdaten!E$16,IF(AI20&lt;Bewertung_Stammdaten!F$17,Bewertung_Stammdaten!E$17,IF(AI20&lt;Bewertung_Stammdaten!F$18,Bewertung_Stammdaten!E$18,IF(AI20&lt;Bewertung_Stammdaten!F$19,Bewertung_Stammdaten!E$19,Bewertung_Stammdaten!E$20)))))))))</f>
        <v>5</v>
      </c>
      <c r="AM20" s="49"/>
      <c r="AN20" s="13">
        <f>VLOOKUP(A20,Aktien_im_Umlauf_splitbereinigt!A3:W68,13,FALSE)</f>
        <v>0</v>
      </c>
      <c r="AO20" s="13">
        <f>VLOOKUP(A20,Aktien_im_Umlauf_splitbereinigt!A3:W68,22,FALSE)</f>
        <v>-1.3571846577144671E-2</v>
      </c>
      <c r="AP20" s="13">
        <f>VLOOKUP(A20,Aktien_im_Umlauf_splitbereinigt!A3:W68,23,FALSE)</f>
        <v>-1</v>
      </c>
      <c r="AQ20" s="47">
        <f>IF(AN20&lt;Bewertung_Stammdaten!J$24,Bewertung_Stammdaten!I$24,IF(AN20&lt;Bewertung_Stammdaten!J$25,Bewertung_Stammdaten!I$25,IF(AN20&lt;Bewertung_Stammdaten!J$26,Bewertung_Stammdaten!I$26,IF(AN20&lt;Bewertung_Stammdaten!J$27,Bewertung_Stammdaten!I$27,IF(AN20&lt;Bewertung_Stammdaten!J$28,Bewertung_Stammdaten!I$28,IF(AN20&lt;Bewertung_Stammdaten!J$29,Bewertung_Stammdaten!I$29,IF(AN20&lt;Bewertung_Stammdaten!J$30,Bewertung_Stammdaten!I$30,IF(AN20&lt;Bewertung_Stammdaten!J$31,Bewertung_Stammdaten!I$31,IF(AN20&lt;Bewertung_Stammdaten!J$32,Bewertung_Stammdaten!I$32,Bewertung_Stammdaten!I$33)))))))))</f>
        <v>1</v>
      </c>
      <c r="AR20" s="47">
        <f>IF(AO20&lt;Bewertung_Stammdaten!L$24,Bewertung_Stammdaten!K$24,IF(AO20&lt;Bewertung_Stammdaten!L$25,Bewertung_Stammdaten!K$25,IF(AO20&lt;Bewertung_Stammdaten!L$26,Bewertung_Stammdaten!K$26,IF(AO20&lt;Bewertung_Stammdaten!L$27,Bewertung_Stammdaten!K$27,IF(AO20&lt;Bewertung_Stammdaten!L$28,Bewertung_Stammdaten!K$28,IF(AO20&lt;Bewertung_Stammdaten!L$29,Bewertung_Stammdaten!K$29,IF(AO20&lt;Bewertung_Stammdaten!L$30,Bewertung_Stammdaten!K$30,IF(AO20&lt;Bewertung_Stammdaten!L$31,Bewertung_Stammdaten!K$31,IF(AO20&lt;Bewertung_Stammdaten!L$32,Bewertung_Stammdaten!K$32,Bewertung_Stammdaten!K$33)))))))))</f>
        <v>2.5</v>
      </c>
      <c r="AS20" s="47">
        <f>IF(AP20&lt;Bewertung_Stammdaten!N$24,Bewertung_Stammdaten!M$24,IF(AP20&lt;Bewertung_Stammdaten!N$25,Bewertung_Stammdaten!M$25,IF(AP20&lt;Bewertung_Stammdaten!N$26,Bewertung_Stammdaten!M$26,IF(AP20&lt;Bewertung_Stammdaten!N$27,Bewertung_Stammdaten!M$27,IF(AP20&lt;Bewertung_Stammdaten!N$28,Bewertung_Stammdaten!M$28,IF(AP20&lt;Bewertung_Stammdaten!N$29,Bewertung_Stammdaten!M$29,IF(AP20&lt;Bewertung_Stammdaten!N$30,Bewertung_Stammdaten!M$30,IF(AP20&lt;Bewertung_Stammdaten!N$31,Bewertung_Stammdaten!M$31,IF(AP20&lt;Bewertung_Stammdaten!N$32,Bewertung_Stammdaten!M$32,Bewertung_Stammdaten!M$33)))))))))</f>
        <v>1</v>
      </c>
      <c r="AT20" s="49"/>
      <c r="AU20" s="13">
        <f ca="1">VLOOKUP(A20,Ausschüttungsquote!A3:S68,18,FALSE)</f>
        <v>0.48612176317841616</v>
      </c>
      <c r="AV20" s="13">
        <f>VLOOKUP(A20,Ausschüttungsquote!A3:S68,15,FALSE)</f>
        <v>0.34961890868396467</v>
      </c>
      <c r="AW20" s="13">
        <f ca="1">VLOOKUP(A20,Ausschüttungsquote!A3:S68,19,FALSE)</f>
        <v>0.39043327206836564</v>
      </c>
      <c r="AX20" s="36">
        <f ca="1">IF(AU20&lt;Bewertung_Stammdaten!H$11,Bewertung_Stammdaten!G$11,IF(AU20&lt;Bewertung_Stammdaten!H$12,Bewertung_Stammdaten!G$12,IF(AU20&lt;Bewertung_Stammdaten!H$13,Bewertung_Stammdaten!G$13,IF(AU20&lt;Bewertung_Stammdaten!H$14,Bewertung_Stammdaten!G$14,IF(AU20&lt;Bewertung_Stammdaten!H$15,Bewertung_Stammdaten!G$15,IF(AU20&lt;Bewertung_Stammdaten!H$16,Bewertung_Stammdaten!G$16,IF(AU20&lt;Bewertung_Stammdaten!H$17,Bewertung_Stammdaten!G$17,IF(AU20&lt;Bewertung_Stammdaten!H$18,Bewertung_Stammdaten!G$18,IF(AU20&lt;Bewertung_Stammdaten!H$19,Bewertung_Stammdaten!G$19,Bewertung_Stammdaten!G$20)))))))))</f>
        <v>4</v>
      </c>
      <c r="AY20" s="47">
        <f>IF(AV20&lt;Bewertung_Stammdaten!B$24,Bewertung_Stammdaten!A$24,IF(AV20&lt;Bewertung_Stammdaten!B$25,Bewertung_Stammdaten!A$25,IF(AV20&lt;Bewertung_Stammdaten!B$26,Bewertung_Stammdaten!A$26,IF(AV20&lt;Bewertung_Stammdaten!B$27,Bewertung_Stammdaten!A$27,IF(AV20&lt;Bewertung_Stammdaten!B$28,Bewertung_Stammdaten!A$28,IF(AV20&lt;Bewertung_Stammdaten!B$29,Bewertung_Stammdaten!A$29,IF(AV20&lt;Bewertung_Stammdaten!B$30,Bewertung_Stammdaten!A$30,IF(AV20&lt;Bewertung_Stammdaten!B$31,Bewertung_Stammdaten!A$31,IF(AV20&lt;Bewertung_Stammdaten!B$32,Bewertung_Stammdaten!A$32,Bewertung_Stammdaten!A$33)))))))))</f>
        <v>5</v>
      </c>
      <c r="AZ20" s="36">
        <f ca="1">IF(AW20&lt;Bewertung_Stammdaten!J$11,Bewertung_Stammdaten!I$11,IF(AW20&lt;Bewertung_Stammdaten!J$12,Bewertung_Stammdaten!I$12,IF(AW20&lt;Bewertung_Stammdaten!J$13,Bewertung_Stammdaten!I$13,IF(AW20&lt;Bewertung_Stammdaten!J$14,Bewertung_Stammdaten!I$14,IF(AW20&lt;Bewertung_Stammdaten!J$15,Bewertung_Stammdaten!I$15,IF(AW20&lt;Bewertung_Stammdaten!J$16,Bewertung_Stammdaten!I$16,IF(AW20&lt;Bewertung_Stammdaten!J$17,Bewertung_Stammdaten!I$17,IF(AW20&lt;Bewertung_Stammdaten!J$18,Bewertung_Stammdaten!I$18,IF(AW20&lt;Bewertung_Stammdaten!J$19,Bewertung_Stammdaten!I$19,Bewertung_Stammdaten!I$20)))))))))</f>
        <v>0.5</v>
      </c>
    </row>
    <row r="21" spans="1:52" x14ac:dyDescent="0.25">
      <c r="A21" s="44" t="s">
        <v>38</v>
      </c>
      <c r="B21" s="44" t="s">
        <v>39</v>
      </c>
      <c r="C21" s="36">
        <f t="shared" ca="1" si="0"/>
        <v>87.5</v>
      </c>
      <c r="D21" s="49"/>
      <c r="E21" s="12">
        <f ca="1">VLOOKUP(A21,KGV!A3:S68,18,FALSE)</f>
        <v>16.056111111111111</v>
      </c>
      <c r="F21" s="12">
        <f>VLOOKUP(A21,KGV!A3:S68,15,FALSE)</f>
        <v>15.8</v>
      </c>
      <c r="G21" s="13">
        <f ca="1">VLOOKUP(A21,KGV!A3:S68,19,FALSE)</f>
        <v>1.620956399437401E-2</v>
      </c>
      <c r="H21" s="19">
        <f t="shared" ca="1" si="1"/>
        <v>16.056111111111111</v>
      </c>
      <c r="I21" s="13">
        <f t="shared" ca="1" si="2"/>
        <v>1.620956399437401E-2</v>
      </c>
      <c r="J21" s="36">
        <f ca="1">IF(G21&lt;Bewertung_Stammdaten!B$11,Bewertung_Stammdaten!A$11,IF(G21&lt;Bewertung_Stammdaten!B$12,Bewertung_Stammdaten!A$12,IF(G21&lt;Bewertung_Stammdaten!B$13,Bewertung_Stammdaten!A$13,IF(G21&lt;Bewertung_Stammdaten!B$14,Bewertung_Stammdaten!A$14,IF(G21&lt;Bewertung_Stammdaten!B$15,Bewertung_Stammdaten!A$15,IF(G21&lt;Bewertung_Stammdaten!B$16,Bewertung_Stammdaten!A$16,IF(G21&lt;Bewertung_Stammdaten!B$17,Bewertung_Stammdaten!A$17,IF(G21&lt;Bewertung_Stammdaten!B$18,Bewertung_Stammdaten!A$18,IF(G21&lt;Bewertung_Stammdaten!B$19,Bewertung_Stammdaten!A$19,Bewertung_Stammdaten!A$20)))))))))</f>
        <v>10</v>
      </c>
      <c r="K21" s="36">
        <f ca="1">IF(I21&lt;Bewertung_Stammdaten!N$11,Bewertung_Stammdaten!M$11,IF(I21&lt;Bewertung_Stammdaten!N$12,Bewertung_Stammdaten!M$12,IF(I21&lt;Bewertung_Stammdaten!N$13,Bewertung_Stammdaten!M$13,IF(I21&lt;Bewertung_Stammdaten!N$14,Bewertung_Stammdaten!M$14,IF(I21&lt;Bewertung_Stammdaten!N$15,Bewertung_Stammdaten!M$15,IF(I21&lt;Bewertung_Stammdaten!N$16,Bewertung_Stammdaten!M$16,IF(I21&lt;Bewertung_Stammdaten!N$17,Bewertung_Stammdaten!M$17,IF(I21&lt;Bewertung_Stammdaten!N$18,Bewertung_Stammdaten!M$18,IF(I21&lt;Bewertung_Stammdaten!N$19,Bewertung_Stammdaten!M$19,Bewertung_Stammdaten!M$20)))))))))</f>
        <v>5</v>
      </c>
      <c r="L21" s="49"/>
      <c r="M21" s="12">
        <f ca="1">VLOOKUP(A21,Buchwert_je_Aktie!A3:AC68,18,FALSE)</f>
        <v>3.7505555555555556</v>
      </c>
      <c r="N21" s="12">
        <f>VLOOKUP(A21,Buchwert_je_Aktie!A3:AC68,15,FALSE)</f>
        <v>3.73</v>
      </c>
      <c r="O21" s="13">
        <f ca="1">VLOOKUP(A21,Buchwert_je_Aktie!A3:AC68,19,FALSE)</f>
        <v>5.5108728030979215E-3</v>
      </c>
      <c r="P21" s="13">
        <f>VLOOKUP(A21,Buchwert_je_Aktie!A3:AC68,29,FALSE)</f>
        <v>-0.11382113821138207</v>
      </c>
      <c r="Q21" s="19">
        <f t="shared" ca="1" si="6"/>
        <v>3.3236630532971998</v>
      </c>
      <c r="R21" s="13">
        <f t="shared" ca="1" si="3"/>
        <v>-0.10893751922327077</v>
      </c>
      <c r="S21" s="58">
        <f ca="1">IF(O21&lt;Bewertung_Stammdaten!D$24,Bewertung_Stammdaten!C$24,IF(O21&lt;Bewertung_Stammdaten!D$25,Bewertung_Stammdaten!C$25,IF(O21&lt;Bewertung_Stammdaten!D$26,Bewertung_Stammdaten!C$26,IF(O21&lt;Bewertung_Stammdaten!D$27,Bewertung_Stammdaten!C$27,IF(O21&lt;Bewertung_Stammdaten!D$28,Bewertung_Stammdaten!C$28,IF(O21&lt;Bewertung_Stammdaten!D$29,Bewertung_Stammdaten!C$29,IF(O21&lt;Bewertung_Stammdaten!D$30,Bewertung_Stammdaten!C$30,IF(O21&lt;Bewertung_Stammdaten!D$31,Bewertung_Stammdaten!C$31,IF(O21&lt;Bewertung_Stammdaten!D$32,Bewertung_Stammdaten!C$32,Bewertung_Stammdaten!C$33)))))))))</f>
        <v>4</v>
      </c>
      <c r="T21" s="58">
        <f>IF(P21&lt;Bewertung_Stammdaten!F$24,Bewertung_Stammdaten!E$24,IF(P21&lt;Bewertung_Stammdaten!F$25,Bewertung_Stammdaten!E$25,IF(P21&lt;Bewertung_Stammdaten!F$26,Bewertung_Stammdaten!E$26,IF(P21&lt;Bewertung_Stammdaten!F$27,Bewertung_Stammdaten!E$27,IF(P21&lt;Bewertung_Stammdaten!F$28,Bewertung_Stammdaten!E$28,IF(P21&lt;Bewertung_Stammdaten!F$29,Bewertung_Stammdaten!E$29,IF(P21&lt;Bewertung_Stammdaten!F$30,Bewertung_Stammdaten!E$30,IF(P21&lt;Bewertung_Stammdaten!F$31,Bewertung_Stammdaten!E$31,IF(P21&lt;Bewertung_Stammdaten!F$32,Bewertung_Stammdaten!E$32,Bewertung_Stammdaten!E$33)))))))))</f>
        <v>7.5</v>
      </c>
      <c r="U21" s="58">
        <f ca="1">IF(R21&lt;Bewertung_Stammdaten!H$24,Bewertung_Stammdaten!G$24,IF(R21&lt;Bewertung_Stammdaten!H$25,Bewertung_Stammdaten!G$25,IF(R21&lt;Bewertung_Stammdaten!H$26,Bewertung_Stammdaten!G$26,IF(R21&lt;Bewertung_Stammdaten!H$27,Bewertung_Stammdaten!G$27,IF(R21&lt;Bewertung_Stammdaten!H$28,Bewertung_Stammdaten!G$28,IF(R21&lt;Bewertung_Stammdaten!H$29,Bewertung_Stammdaten!G$29,IF(R21&lt;Bewertung_Stammdaten!H$30,Bewertung_Stammdaten!G$30,IF(R21&lt;Bewertung_Stammdaten!H$31,Bewertung_Stammdaten!G$31,IF(R21&lt;Bewertung_Stammdaten!H$32,Bewertung_Stammdaten!G$32,Bewertung_Stammdaten!G$33)))))))))</f>
        <v>1</v>
      </c>
      <c r="V21" s="49"/>
      <c r="W21" s="17">
        <f ca="1">VLOOKUP(A21,Ergebnis_je_Aktie_verwässert!A3:S68,18,FALSE)</f>
        <v>2.2045277777777779</v>
      </c>
      <c r="X21" s="17">
        <f>VLOOKUP(A21,Ergebnis_je_Aktie_verwässert!A3:S68,15,FALSE)</f>
        <v>1.5214285714285711</v>
      </c>
      <c r="Y21" s="13">
        <f ca="1">VLOOKUP(A21,Ergebnis_je_Aktie_verwässert!A3:S68,19,FALSE)</f>
        <v>0.44898539384454916</v>
      </c>
      <c r="Z21" s="46">
        <f>VLOOKUP(A21,Ergebnis_je_Aktie_verwässert!A3:AC68,29,FALSE)</f>
        <v>4.0609137055837463E-2</v>
      </c>
      <c r="AA21" s="19">
        <f t="shared" ca="1" si="4"/>
        <v>2.2045277777777779</v>
      </c>
      <c r="AB21" s="13">
        <f t="shared" ca="1" si="5"/>
        <v>0.44898539384454916</v>
      </c>
      <c r="AC21" s="36">
        <f ca="1">IF(Y21&lt;Bewertung_Stammdaten!L$11,Bewertung_Stammdaten!K$11,IF(Y21&lt;Bewertung_Stammdaten!L$12,Bewertung_Stammdaten!K$12,IF(Y21&lt;Bewertung_Stammdaten!L$13,Bewertung_Stammdaten!K$13,IF(Y21&lt;Bewertung_Stammdaten!L$14,Bewertung_Stammdaten!K$14,IF(Y21&lt;Bewertung_Stammdaten!L$15,Bewertung_Stammdaten!K$15,IF(Y21&lt;Bewertung_Stammdaten!L$16,Bewertung_Stammdaten!K$16,IF(Y21&lt;Bewertung_Stammdaten!L$17,Bewertung_Stammdaten!K$17,IF(Y21&lt;Bewertung_Stammdaten!L$18,Bewertung_Stammdaten!K$18,IF(Y21&lt;Bewertung_Stammdaten!L$19,Bewertung_Stammdaten!K$19,Bewertung_Stammdaten!K$20)))))))))</f>
        <v>12</v>
      </c>
      <c r="AD21" s="36">
        <f>IF(Z21&lt;Bewertung_Stammdaten!R$11,Bewertung_Stammdaten!Q$11,IF(Z21&lt;Bewertung_Stammdaten!R$12,Bewertung_Stammdaten!Q$12,IF(Z21&lt;Bewertung_Stammdaten!R$13,Bewertung_Stammdaten!Q$13,IF(Z21&lt;Bewertung_Stammdaten!R$14,Bewertung_Stammdaten!Q$14,IF(Z21&lt;Bewertung_Stammdaten!R$15,Bewertung_Stammdaten!Q$15,IF(Z21&lt;Bewertung_Stammdaten!R$16,Bewertung_Stammdaten!Q$16,IF(Z21&lt;Bewertung_Stammdaten!R$17,Bewertung_Stammdaten!Q$17,IF(Z21&lt;Bewertung_Stammdaten!R$18,Bewertung_Stammdaten!Q$18,IF(Z21&lt;Bewertung_Stammdaten!R$19,Bewertung_Stammdaten!Q$19,Bewertung_Stammdaten!Q$20)))))))))</f>
        <v>8</v>
      </c>
      <c r="AE21" s="36">
        <f ca="1">IF(AB21&lt;Bewertung_Stammdaten!P$11,Bewertung_Stammdaten!O$11,IF(AB21&lt;Bewertung_Stammdaten!P$12,Bewertung_Stammdaten!O$12,IF(AB21&lt;Bewertung_Stammdaten!P$13,Bewertung_Stammdaten!O$13,IF(AB21&lt;Bewertung_Stammdaten!P$14,Bewertung_Stammdaten!O$14,IF(AB21&lt;Bewertung_Stammdaten!P$15,Bewertung_Stammdaten!O$15,IF(AB21&lt;Bewertung_Stammdaten!P$16,Bewertung_Stammdaten!O$16,IF(AB21&lt;Bewertung_Stammdaten!P$17,Bewertung_Stammdaten!O$17,IF(AB21&lt;Bewertung_Stammdaten!P$18,Bewertung_Stammdaten!O$18,IF(AB21&lt;Bewertung_Stammdaten!P$19,Bewertung_Stammdaten!O$19,Bewertung_Stammdaten!O$20)))))))))</f>
        <v>6</v>
      </c>
      <c r="AF21" s="49"/>
      <c r="AG21" s="13">
        <f ca="1">VLOOKUP(A21,Dividendenrendite!A3:S68,18,FALSE)</f>
        <v>4.3148055555555558E-2</v>
      </c>
      <c r="AH21" s="13">
        <f>VLOOKUP(A21,Dividendenrendite!A3:S68,15,FALSE)</f>
        <v>4.357142857142858E-2</v>
      </c>
      <c r="AI21" s="13">
        <f ca="1">VLOOKUP(A21,Dividendenrendite!A3:S68,19,FALSE)</f>
        <v>-9.7167577413480588E-3</v>
      </c>
      <c r="AJ21" s="36">
        <f ca="1">IF(AG21&lt;Bewertung_Stammdaten!D$11,Bewertung_Stammdaten!C$11,IF(AG21&lt;Bewertung_Stammdaten!D$12,Bewertung_Stammdaten!C$12,IF(AG21&lt;Bewertung_Stammdaten!D$13,Bewertung_Stammdaten!C$13,IF(AG21&lt;Bewertung_Stammdaten!D$14,Bewertung_Stammdaten!C$14,IF(AG21&lt;Bewertung_Stammdaten!D$15,Bewertung_Stammdaten!C$15,IF(AG21&lt;Bewertung_Stammdaten!D$16,Bewertung_Stammdaten!C$16,IF(AG21&lt;Bewertung_Stammdaten!D$17,Bewertung_Stammdaten!C$17,IF(AG21&lt;Bewertung_Stammdaten!D$18,Bewertung_Stammdaten!C$18,IF(AG21&lt;Bewertung_Stammdaten!D$19,Bewertung_Stammdaten!C$19,Bewertung_Stammdaten!C$20)))))))))</f>
        <v>13.5</v>
      </c>
      <c r="AK21" s="36">
        <f>IF(AH21&lt;Bewertung_Stammdaten!T$11,Bewertung_Stammdaten!S$11,IF(AH21&lt;Bewertung_Stammdaten!T$12,Bewertung_Stammdaten!S$12,IF(AH21&lt;Bewertung_Stammdaten!T$13,Bewertung_Stammdaten!S$13,IF(AH21&lt;Bewertung_Stammdaten!T$14,Bewertung_Stammdaten!S$14,IF(AH21&lt;Bewertung_Stammdaten!T$15,Bewertung_Stammdaten!S$15,IF(AH21&lt;Bewertung_Stammdaten!T$16,Bewertung_Stammdaten!S$16,IF(AH21&lt;Bewertung_Stammdaten!T$17,Bewertung_Stammdaten!S$17,IF(AH21&lt;Bewertung_Stammdaten!T$18,Bewertung_Stammdaten!S$18,IF(AH21&lt;Bewertung_Stammdaten!T$19,Bewertung_Stammdaten!S$19,Bewertung_Stammdaten!S$20)))))))))</f>
        <v>9</v>
      </c>
      <c r="AL21" s="36">
        <f ca="1">IF(AI21&lt;Bewertung_Stammdaten!F$11,Bewertung_Stammdaten!E$11,IF(AI21&lt;Bewertung_Stammdaten!F$12,Bewertung_Stammdaten!E$12,IF(AI21&lt;Bewertung_Stammdaten!F$13,Bewertung_Stammdaten!E$13,IF(AI21&lt;Bewertung_Stammdaten!F$14,Bewertung_Stammdaten!E$14,IF(AI21&lt;Bewertung_Stammdaten!F$15,Bewertung_Stammdaten!E$15,IF(AI21&lt;Bewertung_Stammdaten!F$16,Bewertung_Stammdaten!E$16,IF(AI21&lt;Bewertung_Stammdaten!F$17,Bewertung_Stammdaten!E$17,IF(AI21&lt;Bewertung_Stammdaten!F$18,Bewertung_Stammdaten!E$18,IF(AI21&lt;Bewertung_Stammdaten!F$19,Bewertung_Stammdaten!E$19,Bewertung_Stammdaten!E$20)))))))))</f>
        <v>2.5</v>
      </c>
      <c r="AM21" s="49"/>
      <c r="AN21" s="13">
        <f>VLOOKUP(A21,Aktien_im_Umlauf_splitbereinigt!A3:W68,13,FALSE)</f>
        <v>4.9358341559724295E-4</v>
      </c>
      <c r="AO21" s="13">
        <f>VLOOKUP(A21,Aktien_im_Umlauf_splitbereinigt!A3:W68,22,FALSE)</f>
        <v>1.0971228623233052E-4</v>
      </c>
      <c r="AP21" s="13">
        <f>VLOOKUP(A21,Aktien_im_Umlauf_splitbereinigt!A3:W68,23,FALSE)</f>
        <v>-99.999989999999997</v>
      </c>
      <c r="AQ21" s="47">
        <f>IF(AN21&lt;Bewertung_Stammdaten!J$24,Bewertung_Stammdaten!I$24,IF(AN21&lt;Bewertung_Stammdaten!J$25,Bewertung_Stammdaten!I$25,IF(AN21&lt;Bewertung_Stammdaten!J$26,Bewertung_Stammdaten!I$26,IF(AN21&lt;Bewertung_Stammdaten!J$27,Bewertung_Stammdaten!I$27,IF(AN21&lt;Bewertung_Stammdaten!J$28,Bewertung_Stammdaten!I$28,IF(AN21&lt;Bewertung_Stammdaten!J$29,Bewertung_Stammdaten!I$29,IF(AN21&lt;Bewertung_Stammdaten!J$30,Bewertung_Stammdaten!I$30,IF(AN21&lt;Bewertung_Stammdaten!J$31,Bewertung_Stammdaten!I$31,IF(AN21&lt;Bewertung_Stammdaten!J$32,Bewertung_Stammdaten!I$32,Bewertung_Stammdaten!I$33)))))))))</f>
        <v>1</v>
      </c>
      <c r="AR21" s="47">
        <f>IF(AO21&lt;Bewertung_Stammdaten!L$24,Bewertung_Stammdaten!K$24,IF(AO21&lt;Bewertung_Stammdaten!L$25,Bewertung_Stammdaten!K$25,IF(AO21&lt;Bewertung_Stammdaten!L$26,Bewertung_Stammdaten!K$26,IF(AO21&lt;Bewertung_Stammdaten!L$27,Bewertung_Stammdaten!K$27,IF(AO21&lt;Bewertung_Stammdaten!L$28,Bewertung_Stammdaten!K$28,IF(AO21&lt;Bewertung_Stammdaten!L$29,Bewertung_Stammdaten!K$29,IF(AO21&lt;Bewertung_Stammdaten!L$30,Bewertung_Stammdaten!K$30,IF(AO21&lt;Bewertung_Stammdaten!L$31,Bewertung_Stammdaten!K$31,IF(AO21&lt;Bewertung_Stammdaten!L$32,Bewertung_Stammdaten!K$32,Bewertung_Stammdaten!K$33)))))))))</f>
        <v>1</v>
      </c>
      <c r="AS21" s="47">
        <f>IF(AP21&lt;Bewertung_Stammdaten!N$24,Bewertung_Stammdaten!M$24,IF(AP21&lt;Bewertung_Stammdaten!N$25,Bewertung_Stammdaten!M$25,IF(AP21&lt;Bewertung_Stammdaten!N$26,Bewertung_Stammdaten!M$26,IF(AP21&lt;Bewertung_Stammdaten!N$27,Bewertung_Stammdaten!M$27,IF(AP21&lt;Bewertung_Stammdaten!N$28,Bewertung_Stammdaten!M$28,IF(AP21&lt;Bewertung_Stammdaten!N$29,Bewertung_Stammdaten!M$29,IF(AP21&lt;Bewertung_Stammdaten!N$30,Bewertung_Stammdaten!M$30,IF(AP21&lt;Bewertung_Stammdaten!N$31,Bewertung_Stammdaten!M$31,IF(AP21&lt;Bewertung_Stammdaten!N$32,Bewertung_Stammdaten!M$32,Bewertung_Stammdaten!M$33)))))))))</f>
        <v>0.5</v>
      </c>
      <c r="AT21" s="49"/>
      <c r="AU21" s="13">
        <f ca="1">VLOOKUP(A21,Ausschüttungsquote!A3:S68,18,FALSE)</f>
        <v>0.68991228070175448</v>
      </c>
      <c r="AV21" s="13">
        <f>VLOOKUP(A21,Ausschüttungsquote!A3:S68,15,FALSE)</f>
        <v>0.71950966813521333</v>
      </c>
      <c r="AW21" s="13">
        <f ca="1">VLOOKUP(A21,Ausschüttungsquote!A3:S68,19,FALSE)</f>
        <v>-4.1135496497451962E-2</v>
      </c>
      <c r="AX21" s="36">
        <f ca="1">IF(AU21&lt;Bewertung_Stammdaten!H$11,Bewertung_Stammdaten!G$11,IF(AU21&lt;Bewertung_Stammdaten!H$12,Bewertung_Stammdaten!G$12,IF(AU21&lt;Bewertung_Stammdaten!H$13,Bewertung_Stammdaten!G$13,IF(AU21&lt;Bewertung_Stammdaten!H$14,Bewertung_Stammdaten!G$14,IF(AU21&lt;Bewertung_Stammdaten!H$15,Bewertung_Stammdaten!G$15,IF(AU21&lt;Bewertung_Stammdaten!H$16,Bewertung_Stammdaten!G$16,IF(AU21&lt;Bewertung_Stammdaten!H$17,Bewertung_Stammdaten!G$17,IF(AU21&lt;Bewertung_Stammdaten!H$18,Bewertung_Stammdaten!G$18,IF(AU21&lt;Bewertung_Stammdaten!H$19,Bewertung_Stammdaten!G$19,Bewertung_Stammdaten!G$20)))))))))</f>
        <v>2</v>
      </c>
      <c r="AY21" s="47">
        <f>IF(AV21&lt;Bewertung_Stammdaten!B$24,Bewertung_Stammdaten!A$24,IF(AV21&lt;Bewertung_Stammdaten!B$25,Bewertung_Stammdaten!A$25,IF(AV21&lt;Bewertung_Stammdaten!B$26,Bewertung_Stammdaten!A$26,IF(AV21&lt;Bewertung_Stammdaten!B$27,Bewertung_Stammdaten!A$27,IF(AV21&lt;Bewertung_Stammdaten!B$28,Bewertung_Stammdaten!A$28,IF(AV21&lt;Bewertung_Stammdaten!B$29,Bewertung_Stammdaten!A$29,IF(AV21&lt;Bewertung_Stammdaten!B$30,Bewertung_Stammdaten!A$30,IF(AV21&lt;Bewertung_Stammdaten!B$31,Bewertung_Stammdaten!A$31,IF(AV21&lt;Bewertung_Stammdaten!B$32,Bewertung_Stammdaten!A$32,Bewertung_Stammdaten!A$33)))))))))</f>
        <v>1.5</v>
      </c>
      <c r="AZ21" s="36">
        <f ca="1">IF(AW21&lt;Bewertung_Stammdaten!J$11,Bewertung_Stammdaten!I$11,IF(AW21&lt;Bewertung_Stammdaten!J$12,Bewertung_Stammdaten!I$12,IF(AW21&lt;Bewertung_Stammdaten!J$13,Bewertung_Stammdaten!I$13,IF(AW21&lt;Bewertung_Stammdaten!J$14,Bewertung_Stammdaten!I$14,IF(AW21&lt;Bewertung_Stammdaten!J$15,Bewertung_Stammdaten!I$15,IF(AW21&lt;Bewertung_Stammdaten!J$16,Bewertung_Stammdaten!I$16,IF(AW21&lt;Bewertung_Stammdaten!J$17,Bewertung_Stammdaten!I$17,IF(AW21&lt;Bewertung_Stammdaten!J$18,Bewertung_Stammdaten!I$18,IF(AW21&lt;Bewertung_Stammdaten!J$19,Bewertung_Stammdaten!I$19,Bewertung_Stammdaten!I$20)))))))))</f>
        <v>3</v>
      </c>
    </row>
    <row r="22" spans="1:52" x14ac:dyDescent="0.25">
      <c r="A22" s="44" t="s">
        <v>40</v>
      </c>
      <c r="B22" s="44" t="s">
        <v>41</v>
      </c>
      <c r="C22" s="36">
        <f t="shared" ca="1" si="0"/>
        <v>80.5</v>
      </c>
      <c r="D22" s="49"/>
      <c r="E22" s="12">
        <f ca="1">VLOOKUP(A22,KGV!A3:S68,18,FALSE)</f>
        <v>16.914999999999999</v>
      </c>
      <c r="F22" s="12">
        <f>VLOOKUP(A22,KGV!A3:S68,15,FALSE)</f>
        <v>23.3</v>
      </c>
      <c r="G22" s="13">
        <f ca="1">VLOOKUP(A22,KGV!A3:S68,19,FALSE)</f>
        <v>-0.27403433476394856</v>
      </c>
      <c r="H22" s="19">
        <f t="shared" ca="1" si="1"/>
        <v>44.028749999999995</v>
      </c>
      <c r="I22" s="13">
        <f t="shared" ca="1" si="2"/>
        <v>0.88964592274678078</v>
      </c>
      <c r="J22" s="36">
        <f ca="1">IF(G22&lt;Bewertung_Stammdaten!B$11,Bewertung_Stammdaten!A$11,IF(G22&lt;Bewertung_Stammdaten!B$12,Bewertung_Stammdaten!A$12,IF(G22&lt;Bewertung_Stammdaten!B$13,Bewertung_Stammdaten!A$13,IF(G22&lt;Bewertung_Stammdaten!B$14,Bewertung_Stammdaten!A$14,IF(G22&lt;Bewertung_Stammdaten!B$15,Bewertung_Stammdaten!A$15,IF(G22&lt;Bewertung_Stammdaten!B$16,Bewertung_Stammdaten!A$16,IF(G22&lt;Bewertung_Stammdaten!B$17,Bewertung_Stammdaten!A$17,IF(G22&lt;Bewertung_Stammdaten!B$18,Bewertung_Stammdaten!A$18,IF(G22&lt;Bewertung_Stammdaten!B$19,Bewertung_Stammdaten!A$19,Bewertung_Stammdaten!A$20)))))))))</f>
        <v>20</v>
      </c>
      <c r="K22" s="36">
        <f ca="1">IF(I22&lt;Bewertung_Stammdaten!N$11,Bewertung_Stammdaten!M$11,IF(I22&lt;Bewertung_Stammdaten!N$12,Bewertung_Stammdaten!M$12,IF(I22&lt;Bewertung_Stammdaten!N$13,Bewertung_Stammdaten!M$13,IF(I22&lt;Bewertung_Stammdaten!N$14,Bewertung_Stammdaten!M$14,IF(I22&lt;Bewertung_Stammdaten!N$15,Bewertung_Stammdaten!M$15,IF(I22&lt;Bewertung_Stammdaten!N$16,Bewertung_Stammdaten!M$16,IF(I22&lt;Bewertung_Stammdaten!N$17,Bewertung_Stammdaten!M$17,IF(I22&lt;Bewertung_Stammdaten!N$18,Bewertung_Stammdaten!M$18,IF(I22&lt;Bewertung_Stammdaten!N$19,Bewertung_Stammdaten!M$19,Bewertung_Stammdaten!M$20)))))))))</f>
        <v>1</v>
      </c>
      <c r="L22" s="49"/>
      <c r="M22" s="12">
        <f ca="1">VLOOKUP(A22,Buchwert_je_Aktie!A3:AC68,18,FALSE)</f>
        <v>5.9864444444444445</v>
      </c>
      <c r="N22" s="12">
        <f>VLOOKUP(A22,Buchwert_je_Aktie!A3:AC68,15,FALSE)</f>
        <v>6.0242857142857149</v>
      </c>
      <c r="O22" s="13">
        <f ca="1">VLOOKUP(A22,Buchwert_je_Aktie!A3:AC68,19,FALSE)</f>
        <v>-6.2814533765447322E-3</v>
      </c>
      <c r="P22" s="13">
        <f>VLOOKUP(A22,Buchwert_je_Aktie!A3:AC68,29,FALSE)</f>
        <v>-0.21199442119944212</v>
      </c>
      <c r="Q22" s="19">
        <f t="shared" ca="1" si="6"/>
        <v>4.7173516194018283</v>
      </c>
      <c r="R22" s="13">
        <f t="shared" ca="1" si="3"/>
        <v>-0.21694424150313507</v>
      </c>
      <c r="S22" s="58">
        <f ca="1">IF(O22&lt;Bewertung_Stammdaten!D$24,Bewertung_Stammdaten!C$24,IF(O22&lt;Bewertung_Stammdaten!D$25,Bewertung_Stammdaten!C$25,IF(O22&lt;Bewertung_Stammdaten!D$26,Bewertung_Stammdaten!C$26,IF(O22&lt;Bewertung_Stammdaten!D$27,Bewertung_Stammdaten!C$27,IF(O22&lt;Bewertung_Stammdaten!D$28,Bewertung_Stammdaten!C$28,IF(O22&lt;Bewertung_Stammdaten!D$29,Bewertung_Stammdaten!C$29,IF(O22&lt;Bewertung_Stammdaten!D$30,Bewertung_Stammdaten!C$30,IF(O22&lt;Bewertung_Stammdaten!D$31,Bewertung_Stammdaten!C$31,IF(O22&lt;Bewertung_Stammdaten!D$32,Bewertung_Stammdaten!C$32,Bewertung_Stammdaten!C$33)))))))))</f>
        <v>2</v>
      </c>
      <c r="T22" s="58">
        <f>IF(P22&lt;Bewertung_Stammdaten!F$24,Bewertung_Stammdaten!E$24,IF(P22&lt;Bewertung_Stammdaten!F$25,Bewertung_Stammdaten!E$25,IF(P22&lt;Bewertung_Stammdaten!F$26,Bewertung_Stammdaten!E$26,IF(P22&lt;Bewertung_Stammdaten!F$27,Bewertung_Stammdaten!E$27,IF(P22&lt;Bewertung_Stammdaten!F$28,Bewertung_Stammdaten!E$28,IF(P22&lt;Bewertung_Stammdaten!F$29,Bewertung_Stammdaten!E$29,IF(P22&lt;Bewertung_Stammdaten!F$30,Bewertung_Stammdaten!E$30,IF(P22&lt;Bewertung_Stammdaten!F$31,Bewertung_Stammdaten!E$31,IF(P22&lt;Bewertung_Stammdaten!F$32,Bewertung_Stammdaten!E$32,Bewertung_Stammdaten!E$33)))))))))</f>
        <v>4.5</v>
      </c>
      <c r="U22" s="58">
        <f ca="1">IF(R22&lt;Bewertung_Stammdaten!H$24,Bewertung_Stammdaten!G$24,IF(R22&lt;Bewertung_Stammdaten!H$25,Bewertung_Stammdaten!G$25,IF(R22&lt;Bewertung_Stammdaten!H$26,Bewertung_Stammdaten!G$26,IF(R22&lt;Bewertung_Stammdaten!H$27,Bewertung_Stammdaten!G$27,IF(R22&lt;Bewertung_Stammdaten!H$28,Bewertung_Stammdaten!G$28,IF(R22&lt;Bewertung_Stammdaten!H$29,Bewertung_Stammdaten!G$29,IF(R22&lt;Bewertung_Stammdaten!H$30,Bewertung_Stammdaten!G$30,IF(R22&lt;Bewertung_Stammdaten!H$31,Bewertung_Stammdaten!G$31,IF(R22&lt;Bewertung_Stammdaten!H$32,Bewertung_Stammdaten!G$32,Bewertung_Stammdaten!G$33)))))))))</f>
        <v>1</v>
      </c>
      <c r="V22" s="49"/>
      <c r="W22" s="17">
        <f ca="1">VLOOKUP(A22,Ergebnis_je_Aktie_verwässert!A3:S68,18,FALSE)</f>
        <v>1.5924722222222223</v>
      </c>
      <c r="X22" s="17">
        <f>VLOOKUP(A22,Ergebnis_je_Aktie_verwässert!A3:S68,15,FALSE)</f>
        <v>1.0285714285714287</v>
      </c>
      <c r="Y22" s="13">
        <f ca="1">VLOOKUP(A22,Ergebnis_je_Aktie_verwässert!A3:S68,19,FALSE)</f>
        <v>0.54823688271604931</v>
      </c>
      <c r="Z22" s="46">
        <f>VLOOKUP(A22,Ergebnis_je_Aktie_verwässert!A3:AC68,29,FALSE)</f>
        <v>-0.61581920903954801</v>
      </c>
      <c r="AA22" s="19">
        <f t="shared" ca="1" si="4"/>
        <v>0.61179723791588203</v>
      </c>
      <c r="AB22" s="13">
        <f t="shared" ca="1" si="5"/>
        <v>-0.40519712980400369</v>
      </c>
      <c r="AC22" s="36">
        <f ca="1">IF(Y22&lt;Bewertung_Stammdaten!L$11,Bewertung_Stammdaten!K$11,IF(Y22&lt;Bewertung_Stammdaten!L$12,Bewertung_Stammdaten!K$12,IF(Y22&lt;Bewertung_Stammdaten!L$13,Bewertung_Stammdaten!K$13,IF(Y22&lt;Bewertung_Stammdaten!L$14,Bewertung_Stammdaten!K$14,IF(Y22&lt;Bewertung_Stammdaten!L$15,Bewertung_Stammdaten!K$15,IF(Y22&lt;Bewertung_Stammdaten!L$16,Bewertung_Stammdaten!K$16,IF(Y22&lt;Bewertung_Stammdaten!L$17,Bewertung_Stammdaten!K$17,IF(Y22&lt;Bewertung_Stammdaten!L$18,Bewertung_Stammdaten!K$18,IF(Y22&lt;Bewertung_Stammdaten!L$19,Bewertung_Stammdaten!K$19,Bewertung_Stammdaten!K$20)))))))))</f>
        <v>14</v>
      </c>
      <c r="AD22" s="36">
        <f>IF(Z22&lt;Bewertung_Stammdaten!R$11,Bewertung_Stammdaten!Q$11,IF(Z22&lt;Bewertung_Stammdaten!R$12,Bewertung_Stammdaten!Q$12,IF(Z22&lt;Bewertung_Stammdaten!R$13,Bewertung_Stammdaten!Q$13,IF(Z22&lt;Bewertung_Stammdaten!R$14,Bewertung_Stammdaten!Q$14,IF(Z22&lt;Bewertung_Stammdaten!R$15,Bewertung_Stammdaten!Q$15,IF(Z22&lt;Bewertung_Stammdaten!R$16,Bewertung_Stammdaten!Q$16,IF(Z22&lt;Bewertung_Stammdaten!R$17,Bewertung_Stammdaten!Q$17,IF(Z22&lt;Bewertung_Stammdaten!R$18,Bewertung_Stammdaten!Q$18,IF(Z22&lt;Bewertung_Stammdaten!R$19,Bewertung_Stammdaten!Q$19,Bewertung_Stammdaten!Q$20)))))))))</f>
        <v>1</v>
      </c>
      <c r="AE22" s="36">
        <f ca="1">IF(AB22&lt;Bewertung_Stammdaten!P$11,Bewertung_Stammdaten!O$11,IF(AB22&lt;Bewertung_Stammdaten!P$12,Bewertung_Stammdaten!O$12,IF(AB22&lt;Bewertung_Stammdaten!P$13,Bewertung_Stammdaten!O$13,IF(AB22&lt;Bewertung_Stammdaten!P$14,Bewertung_Stammdaten!O$14,IF(AB22&lt;Bewertung_Stammdaten!P$15,Bewertung_Stammdaten!O$15,IF(AB22&lt;Bewertung_Stammdaten!P$16,Bewertung_Stammdaten!O$16,IF(AB22&lt;Bewertung_Stammdaten!P$17,Bewertung_Stammdaten!O$17,IF(AB22&lt;Bewertung_Stammdaten!P$18,Bewertung_Stammdaten!O$18,IF(AB22&lt;Bewertung_Stammdaten!P$19,Bewertung_Stammdaten!O$19,Bewertung_Stammdaten!O$20)))))))))</f>
        <v>1</v>
      </c>
      <c r="AF22" s="49"/>
      <c r="AG22" s="13">
        <f ca="1">VLOOKUP(A22,Dividendenrendite!A3:S68,18,FALSE)</f>
        <v>5.0152222222222223E-2</v>
      </c>
      <c r="AH22" s="13">
        <f>VLOOKUP(A22,Dividendenrendite!A3:S68,15,FALSE)</f>
        <v>4.1200000000000001E-2</v>
      </c>
      <c r="AI22" s="13">
        <f ca="1">VLOOKUP(A22,Dividendenrendite!A3:S68,19,FALSE)</f>
        <v>0.21728694714131613</v>
      </c>
      <c r="AJ22" s="36">
        <f ca="1">IF(AG22&lt;Bewertung_Stammdaten!D$11,Bewertung_Stammdaten!C$11,IF(AG22&lt;Bewertung_Stammdaten!D$12,Bewertung_Stammdaten!C$12,IF(AG22&lt;Bewertung_Stammdaten!D$13,Bewertung_Stammdaten!C$13,IF(AG22&lt;Bewertung_Stammdaten!D$14,Bewertung_Stammdaten!C$14,IF(AG22&lt;Bewertung_Stammdaten!D$15,Bewertung_Stammdaten!C$15,IF(AG22&lt;Bewertung_Stammdaten!D$16,Bewertung_Stammdaten!C$16,IF(AG22&lt;Bewertung_Stammdaten!D$17,Bewertung_Stammdaten!C$17,IF(AG22&lt;Bewertung_Stammdaten!D$18,Bewertung_Stammdaten!C$18,IF(AG22&lt;Bewertung_Stammdaten!D$19,Bewertung_Stammdaten!C$19,Bewertung_Stammdaten!C$20)))))))))</f>
        <v>15</v>
      </c>
      <c r="AK22" s="36">
        <f>IF(AH22&lt;Bewertung_Stammdaten!T$11,Bewertung_Stammdaten!S$11,IF(AH22&lt;Bewertung_Stammdaten!T$12,Bewertung_Stammdaten!S$12,IF(AH22&lt;Bewertung_Stammdaten!T$13,Bewertung_Stammdaten!S$13,IF(AH22&lt;Bewertung_Stammdaten!T$14,Bewertung_Stammdaten!S$14,IF(AH22&lt;Bewertung_Stammdaten!T$15,Bewertung_Stammdaten!S$15,IF(AH22&lt;Bewertung_Stammdaten!T$16,Bewertung_Stammdaten!S$16,IF(AH22&lt;Bewertung_Stammdaten!T$17,Bewertung_Stammdaten!S$17,IF(AH22&lt;Bewertung_Stammdaten!T$18,Bewertung_Stammdaten!S$18,IF(AH22&lt;Bewertung_Stammdaten!T$19,Bewertung_Stammdaten!S$19,Bewertung_Stammdaten!S$20)))))))))</f>
        <v>9</v>
      </c>
      <c r="AL22" s="36">
        <f ca="1">IF(AI22&lt;Bewertung_Stammdaten!F$11,Bewertung_Stammdaten!E$11,IF(AI22&lt;Bewertung_Stammdaten!F$12,Bewertung_Stammdaten!E$12,IF(AI22&lt;Bewertung_Stammdaten!F$13,Bewertung_Stammdaten!E$13,IF(AI22&lt;Bewertung_Stammdaten!F$14,Bewertung_Stammdaten!E$14,IF(AI22&lt;Bewertung_Stammdaten!F$15,Bewertung_Stammdaten!E$15,IF(AI22&lt;Bewertung_Stammdaten!F$16,Bewertung_Stammdaten!E$16,IF(AI22&lt;Bewertung_Stammdaten!F$17,Bewertung_Stammdaten!E$17,IF(AI22&lt;Bewertung_Stammdaten!F$18,Bewertung_Stammdaten!E$18,IF(AI22&lt;Bewertung_Stammdaten!F$19,Bewertung_Stammdaten!E$19,Bewertung_Stammdaten!E$20)))))))))</f>
        <v>5</v>
      </c>
      <c r="AM22" s="49"/>
      <c r="AN22" s="13">
        <f>VLOOKUP(A22,Aktien_im_Umlauf_splitbereinigt!A3:W68,13,FALSE)</f>
        <v>0</v>
      </c>
      <c r="AO22" s="13">
        <f>VLOOKUP(A22,Aktien_im_Umlauf_splitbereinigt!A3:W68,22,FALSE)</f>
        <v>5.1624306698360455E-2</v>
      </c>
      <c r="AP22" s="13">
        <f>VLOOKUP(A22,Aktien_im_Umlauf_splitbereinigt!A3:W68,23,FALSE)</f>
        <v>-99.999989999999997</v>
      </c>
      <c r="AQ22" s="47">
        <f>IF(AN22&lt;Bewertung_Stammdaten!J$24,Bewertung_Stammdaten!I$24,IF(AN22&lt;Bewertung_Stammdaten!J$25,Bewertung_Stammdaten!I$25,IF(AN22&lt;Bewertung_Stammdaten!J$26,Bewertung_Stammdaten!I$26,IF(AN22&lt;Bewertung_Stammdaten!J$27,Bewertung_Stammdaten!I$27,IF(AN22&lt;Bewertung_Stammdaten!J$28,Bewertung_Stammdaten!I$28,IF(AN22&lt;Bewertung_Stammdaten!J$29,Bewertung_Stammdaten!I$29,IF(AN22&lt;Bewertung_Stammdaten!J$30,Bewertung_Stammdaten!I$30,IF(AN22&lt;Bewertung_Stammdaten!J$31,Bewertung_Stammdaten!I$31,IF(AN22&lt;Bewertung_Stammdaten!J$32,Bewertung_Stammdaten!I$32,Bewertung_Stammdaten!I$33)))))))))</f>
        <v>1</v>
      </c>
      <c r="AR22" s="47">
        <f>IF(AO22&lt;Bewertung_Stammdaten!L$24,Bewertung_Stammdaten!K$24,IF(AO22&lt;Bewertung_Stammdaten!L$25,Bewertung_Stammdaten!K$25,IF(AO22&lt;Bewertung_Stammdaten!L$26,Bewertung_Stammdaten!K$26,IF(AO22&lt;Bewertung_Stammdaten!L$27,Bewertung_Stammdaten!K$27,IF(AO22&lt;Bewertung_Stammdaten!L$28,Bewertung_Stammdaten!K$28,IF(AO22&lt;Bewertung_Stammdaten!L$29,Bewertung_Stammdaten!K$29,IF(AO22&lt;Bewertung_Stammdaten!L$30,Bewertung_Stammdaten!K$30,IF(AO22&lt;Bewertung_Stammdaten!L$31,Bewertung_Stammdaten!K$31,IF(AO22&lt;Bewertung_Stammdaten!L$32,Bewertung_Stammdaten!K$32,Bewertung_Stammdaten!K$33)))))))))</f>
        <v>0.5</v>
      </c>
      <c r="AS22" s="47">
        <f>IF(AP22&lt;Bewertung_Stammdaten!N$24,Bewertung_Stammdaten!M$24,IF(AP22&lt;Bewertung_Stammdaten!N$25,Bewertung_Stammdaten!M$25,IF(AP22&lt;Bewertung_Stammdaten!N$26,Bewertung_Stammdaten!M$26,IF(AP22&lt;Bewertung_Stammdaten!N$27,Bewertung_Stammdaten!M$27,IF(AP22&lt;Bewertung_Stammdaten!N$28,Bewertung_Stammdaten!M$28,IF(AP22&lt;Bewertung_Stammdaten!N$29,Bewertung_Stammdaten!M$29,IF(AP22&lt;Bewertung_Stammdaten!N$30,Bewertung_Stammdaten!M$30,IF(AP22&lt;Bewertung_Stammdaten!N$31,Bewertung_Stammdaten!M$31,IF(AP22&lt;Bewertung_Stammdaten!N$32,Bewertung_Stammdaten!M$32,Bewertung_Stammdaten!M$33)))))))))</f>
        <v>0.5</v>
      </c>
      <c r="AT22" s="49"/>
      <c r="AU22" s="13">
        <f ca="1">VLOOKUP(A22,Ausschüttungsquote!A3:S68,18,FALSE)</f>
        <v>0.84597349128055854</v>
      </c>
      <c r="AV22" s="13">
        <f>VLOOKUP(A22,Ausschüttungsquote!A3:S68,15,FALSE)</f>
        <v>0.9673951280773917</v>
      </c>
      <c r="AW22" s="13">
        <f ca="1">VLOOKUP(A22,Ausschüttungsquote!A3:S68,19,FALSE)</f>
        <v>-0.12551400484944286</v>
      </c>
      <c r="AX22" s="36">
        <f ca="1">IF(AU22&lt;Bewertung_Stammdaten!H$11,Bewertung_Stammdaten!G$11,IF(AU22&lt;Bewertung_Stammdaten!H$12,Bewertung_Stammdaten!G$12,IF(AU22&lt;Bewertung_Stammdaten!H$13,Bewertung_Stammdaten!G$13,IF(AU22&lt;Bewertung_Stammdaten!H$14,Bewertung_Stammdaten!G$14,IF(AU22&lt;Bewertung_Stammdaten!H$15,Bewertung_Stammdaten!G$15,IF(AU22&lt;Bewertung_Stammdaten!H$16,Bewertung_Stammdaten!G$16,IF(AU22&lt;Bewertung_Stammdaten!H$17,Bewertung_Stammdaten!G$17,IF(AU22&lt;Bewertung_Stammdaten!H$18,Bewertung_Stammdaten!G$18,IF(AU22&lt;Bewertung_Stammdaten!H$19,Bewertung_Stammdaten!G$19,Bewertung_Stammdaten!G$20)))))))))</f>
        <v>0.5</v>
      </c>
      <c r="AY22" s="47">
        <f>IF(AV22&lt;Bewertung_Stammdaten!B$24,Bewertung_Stammdaten!A$24,IF(AV22&lt;Bewertung_Stammdaten!B$25,Bewertung_Stammdaten!A$25,IF(AV22&lt;Bewertung_Stammdaten!B$26,Bewertung_Stammdaten!A$26,IF(AV22&lt;Bewertung_Stammdaten!B$27,Bewertung_Stammdaten!A$27,IF(AV22&lt;Bewertung_Stammdaten!B$28,Bewertung_Stammdaten!A$28,IF(AV22&lt;Bewertung_Stammdaten!B$29,Bewertung_Stammdaten!A$29,IF(AV22&lt;Bewertung_Stammdaten!B$30,Bewertung_Stammdaten!A$30,IF(AV22&lt;Bewertung_Stammdaten!B$31,Bewertung_Stammdaten!A$31,IF(AV22&lt;Bewertung_Stammdaten!B$32,Bewertung_Stammdaten!A$32,Bewertung_Stammdaten!A$33)))))))))</f>
        <v>0.5</v>
      </c>
      <c r="AZ22" s="36">
        <f ca="1">IF(AW22&lt;Bewertung_Stammdaten!J$11,Bewertung_Stammdaten!I$11,IF(AW22&lt;Bewertung_Stammdaten!J$12,Bewertung_Stammdaten!I$12,IF(AW22&lt;Bewertung_Stammdaten!J$13,Bewertung_Stammdaten!I$13,IF(AW22&lt;Bewertung_Stammdaten!J$14,Bewertung_Stammdaten!I$14,IF(AW22&lt;Bewertung_Stammdaten!J$15,Bewertung_Stammdaten!I$15,IF(AW22&lt;Bewertung_Stammdaten!J$16,Bewertung_Stammdaten!I$16,IF(AW22&lt;Bewertung_Stammdaten!J$17,Bewertung_Stammdaten!I$17,IF(AW22&lt;Bewertung_Stammdaten!J$18,Bewertung_Stammdaten!I$18,IF(AW22&lt;Bewertung_Stammdaten!J$19,Bewertung_Stammdaten!I$19,Bewertung_Stammdaten!I$20)))))))))</f>
        <v>4</v>
      </c>
    </row>
    <row r="23" spans="1:52" x14ac:dyDescent="0.25">
      <c r="A23" s="44" t="s">
        <v>42</v>
      </c>
      <c r="B23" s="44" t="s">
        <v>43</v>
      </c>
      <c r="C23" s="36">
        <f t="shared" ca="1" si="0"/>
        <v>71.5</v>
      </c>
      <c r="D23" s="49"/>
      <c r="E23" s="12">
        <f ca="1">VLOOKUP(A23,KGV!A3:S68,18,FALSE)</f>
        <v>10.8575</v>
      </c>
      <c r="F23" s="12">
        <f>VLOOKUP(A23,KGV!A3:S68,15,FALSE)</f>
        <v>12.9</v>
      </c>
      <c r="G23" s="13">
        <f ca="1">VLOOKUP(A23,KGV!A3:S68,19,FALSE)</f>
        <v>-0.15833333333333333</v>
      </c>
      <c r="H23" s="19">
        <f t="shared" ca="1" si="1"/>
        <v>37.654734042553194</v>
      </c>
      <c r="I23" s="13">
        <f t="shared" ca="1" si="2"/>
        <v>1.9189716312056739</v>
      </c>
      <c r="J23" s="36">
        <f ca="1">IF(G23&lt;Bewertung_Stammdaten!B$11,Bewertung_Stammdaten!A$11,IF(G23&lt;Bewertung_Stammdaten!B$12,Bewertung_Stammdaten!A$12,IF(G23&lt;Bewertung_Stammdaten!B$13,Bewertung_Stammdaten!A$13,IF(G23&lt;Bewertung_Stammdaten!B$14,Bewertung_Stammdaten!A$14,IF(G23&lt;Bewertung_Stammdaten!B$15,Bewertung_Stammdaten!A$15,IF(G23&lt;Bewertung_Stammdaten!B$16,Bewertung_Stammdaten!A$16,IF(G23&lt;Bewertung_Stammdaten!B$17,Bewertung_Stammdaten!A$17,IF(G23&lt;Bewertung_Stammdaten!B$18,Bewertung_Stammdaten!A$18,IF(G23&lt;Bewertung_Stammdaten!B$19,Bewertung_Stammdaten!A$19,Bewertung_Stammdaten!A$20)))))))))</f>
        <v>18</v>
      </c>
      <c r="K23" s="36">
        <f ca="1">IF(I23&lt;Bewertung_Stammdaten!N$11,Bewertung_Stammdaten!M$11,IF(I23&lt;Bewertung_Stammdaten!N$12,Bewertung_Stammdaten!M$12,IF(I23&lt;Bewertung_Stammdaten!N$13,Bewertung_Stammdaten!M$13,IF(I23&lt;Bewertung_Stammdaten!N$14,Bewertung_Stammdaten!M$14,IF(I23&lt;Bewertung_Stammdaten!N$15,Bewertung_Stammdaten!M$15,IF(I23&lt;Bewertung_Stammdaten!N$16,Bewertung_Stammdaten!M$16,IF(I23&lt;Bewertung_Stammdaten!N$17,Bewertung_Stammdaten!M$17,IF(I23&lt;Bewertung_Stammdaten!N$18,Bewertung_Stammdaten!M$18,IF(I23&lt;Bewertung_Stammdaten!N$19,Bewertung_Stammdaten!M$19,Bewertung_Stammdaten!M$20)))))))))</f>
        <v>1</v>
      </c>
      <c r="L23" s="49"/>
      <c r="M23" s="12">
        <f ca="1">VLOOKUP(A23,Buchwert_je_Aktie!A3:AC68,18,FALSE)</f>
        <v>9.9490555555555567</v>
      </c>
      <c r="N23" s="12">
        <f>VLOOKUP(A23,Buchwert_je_Aktie!A3:AC68,15,FALSE)</f>
        <v>8.7569999999999997</v>
      </c>
      <c r="O23" s="13">
        <f ca="1">VLOOKUP(A23,Buchwert_je_Aktie!A3:AC68,19,FALSE)</f>
        <v>0.13612601981906547</v>
      </c>
      <c r="P23" s="13">
        <f>VLOOKUP(A23,Buchwert_je_Aktie!A3:AC68,29,FALSE)</f>
        <v>-0.28624192059095099</v>
      </c>
      <c r="Q23" s="19">
        <f t="shared" ca="1" si="6"/>
        <v>7.101218785267263</v>
      </c>
      <c r="R23" s="13">
        <f t="shared" ca="1" si="3"/>
        <v>-0.18908087412729668</v>
      </c>
      <c r="S23" s="58">
        <f ca="1">IF(O23&lt;Bewertung_Stammdaten!D$24,Bewertung_Stammdaten!C$24,IF(O23&lt;Bewertung_Stammdaten!D$25,Bewertung_Stammdaten!C$25,IF(O23&lt;Bewertung_Stammdaten!D$26,Bewertung_Stammdaten!C$26,IF(O23&lt;Bewertung_Stammdaten!D$27,Bewertung_Stammdaten!C$27,IF(O23&lt;Bewertung_Stammdaten!D$28,Bewertung_Stammdaten!C$28,IF(O23&lt;Bewertung_Stammdaten!D$29,Bewertung_Stammdaten!C$29,IF(O23&lt;Bewertung_Stammdaten!D$30,Bewertung_Stammdaten!C$30,IF(O23&lt;Bewertung_Stammdaten!D$31,Bewertung_Stammdaten!C$31,IF(O23&lt;Bewertung_Stammdaten!D$32,Bewertung_Stammdaten!C$32,Bewertung_Stammdaten!C$33)))))))))</f>
        <v>6</v>
      </c>
      <c r="T23" s="58">
        <f>IF(P23&lt;Bewertung_Stammdaten!F$24,Bewertung_Stammdaten!E$24,IF(P23&lt;Bewertung_Stammdaten!F$25,Bewertung_Stammdaten!E$25,IF(P23&lt;Bewertung_Stammdaten!F$26,Bewertung_Stammdaten!E$26,IF(P23&lt;Bewertung_Stammdaten!F$27,Bewertung_Stammdaten!E$27,IF(P23&lt;Bewertung_Stammdaten!F$28,Bewertung_Stammdaten!E$28,IF(P23&lt;Bewertung_Stammdaten!F$29,Bewertung_Stammdaten!E$29,IF(P23&lt;Bewertung_Stammdaten!F$30,Bewertung_Stammdaten!E$30,IF(P23&lt;Bewertung_Stammdaten!F$31,Bewertung_Stammdaten!E$31,IF(P23&lt;Bewertung_Stammdaten!F$32,Bewertung_Stammdaten!E$32,Bewertung_Stammdaten!E$33)))))))))</f>
        <v>3</v>
      </c>
      <c r="U23" s="58">
        <f ca="1">IF(R23&lt;Bewertung_Stammdaten!H$24,Bewertung_Stammdaten!G$24,IF(R23&lt;Bewertung_Stammdaten!H$25,Bewertung_Stammdaten!G$25,IF(R23&lt;Bewertung_Stammdaten!H$26,Bewertung_Stammdaten!G$26,IF(R23&lt;Bewertung_Stammdaten!H$27,Bewertung_Stammdaten!G$27,IF(R23&lt;Bewertung_Stammdaten!H$28,Bewertung_Stammdaten!G$28,IF(R23&lt;Bewertung_Stammdaten!H$29,Bewertung_Stammdaten!G$29,IF(R23&lt;Bewertung_Stammdaten!H$30,Bewertung_Stammdaten!G$30,IF(R23&lt;Bewertung_Stammdaten!H$31,Bewertung_Stammdaten!G$31,IF(R23&lt;Bewertung_Stammdaten!H$32,Bewertung_Stammdaten!G$32,Bewertung_Stammdaten!G$33)))))))))</f>
        <v>1</v>
      </c>
      <c r="V23" s="49"/>
      <c r="W23" s="17">
        <f ca="1">VLOOKUP(A23,Ergebnis_je_Aktie_verwässert!A3:S68,18,FALSE)</f>
        <v>0.94425000000000003</v>
      </c>
      <c r="X23" s="17">
        <f>VLOOKUP(A23,Ergebnis_je_Aktie_verwässert!A3:S68,15,FALSE)</f>
        <v>0.94599999999999995</v>
      </c>
      <c r="Y23" s="13">
        <f ca="1">VLOOKUP(A23,Ergebnis_je_Aktie_verwässert!A3:S68,19,FALSE)</f>
        <v>-1.849894291754639E-3</v>
      </c>
      <c r="Z23" s="46">
        <f>VLOOKUP(A23,Ergebnis_je_Aktie_verwässert!A3:AC68,29,FALSE)</f>
        <v>-0.71165644171779141</v>
      </c>
      <c r="AA23" s="19">
        <f t="shared" ca="1" si="4"/>
        <v>0.27226840490797549</v>
      </c>
      <c r="AB23" s="13">
        <f t="shared" ca="1" si="5"/>
        <v>-0.71218984682032183</v>
      </c>
      <c r="AC23" s="36">
        <f ca="1">IF(Y23&lt;Bewertung_Stammdaten!L$11,Bewertung_Stammdaten!K$11,IF(Y23&lt;Bewertung_Stammdaten!L$12,Bewertung_Stammdaten!K$12,IF(Y23&lt;Bewertung_Stammdaten!L$13,Bewertung_Stammdaten!K$13,IF(Y23&lt;Bewertung_Stammdaten!L$14,Bewertung_Stammdaten!K$14,IF(Y23&lt;Bewertung_Stammdaten!L$15,Bewertung_Stammdaten!K$15,IF(Y23&lt;Bewertung_Stammdaten!L$16,Bewertung_Stammdaten!K$16,IF(Y23&lt;Bewertung_Stammdaten!L$17,Bewertung_Stammdaten!K$17,IF(Y23&lt;Bewertung_Stammdaten!L$18,Bewertung_Stammdaten!K$18,IF(Y23&lt;Bewertung_Stammdaten!L$19,Bewertung_Stammdaten!K$19,Bewertung_Stammdaten!K$20)))))))))</f>
        <v>2</v>
      </c>
      <c r="AD23" s="36">
        <f>IF(Z23&lt;Bewertung_Stammdaten!R$11,Bewertung_Stammdaten!Q$11,IF(Z23&lt;Bewertung_Stammdaten!R$12,Bewertung_Stammdaten!Q$12,IF(Z23&lt;Bewertung_Stammdaten!R$13,Bewertung_Stammdaten!Q$13,IF(Z23&lt;Bewertung_Stammdaten!R$14,Bewertung_Stammdaten!Q$14,IF(Z23&lt;Bewertung_Stammdaten!R$15,Bewertung_Stammdaten!Q$15,IF(Z23&lt;Bewertung_Stammdaten!R$16,Bewertung_Stammdaten!Q$16,IF(Z23&lt;Bewertung_Stammdaten!R$17,Bewertung_Stammdaten!Q$17,IF(Z23&lt;Bewertung_Stammdaten!R$18,Bewertung_Stammdaten!Q$18,IF(Z23&lt;Bewertung_Stammdaten!R$19,Bewertung_Stammdaten!Q$19,Bewertung_Stammdaten!Q$20)))))))))</f>
        <v>1</v>
      </c>
      <c r="AE23" s="36">
        <f ca="1">IF(AB23&lt;Bewertung_Stammdaten!P$11,Bewertung_Stammdaten!O$11,IF(AB23&lt;Bewertung_Stammdaten!P$12,Bewertung_Stammdaten!O$12,IF(AB23&lt;Bewertung_Stammdaten!P$13,Bewertung_Stammdaten!O$13,IF(AB23&lt;Bewertung_Stammdaten!P$14,Bewertung_Stammdaten!O$14,IF(AB23&lt;Bewertung_Stammdaten!P$15,Bewertung_Stammdaten!O$15,IF(AB23&lt;Bewertung_Stammdaten!P$16,Bewertung_Stammdaten!O$16,IF(AB23&lt;Bewertung_Stammdaten!P$17,Bewertung_Stammdaten!O$17,IF(AB23&lt;Bewertung_Stammdaten!P$18,Bewertung_Stammdaten!O$18,IF(AB23&lt;Bewertung_Stammdaten!P$19,Bewertung_Stammdaten!O$19,Bewertung_Stammdaten!O$20)))))))))</f>
        <v>1</v>
      </c>
      <c r="AF23" s="49"/>
      <c r="AG23" s="13">
        <f ca="1">VLOOKUP(A23,Dividendenrendite!A3:S68,18,FALSE)</f>
        <v>5.4112499999999994E-2</v>
      </c>
      <c r="AH23" s="13">
        <f>VLOOKUP(A23,Dividendenrendite!A3:S68,15,FALSE)</f>
        <v>5.3270000000000005E-2</v>
      </c>
      <c r="AI23" s="13">
        <f ca="1">VLOOKUP(A23,Dividendenrendite!A3:S68,19,FALSE)</f>
        <v>1.581565609160851E-2</v>
      </c>
      <c r="AJ23" s="36">
        <f ca="1">IF(AG23&lt;Bewertung_Stammdaten!D$11,Bewertung_Stammdaten!C$11,IF(AG23&lt;Bewertung_Stammdaten!D$12,Bewertung_Stammdaten!C$12,IF(AG23&lt;Bewertung_Stammdaten!D$13,Bewertung_Stammdaten!C$13,IF(AG23&lt;Bewertung_Stammdaten!D$14,Bewertung_Stammdaten!C$14,IF(AG23&lt;Bewertung_Stammdaten!D$15,Bewertung_Stammdaten!C$15,IF(AG23&lt;Bewertung_Stammdaten!D$16,Bewertung_Stammdaten!C$16,IF(AG23&lt;Bewertung_Stammdaten!D$17,Bewertung_Stammdaten!C$17,IF(AG23&lt;Bewertung_Stammdaten!D$18,Bewertung_Stammdaten!C$18,IF(AG23&lt;Bewertung_Stammdaten!D$19,Bewertung_Stammdaten!C$19,Bewertung_Stammdaten!C$20)))))))))</f>
        <v>15</v>
      </c>
      <c r="AK23" s="36">
        <f>IF(AH23&lt;Bewertung_Stammdaten!T$11,Bewertung_Stammdaten!S$11,IF(AH23&lt;Bewertung_Stammdaten!T$12,Bewertung_Stammdaten!S$12,IF(AH23&lt;Bewertung_Stammdaten!T$13,Bewertung_Stammdaten!S$13,IF(AH23&lt;Bewertung_Stammdaten!T$14,Bewertung_Stammdaten!S$14,IF(AH23&lt;Bewertung_Stammdaten!T$15,Bewertung_Stammdaten!S$15,IF(AH23&lt;Bewertung_Stammdaten!T$16,Bewertung_Stammdaten!S$16,IF(AH23&lt;Bewertung_Stammdaten!T$17,Bewertung_Stammdaten!S$17,IF(AH23&lt;Bewertung_Stammdaten!T$18,Bewertung_Stammdaten!S$18,IF(AH23&lt;Bewertung_Stammdaten!T$19,Bewertung_Stammdaten!S$19,Bewertung_Stammdaten!S$20)))))))))</f>
        <v>10</v>
      </c>
      <c r="AL23" s="36">
        <f ca="1">IF(AI23&lt;Bewertung_Stammdaten!F$11,Bewertung_Stammdaten!E$11,IF(AI23&lt;Bewertung_Stammdaten!F$12,Bewertung_Stammdaten!E$12,IF(AI23&lt;Bewertung_Stammdaten!F$13,Bewertung_Stammdaten!E$13,IF(AI23&lt;Bewertung_Stammdaten!F$14,Bewertung_Stammdaten!E$14,IF(AI23&lt;Bewertung_Stammdaten!F$15,Bewertung_Stammdaten!E$15,IF(AI23&lt;Bewertung_Stammdaten!F$16,Bewertung_Stammdaten!E$16,IF(AI23&lt;Bewertung_Stammdaten!F$17,Bewertung_Stammdaten!E$17,IF(AI23&lt;Bewertung_Stammdaten!F$18,Bewertung_Stammdaten!E$18,IF(AI23&lt;Bewertung_Stammdaten!F$19,Bewertung_Stammdaten!E$19,Bewertung_Stammdaten!E$20)))))))))</f>
        <v>3</v>
      </c>
      <c r="AM23" s="49"/>
      <c r="AN23" s="13">
        <f>VLOOKUP(A23,Aktien_im_Umlauf_splitbereinigt!A3:W68,13,FALSE)</f>
        <v>1.9159991340116811E-2</v>
      </c>
      <c r="AO23" s="13">
        <f>VLOOKUP(A23,Aktien_im_Umlauf_splitbereinigt!A3:W68,22,FALSE)</f>
        <v>6.6507955933824248E-2</v>
      </c>
      <c r="AP23" s="13">
        <f>VLOOKUP(A23,Aktien_im_Umlauf_splitbereinigt!A3:W68,23,FALSE)</f>
        <v>-99.999989999999997</v>
      </c>
      <c r="AQ23" s="47">
        <f>IF(AN23&lt;Bewertung_Stammdaten!J$24,Bewertung_Stammdaten!I$24,IF(AN23&lt;Bewertung_Stammdaten!J$25,Bewertung_Stammdaten!I$25,IF(AN23&lt;Bewertung_Stammdaten!J$26,Bewertung_Stammdaten!I$26,IF(AN23&lt;Bewertung_Stammdaten!J$27,Bewertung_Stammdaten!I$27,IF(AN23&lt;Bewertung_Stammdaten!J$28,Bewertung_Stammdaten!I$28,IF(AN23&lt;Bewertung_Stammdaten!J$29,Bewertung_Stammdaten!I$29,IF(AN23&lt;Bewertung_Stammdaten!J$30,Bewertung_Stammdaten!I$30,IF(AN23&lt;Bewertung_Stammdaten!J$31,Bewertung_Stammdaten!I$31,IF(AN23&lt;Bewertung_Stammdaten!J$32,Bewertung_Stammdaten!I$32,Bewertung_Stammdaten!I$33)))))))))</f>
        <v>0.5</v>
      </c>
      <c r="AR23" s="47">
        <f>IF(AO23&lt;Bewertung_Stammdaten!L$24,Bewertung_Stammdaten!K$24,IF(AO23&lt;Bewertung_Stammdaten!L$25,Bewertung_Stammdaten!K$25,IF(AO23&lt;Bewertung_Stammdaten!L$26,Bewertung_Stammdaten!K$26,IF(AO23&lt;Bewertung_Stammdaten!L$27,Bewertung_Stammdaten!K$27,IF(AO23&lt;Bewertung_Stammdaten!L$28,Bewertung_Stammdaten!K$28,IF(AO23&lt;Bewertung_Stammdaten!L$29,Bewertung_Stammdaten!K$29,IF(AO23&lt;Bewertung_Stammdaten!L$30,Bewertung_Stammdaten!K$30,IF(AO23&lt;Bewertung_Stammdaten!L$31,Bewertung_Stammdaten!K$31,IF(AO23&lt;Bewertung_Stammdaten!L$32,Bewertung_Stammdaten!K$32,Bewertung_Stammdaten!K$33)))))))))</f>
        <v>0.5</v>
      </c>
      <c r="AS23" s="47">
        <f>IF(AP23&lt;Bewertung_Stammdaten!N$24,Bewertung_Stammdaten!M$24,IF(AP23&lt;Bewertung_Stammdaten!N$25,Bewertung_Stammdaten!M$25,IF(AP23&lt;Bewertung_Stammdaten!N$26,Bewertung_Stammdaten!M$26,IF(AP23&lt;Bewertung_Stammdaten!N$27,Bewertung_Stammdaten!M$27,IF(AP23&lt;Bewertung_Stammdaten!N$28,Bewertung_Stammdaten!M$28,IF(AP23&lt;Bewertung_Stammdaten!N$29,Bewertung_Stammdaten!M$29,IF(AP23&lt;Bewertung_Stammdaten!N$30,Bewertung_Stammdaten!M$30,IF(AP23&lt;Bewertung_Stammdaten!N$31,Bewertung_Stammdaten!M$31,IF(AP23&lt;Bewertung_Stammdaten!N$32,Bewertung_Stammdaten!M$32,Bewertung_Stammdaten!M$33)))))))))</f>
        <v>0.5</v>
      </c>
      <c r="AT23" s="49"/>
      <c r="AU23" s="13">
        <f ca="1">VLOOKUP(A23,Ausschüttungsquote!A3:S68,18,FALSE)</f>
        <v>0.58714330301408957</v>
      </c>
      <c r="AV23" s="13">
        <f>VLOOKUP(A23,Ausschüttungsquote!A3:S68,15,FALSE)</f>
        <v>0.72703292290685018</v>
      </c>
      <c r="AW23" s="13">
        <f ca="1">VLOOKUP(A23,Ausschüttungsquote!A3:S68,19,FALSE)</f>
        <v>-0.19241167144597626</v>
      </c>
      <c r="AX23" s="36">
        <f ca="1">IF(AU23&lt;Bewertung_Stammdaten!H$11,Bewertung_Stammdaten!G$11,IF(AU23&lt;Bewertung_Stammdaten!H$12,Bewertung_Stammdaten!G$12,IF(AU23&lt;Bewertung_Stammdaten!H$13,Bewertung_Stammdaten!G$13,IF(AU23&lt;Bewertung_Stammdaten!H$14,Bewertung_Stammdaten!G$14,IF(AU23&lt;Bewertung_Stammdaten!H$15,Bewertung_Stammdaten!G$15,IF(AU23&lt;Bewertung_Stammdaten!H$16,Bewertung_Stammdaten!G$16,IF(AU23&lt;Bewertung_Stammdaten!H$17,Bewertung_Stammdaten!G$17,IF(AU23&lt;Bewertung_Stammdaten!H$18,Bewertung_Stammdaten!G$18,IF(AU23&lt;Bewertung_Stammdaten!H$19,Bewertung_Stammdaten!G$19,Bewertung_Stammdaten!G$20)))))))))</f>
        <v>3</v>
      </c>
      <c r="AY23" s="47">
        <f>IF(AV23&lt;Bewertung_Stammdaten!B$24,Bewertung_Stammdaten!A$24,IF(AV23&lt;Bewertung_Stammdaten!B$25,Bewertung_Stammdaten!A$25,IF(AV23&lt;Bewertung_Stammdaten!B$26,Bewertung_Stammdaten!A$26,IF(AV23&lt;Bewertung_Stammdaten!B$27,Bewertung_Stammdaten!A$27,IF(AV23&lt;Bewertung_Stammdaten!B$28,Bewertung_Stammdaten!A$28,IF(AV23&lt;Bewertung_Stammdaten!B$29,Bewertung_Stammdaten!A$29,IF(AV23&lt;Bewertung_Stammdaten!B$30,Bewertung_Stammdaten!A$30,IF(AV23&lt;Bewertung_Stammdaten!B$31,Bewertung_Stammdaten!A$31,IF(AV23&lt;Bewertung_Stammdaten!B$32,Bewertung_Stammdaten!A$32,Bewertung_Stammdaten!A$33)))))))))</f>
        <v>1.5</v>
      </c>
      <c r="AZ23" s="36">
        <f ca="1">IF(AW23&lt;Bewertung_Stammdaten!J$11,Bewertung_Stammdaten!I$11,IF(AW23&lt;Bewertung_Stammdaten!J$12,Bewertung_Stammdaten!I$12,IF(AW23&lt;Bewertung_Stammdaten!J$13,Bewertung_Stammdaten!I$13,IF(AW23&lt;Bewertung_Stammdaten!J$14,Bewertung_Stammdaten!I$14,IF(AW23&lt;Bewertung_Stammdaten!J$15,Bewertung_Stammdaten!I$15,IF(AW23&lt;Bewertung_Stammdaten!J$16,Bewertung_Stammdaten!I$16,IF(AW23&lt;Bewertung_Stammdaten!J$17,Bewertung_Stammdaten!I$17,IF(AW23&lt;Bewertung_Stammdaten!J$18,Bewertung_Stammdaten!I$18,IF(AW23&lt;Bewertung_Stammdaten!J$19,Bewertung_Stammdaten!I$19,Bewertung_Stammdaten!I$20)))))))))</f>
        <v>4.5</v>
      </c>
    </row>
    <row r="24" spans="1:52" x14ac:dyDescent="0.25">
      <c r="A24" s="44" t="s">
        <v>44</v>
      </c>
      <c r="B24" s="44" t="s">
        <v>45</v>
      </c>
      <c r="C24" s="36">
        <f t="shared" ca="1" si="0"/>
        <v>99</v>
      </c>
      <c r="D24" s="49"/>
      <c r="E24" s="12">
        <f ca="1">VLOOKUP(A24,KGV!A3:S68,18,FALSE)</f>
        <v>10.016388888888889</v>
      </c>
      <c r="F24" s="12">
        <f>VLOOKUP(A24,KGV!A3:S68,15,FALSE)</f>
        <v>16.100000000000001</v>
      </c>
      <c r="G24" s="13">
        <f ca="1">VLOOKUP(A24,KGV!A3:S68,19,FALSE)</f>
        <v>-0.37786404416839203</v>
      </c>
      <c r="H24" s="19">
        <f t="shared" ca="1" si="1"/>
        <v>99</v>
      </c>
      <c r="I24" s="13">
        <f t="shared" ca="1" si="2"/>
        <v>5.1490683229813659</v>
      </c>
      <c r="J24" s="36">
        <f ca="1">IF(G24&lt;Bewertung_Stammdaten!B$11,Bewertung_Stammdaten!A$11,IF(G24&lt;Bewertung_Stammdaten!B$12,Bewertung_Stammdaten!A$12,IF(G24&lt;Bewertung_Stammdaten!B$13,Bewertung_Stammdaten!A$13,IF(G24&lt;Bewertung_Stammdaten!B$14,Bewertung_Stammdaten!A$14,IF(G24&lt;Bewertung_Stammdaten!B$15,Bewertung_Stammdaten!A$15,IF(G24&lt;Bewertung_Stammdaten!B$16,Bewertung_Stammdaten!A$16,IF(G24&lt;Bewertung_Stammdaten!B$17,Bewertung_Stammdaten!A$17,IF(G24&lt;Bewertung_Stammdaten!B$18,Bewertung_Stammdaten!A$18,IF(G24&lt;Bewertung_Stammdaten!B$19,Bewertung_Stammdaten!A$19,Bewertung_Stammdaten!A$20)))))))))</f>
        <v>20</v>
      </c>
      <c r="K24" s="36">
        <f ca="1">IF(I24&lt;Bewertung_Stammdaten!N$11,Bewertung_Stammdaten!M$11,IF(I24&lt;Bewertung_Stammdaten!N$12,Bewertung_Stammdaten!M$12,IF(I24&lt;Bewertung_Stammdaten!N$13,Bewertung_Stammdaten!M$13,IF(I24&lt;Bewertung_Stammdaten!N$14,Bewertung_Stammdaten!M$14,IF(I24&lt;Bewertung_Stammdaten!N$15,Bewertung_Stammdaten!M$15,IF(I24&lt;Bewertung_Stammdaten!N$16,Bewertung_Stammdaten!M$16,IF(I24&lt;Bewertung_Stammdaten!N$17,Bewertung_Stammdaten!M$17,IF(I24&lt;Bewertung_Stammdaten!N$18,Bewertung_Stammdaten!M$18,IF(I24&lt;Bewertung_Stammdaten!N$19,Bewertung_Stammdaten!M$19,Bewertung_Stammdaten!M$20)))))))))</f>
        <v>1</v>
      </c>
      <c r="L24" s="49"/>
      <c r="M24" s="12">
        <f ca="1">VLOOKUP(A24,Buchwert_je_Aktie!A3:AC68,18,FALSE)</f>
        <v>30.830277777777773</v>
      </c>
      <c r="N24" s="12">
        <f>VLOOKUP(A24,Buchwert_je_Aktie!A3:AC68,15,FALSE)</f>
        <v>30.608000000000004</v>
      </c>
      <c r="O24" s="13">
        <f ca="1">VLOOKUP(A24,Buchwert_je_Aktie!A3:AC68,19,FALSE)</f>
        <v>7.2620810826506954E-3</v>
      </c>
      <c r="P24" s="13">
        <f>VLOOKUP(A24,Buchwert_je_Aktie!A3:AC68,29,FALSE)</f>
        <v>-9.1919495343947055E-2</v>
      </c>
      <c r="Q24" s="19">
        <f t="shared" ca="1" si="6"/>
        <v>27.996374203130735</v>
      </c>
      <c r="R24" s="13">
        <f t="shared" ca="1" si="3"/>
        <v>-8.5324941089560569E-2</v>
      </c>
      <c r="S24" s="58">
        <f ca="1">IF(O24&lt;Bewertung_Stammdaten!D$24,Bewertung_Stammdaten!C$24,IF(O24&lt;Bewertung_Stammdaten!D$25,Bewertung_Stammdaten!C$25,IF(O24&lt;Bewertung_Stammdaten!D$26,Bewertung_Stammdaten!C$26,IF(O24&lt;Bewertung_Stammdaten!D$27,Bewertung_Stammdaten!C$27,IF(O24&lt;Bewertung_Stammdaten!D$28,Bewertung_Stammdaten!C$28,IF(O24&lt;Bewertung_Stammdaten!D$29,Bewertung_Stammdaten!C$29,IF(O24&lt;Bewertung_Stammdaten!D$30,Bewertung_Stammdaten!C$30,IF(O24&lt;Bewertung_Stammdaten!D$31,Bewertung_Stammdaten!C$31,IF(O24&lt;Bewertung_Stammdaten!D$32,Bewertung_Stammdaten!C$32,Bewertung_Stammdaten!C$33)))))))))</f>
        <v>4</v>
      </c>
      <c r="T24" s="58">
        <f>IF(P24&lt;Bewertung_Stammdaten!F$24,Bewertung_Stammdaten!E$24,IF(P24&lt;Bewertung_Stammdaten!F$25,Bewertung_Stammdaten!E$25,IF(P24&lt;Bewertung_Stammdaten!F$26,Bewertung_Stammdaten!E$26,IF(P24&lt;Bewertung_Stammdaten!F$27,Bewertung_Stammdaten!E$27,IF(P24&lt;Bewertung_Stammdaten!F$28,Bewertung_Stammdaten!E$28,IF(P24&lt;Bewertung_Stammdaten!F$29,Bewertung_Stammdaten!E$29,IF(P24&lt;Bewertung_Stammdaten!F$30,Bewertung_Stammdaten!E$30,IF(P24&lt;Bewertung_Stammdaten!F$31,Bewertung_Stammdaten!E$31,IF(P24&lt;Bewertung_Stammdaten!F$32,Bewertung_Stammdaten!E$32,Bewertung_Stammdaten!E$33)))))))))</f>
        <v>9</v>
      </c>
      <c r="U24" s="58">
        <f ca="1">IF(R24&lt;Bewertung_Stammdaten!H$24,Bewertung_Stammdaten!G$24,IF(R24&lt;Bewertung_Stammdaten!H$25,Bewertung_Stammdaten!G$25,IF(R24&lt;Bewertung_Stammdaten!H$26,Bewertung_Stammdaten!G$26,IF(R24&lt;Bewertung_Stammdaten!H$27,Bewertung_Stammdaten!G$27,IF(R24&lt;Bewertung_Stammdaten!H$28,Bewertung_Stammdaten!G$28,IF(R24&lt;Bewertung_Stammdaten!H$29,Bewertung_Stammdaten!G$29,IF(R24&lt;Bewertung_Stammdaten!H$30,Bewertung_Stammdaten!G$30,IF(R24&lt;Bewertung_Stammdaten!H$31,Bewertung_Stammdaten!G$31,IF(R24&lt;Bewertung_Stammdaten!H$32,Bewertung_Stammdaten!G$32,Bewertung_Stammdaten!G$33)))))))))</f>
        <v>1</v>
      </c>
      <c r="V24" s="49"/>
      <c r="W24" s="17">
        <f ca="1">VLOOKUP(A24,Ergebnis_je_Aktie_verwässert!A3:S68,18,FALSE)</f>
        <v>5.636055555555556</v>
      </c>
      <c r="X24" s="17">
        <f>VLOOKUP(A24,Ergebnis_je_Aktie_verwässert!A3:S68,15,FALSE)</f>
        <v>3.2789999999999999</v>
      </c>
      <c r="Y24" s="13">
        <f ca="1">VLOOKUP(A24,Ergebnis_je_Aktie_verwässert!A3:S68,19,FALSE)</f>
        <v>0.71883365524719611</v>
      </c>
      <c r="Z24" s="46">
        <f>VLOOKUP(A24,Ergebnis_je_Aktie_verwässert!A3:AC68,29,FALSE)</f>
        <v>-2.2236024844720497</v>
      </c>
      <c r="AA24" s="19">
        <f t="shared" ca="1" si="4"/>
        <v>-6.8962915804002769</v>
      </c>
      <c r="AB24" s="13">
        <f t="shared" ca="1" si="5"/>
        <v>-3.1031691309546439</v>
      </c>
      <c r="AC24" s="36">
        <f ca="1">IF(Y24&lt;Bewertung_Stammdaten!L$11,Bewertung_Stammdaten!K$11,IF(Y24&lt;Bewertung_Stammdaten!L$12,Bewertung_Stammdaten!K$12,IF(Y24&lt;Bewertung_Stammdaten!L$13,Bewertung_Stammdaten!K$13,IF(Y24&lt;Bewertung_Stammdaten!L$14,Bewertung_Stammdaten!K$14,IF(Y24&lt;Bewertung_Stammdaten!L$15,Bewertung_Stammdaten!K$15,IF(Y24&lt;Bewertung_Stammdaten!L$16,Bewertung_Stammdaten!K$16,IF(Y24&lt;Bewertung_Stammdaten!L$17,Bewertung_Stammdaten!K$17,IF(Y24&lt;Bewertung_Stammdaten!L$18,Bewertung_Stammdaten!K$18,IF(Y24&lt;Bewertung_Stammdaten!L$19,Bewertung_Stammdaten!K$19,Bewertung_Stammdaten!K$20)))))))))</f>
        <v>18</v>
      </c>
      <c r="AD24" s="36">
        <f>IF(Z24&lt;Bewertung_Stammdaten!R$11,Bewertung_Stammdaten!Q$11,IF(Z24&lt;Bewertung_Stammdaten!R$12,Bewertung_Stammdaten!Q$12,IF(Z24&lt;Bewertung_Stammdaten!R$13,Bewertung_Stammdaten!Q$13,IF(Z24&lt;Bewertung_Stammdaten!R$14,Bewertung_Stammdaten!Q$14,IF(Z24&lt;Bewertung_Stammdaten!R$15,Bewertung_Stammdaten!Q$15,IF(Z24&lt;Bewertung_Stammdaten!R$16,Bewertung_Stammdaten!Q$16,IF(Z24&lt;Bewertung_Stammdaten!R$17,Bewertung_Stammdaten!Q$17,IF(Z24&lt;Bewertung_Stammdaten!R$18,Bewertung_Stammdaten!Q$18,IF(Z24&lt;Bewertung_Stammdaten!R$19,Bewertung_Stammdaten!Q$19,Bewertung_Stammdaten!Q$20)))))))))</f>
        <v>1</v>
      </c>
      <c r="AE24" s="36">
        <f ca="1">IF(AB24&lt;Bewertung_Stammdaten!P$11,Bewertung_Stammdaten!O$11,IF(AB24&lt;Bewertung_Stammdaten!P$12,Bewertung_Stammdaten!O$12,IF(AB24&lt;Bewertung_Stammdaten!P$13,Bewertung_Stammdaten!O$13,IF(AB24&lt;Bewertung_Stammdaten!P$14,Bewertung_Stammdaten!O$14,IF(AB24&lt;Bewertung_Stammdaten!P$15,Bewertung_Stammdaten!O$15,IF(AB24&lt;Bewertung_Stammdaten!P$16,Bewertung_Stammdaten!O$16,IF(AB24&lt;Bewertung_Stammdaten!P$17,Bewertung_Stammdaten!O$17,IF(AB24&lt;Bewertung_Stammdaten!P$18,Bewertung_Stammdaten!O$18,IF(AB24&lt;Bewertung_Stammdaten!P$19,Bewertung_Stammdaten!O$19,Bewertung_Stammdaten!O$20)))))))))</f>
        <v>1</v>
      </c>
      <c r="AF24" s="49"/>
      <c r="AG24" s="13">
        <f ca="1">VLOOKUP(A24,Dividendenrendite!A3:S68,18,FALSE)</f>
        <v>3.8787777777777775E-2</v>
      </c>
      <c r="AH24" s="13">
        <f>VLOOKUP(A24,Dividendenrendite!A3:S68,15,FALSE)</f>
        <v>3.2649999999999998E-2</v>
      </c>
      <c r="AI24" s="13">
        <f ca="1">VLOOKUP(A24,Dividendenrendite!A3:S68,19,FALSE)</f>
        <v>0.18798706823209121</v>
      </c>
      <c r="AJ24" s="36">
        <f ca="1">IF(AG24&lt;Bewertung_Stammdaten!D$11,Bewertung_Stammdaten!C$11,IF(AG24&lt;Bewertung_Stammdaten!D$12,Bewertung_Stammdaten!C$12,IF(AG24&lt;Bewertung_Stammdaten!D$13,Bewertung_Stammdaten!C$13,IF(AG24&lt;Bewertung_Stammdaten!D$14,Bewertung_Stammdaten!C$14,IF(AG24&lt;Bewertung_Stammdaten!D$15,Bewertung_Stammdaten!C$15,IF(AG24&lt;Bewertung_Stammdaten!D$16,Bewertung_Stammdaten!C$16,IF(AG24&lt;Bewertung_Stammdaten!D$17,Bewertung_Stammdaten!C$17,IF(AG24&lt;Bewertung_Stammdaten!D$18,Bewertung_Stammdaten!C$18,IF(AG24&lt;Bewertung_Stammdaten!D$19,Bewertung_Stammdaten!C$19,Bewertung_Stammdaten!C$20)))))))))</f>
        <v>12</v>
      </c>
      <c r="AK24" s="36">
        <f>IF(AH24&lt;Bewertung_Stammdaten!T$11,Bewertung_Stammdaten!S$11,IF(AH24&lt;Bewertung_Stammdaten!T$12,Bewertung_Stammdaten!S$12,IF(AH24&lt;Bewertung_Stammdaten!T$13,Bewertung_Stammdaten!S$13,IF(AH24&lt;Bewertung_Stammdaten!T$14,Bewertung_Stammdaten!S$14,IF(AH24&lt;Bewertung_Stammdaten!T$15,Bewertung_Stammdaten!S$15,IF(AH24&lt;Bewertung_Stammdaten!T$16,Bewertung_Stammdaten!S$16,IF(AH24&lt;Bewertung_Stammdaten!T$17,Bewertung_Stammdaten!S$17,IF(AH24&lt;Bewertung_Stammdaten!T$18,Bewertung_Stammdaten!S$18,IF(AH24&lt;Bewertung_Stammdaten!T$19,Bewertung_Stammdaten!S$19,Bewertung_Stammdaten!S$20)))))))))</f>
        <v>7</v>
      </c>
      <c r="AL24" s="36">
        <f ca="1">IF(AI24&lt;Bewertung_Stammdaten!F$11,Bewertung_Stammdaten!E$11,IF(AI24&lt;Bewertung_Stammdaten!F$12,Bewertung_Stammdaten!E$12,IF(AI24&lt;Bewertung_Stammdaten!F$13,Bewertung_Stammdaten!E$13,IF(AI24&lt;Bewertung_Stammdaten!F$14,Bewertung_Stammdaten!E$14,IF(AI24&lt;Bewertung_Stammdaten!F$15,Bewertung_Stammdaten!E$15,IF(AI24&lt;Bewertung_Stammdaten!F$16,Bewertung_Stammdaten!E$16,IF(AI24&lt;Bewertung_Stammdaten!F$17,Bewertung_Stammdaten!E$17,IF(AI24&lt;Bewertung_Stammdaten!F$18,Bewertung_Stammdaten!E$18,IF(AI24&lt;Bewertung_Stammdaten!F$19,Bewertung_Stammdaten!E$19,Bewertung_Stammdaten!E$20)))))))))</f>
        <v>4.5</v>
      </c>
      <c r="AM24" s="49"/>
      <c r="AN24" s="13">
        <f>VLOOKUP(A24,Aktien_im_Umlauf_splitbereinigt!A3:W68,13,FALSE)</f>
        <v>-3.2379924446842567E-3</v>
      </c>
      <c r="AO24" s="13">
        <f>VLOOKUP(A24,Aktien_im_Umlauf_splitbereinigt!A3:W68,22,FALSE)</f>
        <v>3.289471696966547E-2</v>
      </c>
      <c r="AP24" s="13">
        <f>VLOOKUP(A24,Aktien_im_Umlauf_splitbereinigt!A3:W68,23,FALSE)</f>
        <v>1.0984350297851853</v>
      </c>
      <c r="AQ24" s="47">
        <f>IF(AN24&lt;Bewertung_Stammdaten!J$24,Bewertung_Stammdaten!I$24,IF(AN24&lt;Bewertung_Stammdaten!J$25,Bewertung_Stammdaten!I$25,IF(AN24&lt;Bewertung_Stammdaten!J$26,Bewertung_Stammdaten!I$26,IF(AN24&lt;Bewertung_Stammdaten!J$27,Bewertung_Stammdaten!I$27,IF(AN24&lt;Bewertung_Stammdaten!J$28,Bewertung_Stammdaten!I$28,IF(AN24&lt;Bewertung_Stammdaten!J$29,Bewertung_Stammdaten!I$29,IF(AN24&lt;Bewertung_Stammdaten!J$30,Bewertung_Stammdaten!I$30,IF(AN24&lt;Bewertung_Stammdaten!J$31,Bewertung_Stammdaten!I$31,IF(AN24&lt;Bewertung_Stammdaten!J$32,Bewertung_Stammdaten!I$32,Bewertung_Stammdaten!I$33)))))))))</f>
        <v>1.5</v>
      </c>
      <c r="AR24" s="47">
        <f>IF(AO24&lt;Bewertung_Stammdaten!L$24,Bewertung_Stammdaten!K$24,IF(AO24&lt;Bewertung_Stammdaten!L$25,Bewertung_Stammdaten!K$25,IF(AO24&lt;Bewertung_Stammdaten!L$26,Bewertung_Stammdaten!K$26,IF(AO24&lt;Bewertung_Stammdaten!L$27,Bewertung_Stammdaten!K$27,IF(AO24&lt;Bewertung_Stammdaten!L$28,Bewertung_Stammdaten!K$28,IF(AO24&lt;Bewertung_Stammdaten!L$29,Bewertung_Stammdaten!K$29,IF(AO24&lt;Bewertung_Stammdaten!L$30,Bewertung_Stammdaten!K$30,IF(AO24&lt;Bewertung_Stammdaten!L$31,Bewertung_Stammdaten!K$31,IF(AO24&lt;Bewertung_Stammdaten!L$32,Bewertung_Stammdaten!K$32,Bewertung_Stammdaten!K$33)))))))))</f>
        <v>0.5</v>
      </c>
      <c r="AS24" s="47">
        <f>IF(AP24&lt;Bewertung_Stammdaten!N$24,Bewertung_Stammdaten!M$24,IF(AP24&lt;Bewertung_Stammdaten!N$25,Bewertung_Stammdaten!M$25,IF(AP24&lt;Bewertung_Stammdaten!N$26,Bewertung_Stammdaten!M$26,IF(AP24&lt;Bewertung_Stammdaten!N$27,Bewertung_Stammdaten!M$27,IF(AP24&lt;Bewertung_Stammdaten!N$28,Bewertung_Stammdaten!M$28,IF(AP24&lt;Bewertung_Stammdaten!N$29,Bewertung_Stammdaten!M$29,IF(AP24&lt;Bewertung_Stammdaten!N$30,Bewertung_Stammdaten!M$30,IF(AP24&lt;Bewertung_Stammdaten!N$31,Bewertung_Stammdaten!M$31,IF(AP24&lt;Bewertung_Stammdaten!N$32,Bewertung_Stammdaten!M$32,Bewertung_Stammdaten!M$33)))))))))</f>
        <v>5</v>
      </c>
      <c r="AT24" s="49"/>
      <c r="AU24" s="13">
        <f ca="1">VLOOKUP(A24,Ausschüttungsquote!A3:S68,18,FALSE)</f>
        <v>0.38867034332971223</v>
      </c>
      <c r="AV24" s="13">
        <f>VLOOKUP(A24,Ausschüttungsquote!A3:S68,15,FALSE)</f>
        <v>0.48015830746530025</v>
      </c>
      <c r="AW24" s="13">
        <f ca="1">VLOOKUP(A24,Ausschüttungsquote!A3:S68,19,FALSE)</f>
        <v>-0.190537084776357</v>
      </c>
      <c r="AX24" s="36">
        <f ca="1">IF(AU24&lt;Bewertung_Stammdaten!H$11,Bewertung_Stammdaten!G$11,IF(AU24&lt;Bewertung_Stammdaten!H$12,Bewertung_Stammdaten!G$12,IF(AU24&lt;Bewertung_Stammdaten!H$13,Bewertung_Stammdaten!G$13,IF(AU24&lt;Bewertung_Stammdaten!H$14,Bewertung_Stammdaten!G$14,IF(AU24&lt;Bewertung_Stammdaten!H$15,Bewertung_Stammdaten!G$15,IF(AU24&lt;Bewertung_Stammdaten!H$16,Bewertung_Stammdaten!G$16,IF(AU24&lt;Bewertung_Stammdaten!H$17,Bewertung_Stammdaten!G$17,IF(AU24&lt;Bewertung_Stammdaten!H$18,Bewertung_Stammdaten!G$18,IF(AU24&lt;Bewertung_Stammdaten!H$19,Bewertung_Stammdaten!G$19,Bewertung_Stammdaten!G$20)))))))))</f>
        <v>5</v>
      </c>
      <c r="AY24" s="47">
        <f>IF(AV24&lt;Bewertung_Stammdaten!B$24,Bewertung_Stammdaten!A$24,IF(AV24&lt;Bewertung_Stammdaten!B$25,Bewertung_Stammdaten!A$25,IF(AV24&lt;Bewertung_Stammdaten!B$26,Bewertung_Stammdaten!A$26,IF(AV24&lt;Bewertung_Stammdaten!B$27,Bewertung_Stammdaten!A$27,IF(AV24&lt;Bewertung_Stammdaten!B$28,Bewertung_Stammdaten!A$28,IF(AV24&lt;Bewertung_Stammdaten!B$29,Bewertung_Stammdaten!A$29,IF(AV24&lt;Bewertung_Stammdaten!B$30,Bewertung_Stammdaten!A$30,IF(AV24&lt;Bewertung_Stammdaten!B$31,Bewertung_Stammdaten!A$31,IF(AV24&lt;Bewertung_Stammdaten!B$32,Bewertung_Stammdaten!A$32,Bewertung_Stammdaten!A$33)))))))))</f>
        <v>4</v>
      </c>
      <c r="AZ24" s="36">
        <f ca="1">IF(AW24&lt;Bewertung_Stammdaten!J$11,Bewertung_Stammdaten!I$11,IF(AW24&lt;Bewertung_Stammdaten!J$12,Bewertung_Stammdaten!I$12,IF(AW24&lt;Bewertung_Stammdaten!J$13,Bewertung_Stammdaten!I$13,IF(AW24&lt;Bewertung_Stammdaten!J$14,Bewertung_Stammdaten!I$14,IF(AW24&lt;Bewertung_Stammdaten!J$15,Bewertung_Stammdaten!I$15,IF(AW24&lt;Bewertung_Stammdaten!J$16,Bewertung_Stammdaten!I$16,IF(AW24&lt;Bewertung_Stammdaten!J$17,Bewertung_Stammdaten!I$17,IF(AW24&lt;Bewertung_Stammdaten!J$18,Bewertung_Stammdaten!I$18,IF(AW24&lt;Bewertung_Stammdaten!J$19,Bewertung_Stammdaten!I$19,Bewertung_Stammdaten!I$20)))))))))</f>
        <v>4.5</v>
      </c>
    </row>
    <row r="25" spans="1:52" x14ac:dyDescent="0.25">
      <c r="A25" s="44" t="s">
        <v>46</v>
      </c>
      <c r="B25" s="44" t="s">
        <v>47</v>
      </c>
      <c r="C25" s="36">
        <f t="shared" ca="1" si="0"/>
        <v>79</v>
      </c>
      <c r="D25" s="49"/>
      <c r="E25" s="12">
        <f ca="1">VLOOKUP(A25,KGV!A3:S68,18,FALSE)</f>
        <v>10.278055555555554</v>
      </c>
      <c r="F25" s="12">
        <f>VLOOKUP(A25,KGV!A3:S68,15,FALSE)</f>
        <v>6.5</v>
      </c>
      <c r="G25" s="13">
        <f ca="1">VLOOKUP(A25,KGV!A3:S68,19,FALSE)</f>
        <v>0.58123931623931591</v>
      </c>
      <c r="H25" s="19">
        <f t="shared" ca="1" si="1"/>
        <v>99</v>
      </c>
      <c r="I25" s="13">
        <f t="shared" ca="1" si="2"/>
        <v>14.23076923076923</v>
      </c>
      <c r="J25" s="36">
        <f ca="1">IF(G25&lt;Bewertung_Stammdaten!B$11,Bewertung_Stammdaten!A$11,IF(G25&lt;Bewertung_Stammdaten!B$12,Bewertung_Stammdaten!A$12,IF(G25&lt;Bewertung_Stammdaten!B$13,Bewertung_Stammdaten!A$13,IF(G25&lt;Bewertung_Stammdaten!B$14,Bewertung_Stammdaten!A$14,IF(G25&lt;Bewertung_Stammdaten!B$15,Bewertung_Stammdaten!A$15,IF(G25&lt;Bewertung_Stammdaten!B$16,Bewertung_Stammdaten!A$16,IF(G25&lt;Bewertung_Stammdaten!B$17,Bewertung_Stammdaten!A$17,IF(G25&lt;Bewertung_Stammdaten!B$18,Bewertung_Stammdaten!A$18,IF(G25&lt;Bewertung_Stammdaten!B$19,Bewertung_Stammdaten!A$19,Bewertung_Stammdaten!A$20)))))))))</f>
        <v>2</v>
      </c>
      <c r="K25" s="36">
        <f ca="1">IF(I25&lt;Bewertung_Stammdaten!N$11,Bewertung_Stammdaten!M$11,IF(I25&lt;Bewertung_Stammdaten!N$12,Bewertung_Stammdaten!M$12,IF(I25&lt;Bewertung_Stammdaten!N$13,Bewertung_Stammdaten!M$13,IF(I25&lt;Bewertung_Stammdaten!N$14,Bewertung_Stammdaten!M$14,IF(I25&lt;Bewertung_Stammdaten!N$15,Bewertung_Stammdaten!M$15,IF(I25&lt;Bewertung_Stammdaten!N$16,Bewertung_Stammdaten!M$16,IF(I25&lt;Bewertung_Stammdaten!N$17,Bewertung_Stammdaten!M$17,IF(I25&lt;Bewertung_Stammdaten!N$18,Bewertung_Stammdaten!M$18,IF(I25&lt;Bewertung_Stammdaten!N$19,Bewertung_Stammdaten!M$19,Bewertung_Stammdaten!M$20)))))))))</f>
        <v>1</v>
      </c>
      <c r="L25" s="49"/>
      <c r="M25" s="12">
        <f ca="1">VLOOKUP(A25,Buchwert_je_Aktie!A3:AC68,18,FALSE)</f>
        <v>7.2569999999999997</v>
      </c>
      <c r="N25" s="12">
        <f>VLOOKUP(A25,Buchwert_je_Aktie!A3:AC68,15,FALSE)</f>
        <v>5.081999999999999</v>
      </c>
      <c r="O25" s="13">
        <f ca="1">VLOOKUP(A25,Buchwert_je_Aktie!A3:AC68,19,FALSE)</f>
        <v>0.42798110979929183</v>
      </c>
      <c r="P25" s="13">
        <f>VLOOKUP(A25,Buchwert_je_Aktie!A3:AC68,29,FALSE)</f>
        <v>-6.8265682656826643E-2</v>
      </c>
      <c r="Q25" s="19">
        <f t="shared" ca="1" si="6"/>
        <v>6.7615959409594089</v>
      </c>
      <c r="R25" s="13">
        <f t="shared" ca="1" si="3"/>
        <v>0.33049900451779024</v>
      </c>
      <c r="S25" s="58">
        <f ca="1">IF(O25&lt;Bewertung_Stammdaten!D$24,Bewertung_Stammdaten!C$24,IF(O25&lt;Bewertung_Stammdaten!D$25,Bewertung_Stammdaten!C$25,IF(O25&lt;Bewertung_Stammdaten!D$26,Bewertung_Stammdaten!C$26,IF(O25&lt;Bewertung_Stammdaten!D$27,Bewertung_Stammdaten!C$27,IF(O25&lt;Bewertung_Stammdaten!D$28,Bewertung_Stammdaten!C$28,IF(O25&lt;Bewertung_Stammdaten!D$29,Bewertung_Stammdaten!C$29,IF(O25&lt;Bewertung_Stammdaten!D$30,Bewertung_Stammdaten!C$30,IF(O25&lt;Bewertung_Stammdaten!D$31,Bewertung_Stammdaten!C$31,IF(O25&lt;Bewertung_Stammdaten!D$32,Bewertung_Stammdaten!C$32,Bewertung_Stammdaten!C$33)))))))))</f>
        <v>12</v>
      </c>
      <c r="T25" s="58">
        <f>IF(P25&lt;Bewertung_Stammdaten!F$24,Bewertung_Stammdaten!E$24,IF(P25&lt;Bewertung_Stammdaten!F$25,Bewertung_Stammdaten!E$25,IF(P25&lt;Bewertung_Stammdaten!F$26,Bewertung_Stammdaten!E$26,IF(P25&lt;Bewertung_Stammdaten!F$27,Bewertung_Stammdaten!E$27,IF(P25&lt;Bewertung_Stammdaten!F$28,Bewertung_Stammdaten!E$28,IF(P25&lt;Bewertung_Stammdaten!F$29,Bewertung_Stammdaten!E$29,IF(P25&lt;Bewertung_Stammdaten!F$30,Bewertung_Stammdaten!E$30,IF(P25&lt;Bewertung_Stammdaten!F$31,Bewertung_Stammdaten!E$31,IF(P25&lt;Bewertung_Stammdaten!F$32,Bewertung_Stammdaten!E$32,Bewertung_Stammdaten!E$33)))))))))</f>
        <v>9</v>
      </c>
      <c r="U25" s="58">
        <f ca="1">IF(R25&lt;Bewertung_Stammdaten!H$24,Bewertung_Stammdaten!G$24,IF(R25&lt;Bewertung_Stammdaten!H$25,Bewertung_Stammdaten!G$25,IF(R25&lt;Bewertung_Stammdaten!H$26,Bewertung_Stammdaten!G$26,IF(R25&lt;Bewertung_Stammdaten!H$27,Bewertung_Stammdaten!G$27,IF(R25&lt;Bewertung_Stammdaten!H$28,Bewertung_Stammdaten!G$28,IF(R25&lt;Bewertung_Stammdaten!H$29,Bewertung_Stammdaten!G$29,IF(R25&lt;Bewertung_Stammdaten!H$30,Bewertung_Stammdaten!G$30,IF(R25&lt;Bewertung_Stammdaten!H$31,Bewertung_Stammdaten!G$31,IF(R25&lt;Bewertung_Stammdaten!H$32,Bewertung_Stammdaten!G$32,Bewertung_Stammdaten!G$33)))))))))</f>
        <v>5</v>
      </c>
      <c r="V25" s="49"/>
      <c r="W25" s="17">
        <f ca="1">VLOOKUP(A25,Ergebnis_je_Aktie_verwässert!A3:S68,18,FALSE)</f>
        <v>0.82013888888888886</v>
      </c>
      <c r="X25" s="17">
        <f>VLOOKUP(A25,Ergebnis_je_Aktie_verwässert!A3:S68,15,FALSE)</f>
        <v>0.88900000000000001</v>
      </c>
      <c r="Y25" s="13">
        <f ca="1">VLOOKUP(A25,Ergebnis_je_Aktie_verwässert!A3:S68,19,FALSE)</f>
        <v>-7.7459067616547972E-2</v>
      </c>
      <c r="Z25" s="46">
        <f>VLOOKUP(A25,Ergebnis_je_Aktie_verwässert!A3:AC68,29,FALSE)</f>
        <v>-7.7</v>
      </c>
      <c r="AA25" s="19">
        <f t="shared" ca="1" si="4"/>
        <v>-5.4949305555555554</v>
      </c>
      <c r="AB25" s="13">
        <f t="shared" ca="1" si="5"/>
        <v>-7.1810242469691286</v>
      </c>
      <c r="AC25" s="36">
        <f ca="1">IF(Y25&lt;Bewertung_Stammdaten!L$11,Bewertung_Stammdaten!K$11,IF(Y25&lt;Bewertung_Stammdaten!L$12,Bewertung_Stammdaten!K$12,IF(Y25&lt;Bewertung_Stammdaten!L$13,Bewertung_Stammdaten!K$13,IF(Y25&lt;Bewertung_Stammdaten!L$14,Bewertung_Stammdaten!K$14,IF(Y25&lt;Bewertung_Stammdaten!L$15,Bewertung_Stammdaten!K$15,IF(Y25&lt;Bewertung_Stammdaten!L$16,Bewertung_Stammdaten!K$16,IF(Y25&lt;Bewertung_Stammdaten!L$17,Bewertung_Stammdaten!K$17,IF(Y25&lt;Bewertung_Stammdaten!L$18,Bewertung_Stammdaten!K$18,IF(Y25&lt;Bewertung_Stammdaten!L$19,Bewertung_Stammdaten!K$19,Bewertung_Stammdaten!K$20)))))))))</f>
        <v>2</v>
      </c>
      <c r="AD25" s="36">
        <f>IF(Z25&lt;Bewertung_Stammdaten!R$11,Bewertung_Stammdaten!Q$11,IF(Z25&lt;Bewertung_Stammdaten!R$12,Bewertung_Stammdaten!Q$12,IF(Z25&lt;Bewertung_Stammdaten!R$13,Bewertung_Stammdaten!Q$13,IF(Z25&lt;Bewertung_Stammdaten!R$14,Bewertung_Stammdaten!Q$14,IF(Z25&lt;Bewertung_Stammdaten!R$15,Bewertung_Stammdaten!Q$15,IF(Z25&lt;Bewertung_Stammdaten!R$16,Bewertung_Stammdaten!Q$16,IF(Z25&lt;Bewertung_Stammdaten!R$17,Bewertung_Stammdaten!Q$17,IF(Z25&lt;Bewertung_Stammdaten!R$18,Bewertung_Stammdaten!Q$18,IF(Z25&lt;Bewertung_Stammdaten!R$19,Bewertung_Stammdaten!Q$19,Bewertung_Stammdaten!Q$20)))))))))</f>
        <v>1</v>
      </c>
      <c r="AE25" s="36">
        <f ca="1">IF(AB25&lt;Bewertung_Stammdaten!P$11,Bewertung_Stammdaten!O$11,IF(AB25&lt;Bewertung_Stammdaten!P$12,Bewertung_Stammdaten!O$12,IF(AB25&lt;Bewertung_Stammdaten!P$13,Bewertung_Stammdaten!O$13,IF(AB25&lt;Bewertung_Stammdaten!P$14,Bewertung_Stammdaten!O$14,IF(AB25&lt;Bewertung_Stammdaten!P$15,Bewertung_Stammdaten!O$15,IF(AB25&lt;Bewertung_Stammdaten!P$16,Bewertung_Stammdaten!O$16,IF(AB25&lt;Bewertung_Stammdaten!P$17,Bewertung_Stammdaten!O$17,IF(AB25&lt;Bewertung_Stammdaten!P$18,Bewertung_Stammdaten!O$18,IF(AB25&lt;Bewertung_Stammdaten!P$19,Bewertung_Stammdaten!O$19,Bewertung_Stammdaten!O$20)))))))))</f>
        <v>1</v>
      </c>
      <c r="AF25" s="49"/>
      <c r="AG25" s="13">
        <f ca="1">VLOOKUP(A25,Dividendenrendite!A3:S68,18,FALSE)</f>
        <v>4.8606944444444439E-2</v>
      </c>
      <c r="AH25" s="13">
        <f>VLOOKUP(A25,Dividendenrendite!A3:S68,15,FALSE)</f>
        <v>5.5479999999999995E-2</v>
      </c>
      <c r="AI25" s="13">
        <f ca="1">VLOOKUP(A25,Dividendenrendite!A3:S68,19,FALSE)</f>
        <v>-0.12388348153488749</v>
      </c>
      <c r="AJ25" s="36">
        <f ca="1">IF(AG25&lt;Bewertung_Stammdaten!D$11,Bewertung_Stammdaten!C$11,IF(AG25&lt;Bewertung_Stammdaten!D$12,Bewertung_Stammdaten!C$12,IF(AG25&lt;Bewertung_Stammdaten!D$13,Bewertung_Stammdaten!C$13,IF(AG25&lt;Bewertung_Stammdaten!D$14,Bewertung_Stammdaten!C$14,IF(AG25&lt;Bewertung_Stammdaten!D$15,Bewertung_Stammdaten!C$15,IF(AG25&lt;Bewertung_Stammdaten!D$16,Bewertung_Stammdaten!C$16,IF(AG25&lt;Bewertung_Stammdaten!D$17,Bewertung_Stammdaten!C$17,IF(AG25&lt;Bewertung_Stammdaten!D$18,Bewertung_Stammdaten!C$18,IF(AG25&lt;Bewertung_Stammdaten!D$19,Bewertung_Stammdaten!C$19,Bewertung_Stammdaten!C$20)))))))))</f>
        <v>15</v>
      </c>
      <c r="AK25" s="36">
        <f>IF(AH25&lt;Bewertung_Stammdaten!T$11,Bewertung_Stammdaten!S$11,IF(AH25&lt;Bewertung_Stammdaten!T$12,Bewertung_Stammdaten!S$12,IF(AH25&lt;Bewertung_Stammdaten!T$13,Bewertung_Stammdaten!S$13,IF(AH25&lt;Bewertung_Stammdaten!T$14,Bewertung_Stammdaten!S$14,IF(AH25&lt;Bewertung_Stammdaten!T$15,Bewertung_Stammdaten!S$15,IF(AH25&lt;Bewertung_Stammdaten!T$16,Bewertung_Stammdaten!S$16,IF(AH25&lt;Bewertung_Stammdaten!T$17,Bewertung_Stammdaten!S$17,IF(AH25&lt;Bewertung_Stammdaten!T$18,Bewertung_Stammdaten!S$18,IF(AH25&lt;Bewertung_Stammdaten!T$19,Bewertung_Stammdaten!S$19,Bewertung_Stammdaten!S$20)))))))))</f>
        <v>10</v>
      </c>
      <c r="AL25" s="36">
        <f ca="1">IF(AI25&lt;Bewertung_Stammdaten!F$11,Bewertung_Stammdaten!E$11,IF(AI25&lt;Bewertung_Stammdaten!F$12,Bewertung_Stammdaten!E$12,IF(AI25&lt;Bewertung_Stammdaten!F$13,Bewertung_Stammdaten!E$13,IF(AI25&lt;Bewertung_Stammdaten!F$14,Bewertung_Stammdaten!E$14,IF(AI25&lt;Bewertung_Stammdaten!F$15,Bewertung_Stammdaten!E$15,IF(AI25&lt;Bewertung_Stammdaten!F$16,Bewertung_Stammdaten!E$16,IF(AI25&lt;Bewertung_Stammdaten!F$17,Bewertung_Stammdaten!E$17,IF(AI25&lt;Bewertung_Stammdaten!F$18,Bewertung_Stammdaten!E$18,IF(AI25&lt;Bewertung_Stammdaten!F$19,Bewertung_Stammdaten!E$19,Bewertung_Stammdaten!E$20)))))))))</f>
        <v>1.5</v>
      </c>
      <c r="AM25" s="49"/>
      <c r="AN25" s="13">
        <f>VLOOKUP(A25,Aktien_im_Umlauf_splitbereinigt!A3:W68,13,FALSE)</f>
        <v>-2.7435200668896376E-2</v>
      </c>
      <c r="AO25" s="13">
        <f>VLOOKUP(A25,Aktien_im_Umlauf_splitbereinigt!A3:W68,22,FALSE)</f>
        <v>-1.7278793508137064E-2</v>
      </c>
      <c r="AP25" s="13">
        <f>VLOOKUP(A25,Aktien_im_Umlauf_splitbereinigt!A3:W68,23,FALSE)</f>
        <v>0.58779608402498562</v>
      </c>
      <c r="AQ25" s="47">
        <f>IF(AN25&lt;Bewertung_Stammdaten!J$24,Bewertung_Stammdaten!I$24,IF(AN25&lt;Bewertung_Stammdaten!J$25,Bewertung_Stammdaten!I$25,IF(AN25&lt;Bewertung_Stammdaten!J$26,Bewertung_Stammdaten!I$26,IF(AN25&lt;Bewertung_Stammdaten!J$27,Bewertung_Stammdaten!I$27,IF(AN25&lt;Bewertung_Stammdaten!J$28,Bewertung_Stammdaten!I$28,IF(AN25&lt;Bewertung_Stammdaten!J$29,Bewertung_Stammdaten!I$29,IF(AN25&lt;Bewertung_Stammdaten!J$30,Bewertung_Stammdaten!I$30,IF(AN25&lt;Bewertung_Stammdaten!J$31,Bewertung_Stammdaten!I$31,IF(AN25&lt;Bewertung_Stammdaten!J$32,Bewertung_Stammdaten!I$32,Bewertung_Stammdaten!I$33)))))))))</f>
        <v>4</v>
      </c>
      <c r="AR25" s="47">
        <f>IF(AO25&lt;Bewertung_Stammdaten!L$24,Bewertung_Stammdaten!K$24,IF(AO25&lt;Bewertung_Stammdaten!L$25,Bewertung_Stammdaten!K$25,IF(AO25&lt;Bewertung_Stammdaten!L$26,Bewertung_Stammdaten!K$26,IF(AO25&lt;Bewertung_Stammdaten!L$27,Bewertung_Stammdaten!K$27,IF(AO25&lt;Bewertung_Stammdaten!L$28,Bewertung_Stammdaten!K$28,IF(AO25&lt;Bewertung_Stammdaten!L$29,Bewertung_Stammdaten!K$29,IF(AO25&lt;Bewertung_Stammdaten!L$30,Bewertung_Stammdaten!K$30,IF(AO25&lt;Bewertung_Stammdaten!L$31,Bewertung_Stammdaten!K$31,IF(AO25&lt;Bewertung_Stammdaten!L$32,Bewertung_Stammdaten!K$32,Bewertung_Stammdaten!K$33)))))))))</f>
        <v>3</v>
      </c>
      <c r="AS25" s="47">
        <f>IF(AP25&lt;Bewertung_Stammdaten!N$24,Bewertung_Stammdaten!M$24,IF(AP25&lt;Bewertung_Stammdaten!N$25,Bewertung_Stammdaten!M$25,IF(AP25&lt;Bewertung_Stammdaten!N$26,Bewertung_Stammdaten!M$26,IF(AP25&lt;Bewertung_Stammdaten!N$27,Bewertung_Stammdaten!M$27,IF(AP25&lt;Bewertung_Stammdaten!N$28,Bewertung_Stammdaten!M$28,IF(AP25&lt;Bewertung_Stammdaten!N$29,Bewertung_Stammdaten!M$29,IF(AP25&lt;Bewertung_Stammdaten!N$30,Bewertung_Stammdaten!M$30,IF(AP25&lt;Bewertung_Stammdaten!N$31,Bewertung_Stammdaten!M$31,IF(AP25&lt;Bewertung_Stammdaten!N$32,Bewertung_Stammdaten!M$32,Bewertung_Stammdaten!M$33)))))))))</f>
        <v>4</v>
      </c>
      <c r="AT25" s="49"/>
      <c r="AU25" s="13">
        <f ca="1">VLOOKUP(A25,Ausschüttungsquote!A3:S68,18,FALSE)</f>
        <v>0.50251406469760895</v>
      </c>
      <c r="AV25" s="13">
        <f>VLOOKUP(A25,Ausschüttungsquote!A3:S68,15,FALSE)</f>
        <v>0.4061800775296891</v>
      </c>
      <c r="AW25" s="13">
        <f ca="1">VLOOKUP(A25,Ausschüttungsquote!A3:S68,19,FALSE)</f>
        <v>0.23717063562990348</v>
      </c>
      <c r="AX25" s="36">
        <f ca="1">IF(AU25&lt;Bewertung_Stammdaten!H$11,Bewertung_Stammdaten!G$11,IF(AU25&lt;Bewertung_Stammdaten!H$12,Bewertung_Stammdaten!G$12,IF(AU25&lt;Bewertung_Stammdaten!H$13,Bewertung_Stammdaten!G$13,IF(AU25&lt;Bewertung_Stammdaten!H$14,Bewertung_Stammdaten!G$14,IF(AU25&lt;Bewertung_Stammdaten!H$15,Bewertung_Stammdaten!G$15,IF(AU25&lt;Bewertung_Stammdaten!H$16,Bewertung_Stammdaten!G$16,IF(AU25&lt;Bewertung_Stammdaten!H$17,Bewertung_Stammdaten!G$17,IF(AU25&lt;Bewertung_Stammdaten!H$18,Bewertung_Stammdaten!G$18,IF(AU25&lt;Bewertung_Stammdaten!H$19,Bewertung_Stammdaten!G$19,Bewertung_Stammdaten!G$20)))))))))</f>
        <v>3.5</v>
      </c>
      <c r="AY25" s="47">
        <f>IF(AV25&lt;Bewertung_Stammdaten!B$24,Bewertung_Stammdaten!A$24,IF(AV25&lt;Bewertung_Stammdaten!B$25,Bewertung_Stammdaten!A$25,IF(AV25&lt;Bewertung_Stammdaten!B$26,Bewertung_Stammdaten!A$26,IF(AV25&lt;Bewertung_Stammdaten!B$27,Bewertung_Stammdaten!A$27,IF(AV25&lt;Bewertung_Stammdaten!B$28,Bewertung_Stammdaten!A$28,IF(AV25&lt;Bewertung_Stammdaten!B$29,Bewertung_Stammdaten!A$29,IF(AV25&lt;Bewertung_Stammdaten!B$30,Bewertung_Stammdaten!A$30,IF(AV25&lt;Bewertung_Stammdaten!B$31,Bewertung_Stammdaten!A$31,IF(AV25&lt;Bewertung_Stammdaten!B$32,Bewertung_Stammdaten!A$32,Bewertung_Stammdaten!A$33)))))))))</f>
        <v>4.5</v>
      </c>
      <c r="AZ25" s="36">
        <f ca="1">IF(AW25&lt;Bewertung_Stammdaten!J$11,Bewertung_Stammdaten!I$11,IF(AW25&lt;Bewertung_Stammdaten!J$12,Bewertung_Stammdaten!I$12,IF(AW25&lt;Bewertung_Stammdaten!J$13,Bewertung_Stammdaten!I$13,IF(AW25&lt;Bewertung_Stammdaten!J$14,Bewertung_Stammdaten!I$14,IF(AW25&lt;Bewertung_Stammdaten!J$15,Bewertung_Stammdaten!I$15,IF(AW25&lt;Bewertung_Stammdaten!J$16,Bewertung_Stammdaten!I$16,IF(AW25&lt;Bewertung_Stammdaten!J$17,Bewertung_Stammdaten!I$17,IF(AW25&lt;Bewertung_Stammdaten!J$18,Bewertung_Stammdaten!I$18,IF(AW25&lt;Bewertung_Stammdaten!J$19,Bewertung_Stammdaten!I$19,Bewertung_Stammdaten!I$20)))))))))</f>
        <v>0.5</v>
      </c>
    </row>
    <row r="26" spans="1:52" x14ac:dyDescent="0.25">
      <c r="A26" s="44" t="s">
        <v>48</v>
      </c>
      <c r="B26" s="44" t="s">
        <v>49</v>
      </c>
      <c r="C26" s="36">
        <f t="shared" ca="1" si="0"/>
        <v>79</v>
      </c>
      <c r="D26" s="49"/>
      <c r="E26" s="12">
        <f ca="1">VLOOKUP(A26,KGV!A3:S68,18,FALSE)</f>
        <v>11.078055555555556</v>
      </c>
      <c r="F26" s="12">
        <f>VLOOKUP(A26,KGV!A3:S68,15,FALSE)</f>
        <v>9.8000000000000007</v>
      </c>
      <c r="G26" s="13">
        <f ca="1">VLOOKUP(A26,KGV!A3:S68,19,FALSE)</f>
        <v>0.1304138321995465</v>
      </c>
      <c r="H26" s="19">
        <f t="shared" ca="1" si="1"/>
        <v>23.13358660130719</v>
      </c>
      <c r="I26" s="13">
        <f t="shared" ca="1" si="2"/>
        <v>1.3605700613578762</v>
      </c>
      <c r="J26" s="36">
        <f ca="1">IF(G26&lt;Bewertung_Stammdaten!B$11,Bewertung_Stammdaten!A$11,IF(G26&lt;Bewertung_Stammdaten!B$12,Bewertung_Stammdaten!A$12,IF(G26&lt;Bewertung_Stammdaten!B$13,Bewertung_Stammdaten!A$13,IF(G26&lt;Bewertung_Stammdaten!B$14,Bewertung_Stammdaten!A$14,IF(G26&lt;Bewertung_Stammdaten!B$15,Bewertung_Stammdaten!A$15,IF(G26&lt;Bewertung_Stammdaten!B$16,Bewertung_Stammdaten!A$16,IF(G26&lt;Bewertung_Stammdaten!B$17,Bewertung_Stammdaten!A$17,IF(G26&lt;Bewertung_Stammdaten!B$18,Bewertung_Stammdaten!A$18,IF(G26&lt;Bewertung_Stammdaten!B$19,Bewertung_Stammdaten!A$19,Bewertung_Stammdaten!A$20)))))))))</f>
        <v>6</v>
      </c>
      <c r="K26" s="36">
        <f ca="1">IF(I26&lt;Bewertung_Stammdaten!N$11,Bewertung_Stammdaten!M$11,IF(I26&lt;Bewertung_Stammdaten!N$12,Bewertung_Stammdaten!M$12,IF(I26&lt;Bewertung_Stammdaten!N$13,Bewertung_Stammdaten!M$13,IF(I26&lt;Bewertung_Stammdaten!N$14,Bewertung_Stammdaten!M$14,IF(I26&lt;Bewertung_Stammdaten!N$15,Bewertung_Stammdaten!M$15,IF(I26&lt;Bewertung_Stammdaten!N$16,Bewertung_Stammdaten!M$16,IF(I26&lt;Bewertung_Stammdaten!N$17,Bewertung_Stammdaten!M$17,IF(I26&lt;Bewertung_Stammdaten!N$18,Bewertung_Stammdaten!M$18,IF(I26&lt;Bewertung_Stammdaten!N$19,Bewertung_Stammdaten!M$19,Bewertung_Stammdaten!M$20)))))))))</f>
        <v>1</v>
      </c>
      <c r="L26" s="49"/>
      <c r="M26" s="12">
        <f ca="1">VLOOKUP(A26,Buchwert_je_Aktie!A3:AC68,18,FALSE)</f>
        <v>30.984999999999999</v>
      </c>
      <c r="N26" s="12">
        <f>VLOOKUP(A26,Buchwert_je_Aktie!A3:AC68,15,FALSE)</f>
        <v>22.686666666666667</v>
      </c>
      <c r="O26" s="13">
        <f ca="1">VLOOKUP(A26,Buchwert_je_Aktie!A3:AC68,19,FALSE)</f>
        <v>0.36578019394651773</v>
      </c>
      <c r="P26" s="13">
        <f>VLOOKUP(A26,Buchwert_je_Aktie!A3:AC68,29,FALSE)</f>
        <v>-4.4820717131474175E-2</v>
      </c>
      <c r="Q26" s="19">
        <f t="shared" ca="1" si="6"/>
        <v>29.596230079681273</v>
      </c>
      <c r="R26" s="13">
        <f t="shared" ca="1" si="3"/>
        <v>0.30456494620987096</v>
      </c>
      <c r="S26" s="58">
        <f ca="1">IF(O26&lt;Bewertung_Stammdaten!D$24,Bewertung_Stammdaten!C$24,IF(O26&lt;Bewertung_Stammdaten!D$25,Bewertung_Stammdaten!C$25,IF(O26&lt;Bewertung_Stammdaten!D$26,Bewertung_Stammdaten!C$26,IF(O26&lt;Bewertung_Stammdaten!D$27,Bewertung_Stammdaten!C$27,IF(O26&lt;Bewertung_Stammdaten!D$28,Bewertung_Stammdaten!C$28,IF(O26&lt;Bewertung_Stammdaten!D$29,Bewertung_Stammdaten!C$29,IF(O26&lt;Bewertung_Stammdaten!D$30,Bewertung_Stammdaten!C$30,IF(O26&lt;Bewertung_Stammdaten!D$31,Bewertung_Stammdaten!C$31,IF(O26&lt;Bewertung_Stammdaten!D$32,Bewertung_Stammdaten!C$32,Bewertung_Stammdaten!C$33)))))))))</f>
        <v>10</v>
      </c>
      <c r="T26" s="58">
        <f>IF(P26&lt;Bewertung_Stammdaten!F$24,Bewertung_Stammdaten!E$24,IF(P26&lt;Bewertung_Stammdaten!F$25,Bewertung_Stammdaten!E$25,IF(P26&lt;Bewertung_Stammdaten!F$26,Bewertung_Stammdaten!E$26,IF(P26&lt;Bewertung_Stammdaten!F$27,Bewertung_Stammdaten!E$27,IF(P26&lt;Bewertung_Stammdaten!F$28,Bewertung_Stammdaten!E$28,IF(P26&lt;Bewertung_Stammdaten!F$29,Bewertung_Stammdaten!E$29,IF(P26&lt;Bewertung_Stammdaten!F$30,Bewertung_Stammdaten!E$30,IF(P26&lt;Bewertung_Stammdaten!F$31,Bewertung_Stammdaten!E$31,IF(P26&lt;Bewertung_Stammdaten!F$32,Bewertung_Stammdaten!E$32,Bewertung_Stammdaten!E$33)))))))))</f>
        <v>10.5</v>
      </c>
      <c r="U26" s="58">
        <f ca="1">IF(R26&lt;Bewertung_Stammdaten!H$24,Bewertung_Stammdaten!G$24,IF(R26&lt;Bewertung_Stammdaten!H$25,Bewertung_Stammdaten!G$25,IF(R26&lt;Bewertung_Stammdaten!H$26,Bewertung_Stammdaten!G$26,IF(R26&lt;Bewertung_Stammdaten!H$27,Bewertung_Stammdaten!G$27,IF(R26&lt;Bewertung_Stammdaten!H$28,Bewertung_Stammdaten!G$28,IF(R26&lt;Bewertung_Stammdaten!H$29,Bewertung_Stammdaten!G$29,IF(R26&lt;Bewertung_Stammdaten!H$30,Bewertung_Stammdaten!G$30,IF(R26&lt;Bewertung_Stammdaten!H$31,Bewertung_Stammdaten!G$31,IF(R26&lt;Bewertung_Stammdaten!H$32,Bewertung_Stammdaten!G$32,Bewertung_Stammdaten!G$33)))))))))</f>
        <v>5</v>
      </c>
      <c r="V26" s="49"/>
      <c r="W26" s="17">
        <f ca="1">VLOOKUP(A26,Ergebnis_je_Aktie_verwässert!A3:S68,18,FALSE)</f>
        <v>3.7126111111111113</v>
      </c>
      <c r="X26" s="17">
        <f>VLOOKUP(A26,Ergebnis_je_Aktie_verwässert!A3:S68,15,FALSE)</f>
        <v>3.79</v>
      </c>
      <c r="Y26" s="13">
        <f ca="1">VLOOKUP(A26,Ergebnis_je_Aktie_verwässert!A3:S68,19,FALSE)</f>
        <v>-2.0419231896804391E-2</v>
      </c>
      <c r="Z26" s="46">
        <f>VLOOKUP(A26,Ergebnis_je_Aktie_verwässert!A3:AC68,29,FALSE)</f>
        <v>-0.52112676056338025</v>
      </c>
      <c r="AA26" s="19">
        <f t="shared" ca="1" si="4"/>
        <v>1.777870109546166</v>
      </c>
      <c r="AB26" s="13">
        <f t="shared" ca="1" si="5"/>
        <v>-0.53090498428861055</v>
      </c>
      <c r="AC26" s="36">
        <f ca="1">IF(Y26&lt;Bewertung_Stammdaten!L$11,Bewertung_Stammdaten!K$11,IF(Y26&lt;Bewertung_Stammdaten!L$12,Bewertung_Stammdaten!K$12,IF(Y26&lt;Bewertung_Stammdaten!L$13,Bewertung_Stammdaten!K$13,IF(Y26&lt;Bewertung_Stammdaten!L$14,Bewertung_Stammdaten!K$14,IF(Y26&lt;Bewertung_Stammdaten!L$15,Bewertung_Stammdaten!K$15,IF(Y26&lt;Bewertung_Stammdaten!L$16,Bewertung_Stammdaten!K$16,IF(Y26&lt;Bewertung_Stammdaten!L$17,Bewertung_Stammdaten!K$17,IF(Y26&lt;Bewertung_Stammdaten!L$18,Bewertung_Stammdaten!K$18,IF(Y26&lt;Bewertung_Stammdaten!L$19,Bewertung_Stammdaten!K$19,Bewertung_Stammdaten!K$20)))))))))</f>
        <v>2</v>
      </c>
      <c r="AD26" s="36">
        <f>IF(Z26&lt;Bewertung_Stammdaten!R$11,Bewertung_Stammdaten!Q$11,IF(Z26&lt;Bewertung_Stammdaten!R$12,Bewertung_Stammdaten!Q$12,IF(Z26&lt;Bewertung_Stammdaten!R$13,Bewertung_Stammdaten!Q$13,IF(Z26&lt;Bewertung_Stammdaten!R$14,Bewertung_Stammdaten!Q$14,IF(Z26&lt;Bewertung_Stammdaten!R$15,Bewertung_Stammdaten!Q$15,IF(Z26&lt;Bewertung_Stammdaten!R$16,Bewertung_Stammdaten!Q$16,IF(Z26&lt;Bewertung_Stammdaten!R$17,Bewertung_Stammdaten!Q$17,IF(Z26&lt;Bewertung_Stammdaten!R$18,Bewertung_Stammdaten!Q$18,IF(Z26&lt;Bewertung_Stammdaten!R$19,Bewertung_Stammdaten!Q$19,Bewertung_Stammdaten!Q$20)))))))))</f>
        <v>2</v>
      </c>
      <c r="AE26" s="36">
        <f ca="1">IF(AB26&lt;Bewertung_Stammdaten!P$11,Bewertung_Stammdaten!O$11,IF(AB26&lt;Bewertung_Stammdaten!P$12,Bewertung_Stammdaten!O$12,IF(AB26&lt;Bewertung_Stammdaten!P$13,Bewertung_Stammdaten!O$13,IF(AB26&lt;Bewertung_Stammdaten!P$14,Bewertung_Stammdaten!O$14,IF(AB26&lt;Bewertung_Stammdaten!P$15,Bewertung_Stammdaten!O$15,IF(AB26&lt;Bewertung_Stammdaten!P$16,Bewertung_Stammdaten!O$16,IF(AB26&lt;Bewertung_Stammdaten!P$17,Bewertung_Stammdaten!O$17,IF(AB26&lt;Bewertung_Stammdaten!P$18,Bewertung_Stammdaten!O$18,IF(AB26&lt;Bewertung_Stammdaten!P$19,Bewertung_Stammdaten!O$19,Bewertung_Stammdaten!O$20)))))))))</f>
        <v>1</v>
      </c>
      <c r="AF26" s="49"/>
      <c r="AG26" s="13">
        <f ca="1">VLOOKUP(A26,Dividendenrendite!A3:S68,18,FALSE)</f>
        <v>4.7587777777777784E-2</v>
      </c>
      <c r="AH26" s="13">
        <f>VLOOKUP(A26,Dividendenrendite!A3:S68,15,FALSE)</f>
        <v>4.8588888888888883E-2</v>
      </c>
      <c r="AI26" s="13">
        <f ca="1">VLOOKUP(A26,Dividendenrendite!A3:S68,19,FALSE)</f>
        <v>-2.0603704550651414E-2</v>
      </c>
      <c r="AJ26" s="36">
        <f ca="1">IF(AG26&lt;Bewertung_Stammdaten!D$11,Bewertung_Stammdaten!C$11,IF(AG26&lt;Bewertung_Stammdaten!D$12,Bewertung_Stammdaten!C$12,IF(AG26&lt;Bewertung_Stammdaten!D$13,Bewertung_Stammdaten!C$13,IF(AG26&lt;Bewertung_Stammdaten!D$14,Bewertung_Stammdaten!C$14,IF(AG26&lt;Bewertung_Stammdaten!D$15,Bewertung_Stammdaten!C$15,IF(AG26&lt;Bewertung_Stammdaten!D$16,Bewertung_Stammdaten!C$16,IF(AG26&lt;Bewertung_Stammdaten!D$17,Bewertung_Stammdaten!C$17,IF(AG26&lt;Bewertung_Stammdaten!D$18,Bewertung_Stammdaten!C$18,IF(AG26&lt;Bewertung_Stammdaten!D$19,Bewertung_Stammdaten!C$19,Bewertung_Stammdaten!C$20)))))))))</f>
        <v>15</v>
      </c>
      <c r="AK26" s="36">
        <f>IF(AH26&lt;Bewertung_Stammdaten!T$11,Bewertung_Stammdaten!S$11,IF(AH26&lt;Bewertung_Stammdaten!T$12,Bewertung_Stammdaten!S$12,IF(AH26&lt;Bewertung_Stammdaten!T$13,Bewertung_Stammdaten!S$13,IF(AH26&lt;Bewertung_Stammdaten!T$14,Bewertung_Stammdaten!S$14,IF(AH26&lt;Bewertung_Stammdaten!T$15,Bewertung_Stammdaten!S$15,IF(AH26&lt;Bewertung_Stammdaten!T$16,Bewertung_Stammdaten!S$16,IF(AH26&lt;Bewertung_Stammdaten!T$17,Bewertung_Stammdaten!S$17,IF(AH26&lt;Bewertung_Stammdaten!T$18,Bewertung_Stammdaten!S$18,IF(AH26&lt;Bewertung_Stammdaten!T$19,Bewertung_Stammdaten!S$19,Bewertung_Stammdaten!S$20)))))))))</f>
        <v>10</v>
      </c>
      <c r="AL26" s="36">
        <f ca="1">IF(AI26&lt;Bewertung_Stammdaten!F$11,Bewertung_Stammdaten!E$11,IF(AI26&lt;Bewertung_Stammdaten!F$12,Bewertung_Stammdaten!E$12,IF(AI26&lt;Bewertung_Stammdaten!F$13,Bewertung_Stammdaten!E$13,IF(AI26&lt;Bewertung_Stammdaten!F$14,Bewertung_Stammdaten!E$14,IF(AI26&lt;Bewertung_Stammdaten!F$15,Bewertung_Stammdaten!E$15,IF(AI26&lt;Bewertung_Stammdaten!F$16,Bewertung_Stammdaten!E$16,IF(AI26&lt;Bewertung_Stammdaten!F$17,Bewertung_Stammdaten!E$17,IF(AI26&lt;Bewertung_Stammdaten!F$18,Bewertung_Stammdaten!E$18,IF(AI26&lt;Bewertung_Stammdaten!F$19,Bewertung_Stammdaten!E$19,Bewertung_Stammdaten!E$20)))))))))</f>
        <v>2.5</v>
      </c>
      <c r="AM26" s="49"/>
      <c r="AN26" s="13">
        <f>VLOOKUP(A26,Aktien_im_Umlauf_splitbereinigt!A3:W68,13,FALSE)</f>
        <v>-1.7443704408499627E-3</v>
      </c>
      <c r="AO26" s="13">
        <f>VLOOKUP(A26,Aktien_im_Umlauf_splitbereinigt!A3:W68,22,FALSE)</f>
        <v>-6.1487843529191627E-3</v>
      </c>
      <c r="AP26" s="13">
        <f>VLOOKUP(A26,Aktien_im_Umlauf_splitbereinigt!A3:W68,23,FALSE)</f>
        <v>-0.71630645332002651</v>
      </c>
      <c r="AQ26" s="47">
        <f>IF(AN26&lt;Bewertung_Stammdaten!J$24,Bewertung_Stammdaten!I$24,IF(AN26&lt;Bewertung_Stammdaten!J$25,Bewertung_Stammdaten!I$25,IF(AN26&lt;Bewertung_Stammdaten!J$26,Bewertung_Stammdaten!I$26,IF(AN26&lt;Bewertung_Stammdaten!J$27,Bewertung_Stammdaten!I$27,IF(AN26&lt;Bewertung_Stammdaten!J$28,Bewertung_Stammdaten!I$28,IF(AN26&lt;Bewertung_Stammdaten!J$29,Bewertung_Stammdaten!I$29,IF(AN26&lt;Bewertung_Stammdaten!J$30,Bewertung_Stammdaten!I$30,IF(AN26&lt;Bewertung_Stammdaten!J$31,Bewertung_Stammdaten!I$31,IF(AN26&lt;Bewertung_Stammdaten!J$32,Bewertung_Stammdaten!I$32,Bewertung_Stammdaten!I$33)))))))))</f>
        <v>1.5</v>
      </c>
      <c r="AR26" s="47">
        <f>IF(AO26&lt;Bewertung_Stammdaten!L$24,Bewertung_Stammdaten!K$24,IF(AO26&lt;Bewertung_Stammdaten!L$25,Bewertung_Stammdaten!K$25,IF(AO26&lt;Bewertung_Stammdaten!L$26,Bewertung_Stammdaten!K$26,IF(AO26&lt;Bewertung_Stammdaten!L$27,Bewertung_Stammdaten!K$27,IF(AO26&lt;Bewertung_Stammdaten!L$28,Bewertung_Stammdaten!K$28,IF(AO26&lt;Bewertung_Stammdaten!L$29,Bewertung_Stammdaten!K$29,IF(AO26&lt;Bewertung_Stammdaten!L$30,Bewertung_Stammdaten!K$30,IF(AO26&lt;Bewertung_Stammdaten!L$31,Bewertung_Stammdaten!K$31,IF(AO26&lt;Bewertung_Stammdaten!L$32,Bewertung_Stammdaten!K$32,Bewertung_Stammdaten!K$33)))))))))</f>
        <v>2</v>
      </c>
      <c r="AS26" s="47">
        <f>IF(AP26&lt;Bewertung_Stammdaten!N$24,Bewertung_Stammdaten!M$24,IF(AP26&lt;Bewertung_Stammdaten!N$25,Bewertung_Stammdaten!M$25,IF(AP26&lt;Bewertung_Stammdaten!N$26,Bewertung_Stammdaten!M$26,IF(AP26&lt;Bewertung_Stammdaten!N$27,Bewertung_Stammdaten!M$27,IF(AP26&lt;Bewertung_Stammdaten!N$28,Bewertung_Stammdaten!M$28,IF(AP26&lt;Bewertung_Stammdaten!N$29,Bewertung_Stammdaten!M$29,IF(AP26&lt;Bewertung_Stammdaten!N$30,Bewertung_Stammdaten!M$30,IF(AP26&lt;Bewertung_Stammdaten!N$31,Bewertung_Stammdaten!M$31,IF(AP26&lt;Bewertung_Stammdaten!N$32,Bewertung_Stammdaten!M$32,Bewertung_Stammdaten!M$33)))))))))</f>
        <v>1.5</v>
      </c>
      <c r="AT26" s="49"/>
      <c r="AU26" s="13">
        <f ca="1">VLOOKUP(A26,Ausschüttungsquote!A3:S68,18,FALSE)</f>
        <v>0.52695816589891853</v>
      </c>
      <c r="AV26" s="13">
        <f>VLOOKUP(A26,Ausschüttungsquote!A3:S68,15,FALSE)</f>
        <v>0.44961573843109409</v>
      </c>
      <c r="AW26" s="13">
        <f ca="1">VLOOKUP(A26,Ausschüttungsquote!A3:S68,19,FALSE)</f>
        <v>0.17201895053252803</v>
      </c>
      <c r="AX26" s="36">
        <f ca="1">IF(AU26&lt;Bewertung_Stammdaten!H$11,Bewertung_Stammdaten!G$11,IF(AU26&lt;Bewertung_Stammdaten!H$12,Bewertung_Stammdaten!G$12,IF(AU26&lt;Bewertung_Stammdaten!H$13,Bewertung_Stammdaten!G$13,IF(AU26&lt;Bewertung_Stammdaten!H$14,Bewertung_Stammdaten!G$14,IF(AU26&lt;Bewertung_Stammdaten!H$15,Bewertung_Stammdaten!G$15,IF(AU26&lt;Bewertung_Stammdaten!H$16,Bewertung_Stammdaten!G$16,IF(AU26&lt;Bewertung_Stammdaten!H$17,Bewertung_Stammdaten!G$17,IF(AU26&lt;Bewertung_Stammdaten!H$18,Bewertung_Stammdaten!G$18,IF(AU26&lt;Bewertung_Stammdaten!H$19,Bewertung_Stammdaten!G$19,Bewertung_Stammdaten!G$20)))))))))</f>
        <v>3.5</v>
      </c>
      <c r="AY26" s="47">
        <f>IF(AV26&lt;Bewertung_Stammdaten!B$24,Bewertung_Stammdaten!A$24,IF(AV26&lt;Bewertung_Stammdaten!B$25,Bewertung_Stammdaten!A$25,IF(AV26&lt;Bewertung_Stammdaten!B$26,Bewertung_Stammdaten!A$26,IF(AV26&lt;Bewertung_Stammdaten!B$27,Bewertung_Stammdaten!A$27,IF(AV26&lt;Bewertung_Stammdaten!B$28,Bewertung_Stammdaten!A$28,IF(AV26&lt;Bewertung_Stammdaten!B$29,Bewertung_Stammdaten!A$29,IF(AV26&lt;Bewertung_Stammdaten!B$30,Bewertung_Stammdaten!A$30,IF(AV26&lt;Bewertung_Stammdaten!B$31,Bewertung_Stammdaten!A$31,IF(AV26&lt;Bewertung_Stammdaten!B$32,Bewertung_Stammdaten!A$32,Bewertung_Stammdaten!A$33)))))))))</f>
        <v>4.5</v>
      </c>
      <c r="AZ26" s="36">
        <f ca="1">IF(AW26&lt;Bewertung_Stammdaten!J$11,Bewertung_Stammdaten!I$11,IF(AW26&lt;Bewertung_Stammdaten!J$12,Bewertung_Stammdaten!I$12,IF(AW26&lt;Bewertung_Stammdaten!J$13,Bewertung_Stammdaten!I$13,IF(AW26&lt;Bewertung_Stammdaten!J$14,Bewertung_Stammdaten!I$14,IF(AW26&lt;Bewertung_Stammdaten!J$15,Bewertung_Stammdaten!I$15,IF(AW26&lt;Bewertung_Stammdaten!J$16,Bewertung_Stammdaten!I$16,IF(AW26&lt;Bewertung_Stammdaten!J$17,Bewertung_Stammdaten!I$17,IF(AW26&lt;Bewertung_Stammdaten!J$18,Bewertung_Stammdaten!I$18,IF(AW26&lt;Bewertung_Stammdaten!J$19,Bewertung_Stammdaten!I$19,Bewertung_Stammdaten!I$20)))))))))</f>
        <v>1</v>
      </c>
    </row>
    <row r="27" spans="1:52" x14ac:dyDescent="0.25">
      <c r="A27" s="44" t="s">
        <v>50</v>
      </c>
      <c r="B27" s="44" t="s">
        <v>51</v>
      </c>
      <c r="C27" s="36">
        <f t="shared" ca="1" si="0"/>
        <v>103.5</v>
      </c>
      <c r="D27" s="49"/>
      <c r="E27" s="12">
        <f ca="1">VLOOKUP(A27,KGV!A3:S68,18,FALSE)</f>
        <v>19.364166666666666</v>
      </c>
      <c r="F27" s="12">
        <f>VLOOKUP(A27,KGV!A3:S68,15,FALSE)</f>
        <v>12.05</v>
      </c>
      <c r="G27" s="13">
        <f ca="1">VLOOKUP(A27,KGV!A3:S68,19,FALSE)</f>
        <v>0.60698478561549085</v>
      </c>
      <c r="H27" s="19">
        <f t="shared" ca="1" si="1"/>
        <v>99</v>
      </c>
      <c r="I27" s="13">
        <f t="shared" ca="1" si="2"/>
        <v>7.215767634854771</v>
      </c>
      <c r="J27" s="36">
        <f ca="1">IF(G27&lt;Bewertung_Stammdaten!B$11,Bewertung_Stammdaten!A$11,IF(G27&lt;Bewertung_Stammdaten!B$12,Bewertung_Stammdaten!A$12,IF(G27&lt;Bewertung_Stammdaten!B$13,Bewertung_Stammdaten!A$13,IF(G27&lt;Bewertung_Stammdaten!B$14,Bewertung_Stammdaten!A$14,IF(G27&lt;Bewertung_Stammdaten!B$15,Bewertung_Stammdaten!A$15,IF(G27&lt;Bewertung_Stammdaten!B$16,Bewertung_Stammdaten!A$16,IF(G27&lt;Bewertung_Stammdaten!B$17,Bewertung_Stammdaten!A$17,IF(G27&lt;Bewertung_Stammdaten!B$18,Bewertung_Stammdaten!A$18,IF(G27&lt;Bewertung_Stammdaten!B$19,Bewertung_Stammdaten!A$19,Bewertung_Stammdaten!A$20)))))))))</f>
        <v>2</v>
      </c>
      <c r="K27" s="36">
        <f ca="1">IF(I27&lt;Bewertung_Stammdaten!N$11,Bewertung_Stammdaten!M$11,IF(I27&lt;Bewertung_Stammdaten!N$12,Bewertung_Stammdaten!M$12,IF(I27&lt;Bewertung_Stammdaten!N$13,Bewertung_Stammdaten!M$13,IF(I27&lt;Bewertung_Stammdaten!N$14,Bewertung_Stammdaten!M$14,IF(I27&lt;Bewertung_Stammdaten!N$15,Bewertung_Stammdaten!M$15,IF(I27&lt;Bewertung_Stammdaten!N$16,Bewertung_Stammdaten!M$16,IF(I27&lt;Bewertung_Stammdaten!N$17,Bewertung_Stammdaten!M$17,IF(I27&lt;Bewertung_Stammdaten!N$18,Bewertung_Stammdaten!M$18,IF(I27&lt;Bewertung_Stammdaten!N$19,Bewertung_Stammdaten!M$19,Bewertung_Stammdaten!M$20)))))))))</f>
        <v>1</v>
      </c>
      <c r="L27" s="49"/>
      <c r="M27" s="12">
        <f ca="1">VLOOKUP(A27,Buchwert_je_Aktie!A3:AC68,18,FALSE)</f>
        <v>2.6760277777777777</v>
      </c>
      <c r="N27" s="12">
        <f>VLOOKUP(A27,Buchwert_je_Aktie!A3:AC68,15,FALSE)</f>
        <v>1.4810000000000001</v>
      </c>
      <c r="O27" s="13">
        <f ca="1">VLOOKUP(A27,Buchwert_je_Aktie!A3:AC68,19,FALSE)</f>
        <v>0.80690599444819555</v>
      </c>
      <c r="P27" s="13">
        <f>VLOOKUP(A27,Buchwert_je_Aktie!A3:AC68,29,FALSE)</f>
        <v>-0.10294117647058831</v>
      </c>
      <c r="Q27" s="19">
        <f t="shared" ca="1" si="6"/>
        <v>2.4005543300653591</v>
      </c>
      <c r="R27" s="13">
        <f t="shared" ca="1" si="3"/>
        <v>0.62090096560793984</v>
      </c>
      <c r="S27" s="58">
        <f ca="1">IF(O27&lt;Bewertung_Stammdaten!D$24,Bewertung_Stammdaten!C$24,IF(O27&lt;Bewertung_Stammdaten!D$25,Bewertung_Stammdaten!C$25,IF(O27&lt;Bewertung_Stammdaten!D$26,Bewertung_Stammdaten!C$26,IF(O27&lt;Bewertung_Stammdaten!D$27,Bewertung_Stammdaten!C$27,IF(O27&lt;Bewertung_Stammdaten!D$28,Bewertung_Stammdaten!C$28,IF(O27&lt;Bewertung_Stammdaten!D$29,Bewertung_Stammdaten!C$29,IF(O27&lt;Bewertung_Stammdaten!D$30,Bewertung_Stammdaten!C$30,IF(O27&lt;Bewertung_Stammdaten!D$31,Bewertung_Stammdaten!C$31,IF(O27&lt;Bewertung_Stammdaten!D$32,Bewertung_Stammdaten!C$32,Bewertung_Stammdaten!C$33)))))))))</f>
        <v>20</v>
      </c>
      <c r="T27" s="58">
        <f>IF(P27&lt;Bewertung_Stammdaten!F$24,Bewertung_Stammdaten!E$24,IF(P27&lt;Bewertung_Stammdaten!F$25,Bewertung_Stammdaten!E$25,IF(P27&lt;Bewertung_Stammdaten!F$26,Bewertung_Stammdaten!E$26,IF(P27&lt;Bewertung_Stammdaten!F$27,Bewertung_Stammdaten!E$27,IF(P27&lt;Bewertung_Stammdaten!F$28,Bewertung_Stammdaten!E$28,IF(P27&lt;Bewertung_Stammdaten!F$29,Bewertung_Stammdaten!E$29,IF(P27&lt;Bewertung_Stammdaten!F$30,Bewertung_Stammdaten!E$30,IF(P27&lt;Bewertung_Stammdaten!F$31,Bewertung_Stammdaten!E$31,IF(P27&lt;Bewertung_Stammdaten!F$32,Bewertung_Stammdaten!E$32,Bewertung_Stammdaten!E$33)))))))))</f>
        <v>7.5</v>
      </c>
      <c r="U27" s="58">
        <f ca="1">IF(R27&lt;Bewertung_Stammdaten!H$24,Bewertung_Stammdaten!G$24,IF(R27&lt;Bewertung_Stammdaten!H$25,Bewertung_Stammdaten!G$25,IF(R27&lt;Bewertung_Stammdaten!H$26,Bewertung_Stammdaten!G$26,IF(R27&lt;Bewertung_Stammdaten!H$27,Bewertung_Stammdaten!G$27,IF(R27&lt;Bewertung_Stammdaten!H$28,Bewertung_Stammdaten!G$28,IF(R27&lt;Bewertung_Stammdaten!H$29,Bewertung_Stammdaten!G$29,IF(R27&lt;Bewertung_Stammdaten!H$30,Bewertung_Stammdaten!G$30,IF(R27&lt;Bewertung_Stammdaten!H$31,Bewertung_Stammdaten!G$31,IF(R27&lt;Bewertung_Stammdaten!H$32,Bewertung_Stammdaten!G$32,Bewertung_Stammdaten!G$33)))))))))</f>
        <v>8</v>
      </c>
      <c r="V27" s="49"/>
      <c r="W27" s="17">
        <f ca="1">VLOOKUP(A27,Ergebnis_je_Aktie_verwässert!A3:S68,18,FALSE)</f>
        <v>0.91932611111111129</v>
      </c>
      <c r="X27" s="17">
        <f>VLOOKUP(A27,Ergebnis_je_Aktie_verwässert!A3:S68,15,FALSE)</f>
        <v>2.869999999999995E-3</v>
      </c>
      <c r="Y27" s="13">
        <f ca="1">VLOOKUP(A27,Ergebnis_je_Aktie_verwässert!A3:S68,19,FALSE)</f>
        <v>319.32268679829718</v>
      </c>
      <c r="Z27" s="46">
        <f>VLOOKUP(A27,Ergebnis_je_Aktie_verwässert!A3:AC68,29,FALSE)</f>
        <v>-2.2999999999999998</v>
      </c>
      <c r="AA27" s="19">
        <f t="shared" ca="1" si="4"/>
        <v>-1.1951239444444446</v>
      </c>
      <c r="AB27" s="13">
        <f t="shared" ca="1" si="5"/>
        <v>-417.41949283778632</v>
      </c>
      <c r="AC27" s="36">
        <f ca="1">IF(Y27&lt;Bewertung_Stammdaten!L$11,Bewertung_Stammdaten!K$11,IF(Y27&lt;Bewertung_Stammdaten!L$12,Bewertung_Stammdaten!K$12,IF(Y27&lt;Bewertung_Stammdaten!L$13,Bewertung_Stammdaten!K$13,IF(Y27&lt;Bewertung_Stammdaten!L$14,Bewertung_Stammdaten!K$14,IF(Y27&lt;Bewertung_Stammdaten!L$15,Bewertung_Stammdaten!K$15,IF(Y27&lt;Bewertung_Stammdaten!L$16,Bewertung_Stammdaten!K$16,IF(Y27&lt;Bewertung_Stammdaten!L$17,Bewertung_Stammdaten!K$17,IF(Y27&lt;Bewertung_Stammdaten!L$18,Bewertung_Stammdaten!K$18,IF(Y27&lt;Bewertung_Stammdaten!L$19,Bewertung_Stammdaten!K$19,Bewertung_Stammdaten!K$20)))))))))</f>
        <v>20</v>
      </c>
      <c r="AD27" s="36">
        <f>IF(Z27&lt;Bewertung_Stammdaten!R$11,Bewertung_Stammdaten!Q$11,IF(Z27&lt;Bewertung_Stammdaten!R$12,Bewertung_Stammdaten!Q$12,IF(Z27&lt;Bewertung_Stammdaten!R$13,Bewertung_Stammdaten!Q$13,IF(Z27&lt;Bewertung_Stammdaten!R$14,Bewertung_Stammdaten!Q$14,IF(Z27&lt;Bewertung_Stammdaten!R$15,Bewertung_Stammdaten!Q$15,IF(Z27&lt;Bewertung_Stammdaten!R$16,Bewertung_Stammdaten!Q$16,IF(Z27&lt;Bewertung_Stammdaten!R$17,Bewertung_Stammdaten!Q$17,IF(Z27&lt;Bewertung_Stammdaten!R$18,Bewertung_Stammdaten!Q$18,IF(Z27&lt;Bewertung_Stammdaten!R$19,Bewertung_Stammdaten!Q$19,Bewertung_Stammdaten!Q$20)))))))))</f>
        <v>1</v>
      </c>
      <c r="AE27" s="36">
        <f ca="1">IF(AB27&lt;Bewertung_Stammdaten!P$11,Bewertung_Stammdaten!O$11,IF(AB27&lt;Bewertung_Stammdaten!P$12,Bewertung_Stammdaten!O$12,IF(AB27&lt;Bewertung_Stammdaten!P$13,Bewertung_Stammdaten!O$13,IF(AB27&lt;Bewertung_Stammdaten!P$14,Bewertung_Stammdaten!O$14,IF(AB27&lt;Bewertung_Stammdaten!P$15,Bewertung_Stammdaten!O$15,IF(AB27&lt;Bewertung_Stammdaten!P$16,Bewertung_Stammdaten!O$16,IF(AB27&lt;Bewertung_Stammdaten!P$17,Bewertung_Stammdaten!O$17,IF(AB27&lt;Bewertung_Stammdaten!P$18,Bewertung_Stammdaten!O$18,IF(AB27&lt;Bewertung_Stammdaten!P$19,Bewertung_Stammdaten!O$19,Bewertung_Stammdaten!O$20)))))))))</f>
        <v>1</v>
      </c>
      <c r="AF27" s="49"/>
      <c r="AG27" s="13">
        <f ca="1">VLOOKUP(A27,Dividendenrendite!A3:S68,18,FALSE)</f>
        <v>5.2918333333333331E-2</v>
      </c>
      <c r="AH27" s="13">
        <f>VLOOKUP(A27,Dividendenrendite!A3:S68,15,FALSE)</f>
        <v>4.4770000000000011E-2</v>
      </c>
      <c r="AI27" s="13">
        <f ca="1">VLOOKUP(A27,Dividendenrendite!A3:S68,19,FALSE)</f>
        <v>0.18200431836795428</v>
      </c>
      <c r="AJ27" s="36">
        <f ca="1">IF(AG27&lt;Bewertung_Stammdaten!D$11,Bewertung_Stammdaten!C$11,IF(AG27&lt;Bewertung_Stammdaten!D$12,Bewertung_Stammdaten!C$12,IF(AG27&lt;Bewertung_Stammdaten!D$13,Bewertung_Stammdaten!C$13,IF(AG27&lt;Bewertung_Stammdaten!D$14,Bewertung_Stammdaten!C$14,IF(AG27&lt;Bewertung_Stammdaten!D$15,Bewertung_Stammdaten!C$15,IF(AG27&lt;Bewertung_Stammdaten!D$16,Bewertung_Stammdaten!C$16,IF(AG27&lt;Bewertung_Stammdaten!D$17,Bewertung_Stammdaten!C$17,IF(AG27&lt;Bewertung_Stammdaten!D$18,Bewertung_Stammdaten!C$18,IF(AG27&lt;Bewertung_Stammdaten!D$19,Bewertung_Stammdaten!C$19,Bewertung_Stammdaten!C$20)))))))))</f>
        <v>15</v>
      </c>
      <c r="AK27" s="36">
        <f>IF(AH27&lt;Bewertung_Stammdaten!T$11,Bewertung_Stammdaten!S$11,IF(AH27&lt;Bewertung_Stammdaten!T$12,Bewertung_Stammdaten!S$12,IF(AH27&lt;Bewertung_Stammdaten!T$13,Bewertung_Stammdaten!S$13,IF(AH27&lt;Bewertung_Stammdaten!T$14,Bewertung_Stammdaten!S$14,IF(AH27&lt;Bewertung_Stammdaten!T$15,Bewertung_Stammdaten!S$15,IF(AH27&lt;Bewertung_Stammdaten!T$16,Bewertung_Stammdaten!S$16,IF(AH27&lt;Bewertung_Stammdaten!T$17,Bewertung_Stammdaten!S$17,IF(AH27&lt;Bewertung_Stammdaten!T$18,Bewertung_Stammdaten!S$18,IF(AH27&lt;Bewertung_Stammdaten!T$19,Bewertung_Stammdaten!S$19,Bewertung_Stammdaten!S$20)))))))))</f>
        <v>9</v>
      </c>
      <c r="AL27" s="36">
        <f ca="1">IF(AI27&lt;Bewertung_Stammdaten!F$11,Bewertung_Stammdaten!E$11,IF(AI27&lt;Bewertung_Stammdaten!F$12,Bewertung_Stammdaten!E$12,IF(AI27&lt;Bewertung_Stammdaten!F$13,Bewertung_Stammdaten!E$13,IF(AI27&lt;Bewertung_Stammdaten!F$14,Bewertung_Stammdaten!E$14,IF(AI27&lt;Bewertung_Stammdaten!F$15,Bewertung_Stammdaten!E$15,IF(AI27&lt;Bewertung_Stammdaten!F$16,Bewertung_Stammdaten!E$16,IF(AI27&lt;Bewertung_Stammdaten!F$17,Bewertung_Stammdaten!E$17,IF(AI27&lt;Bewertung_Stammdaten!F$18,Bewertung_Stammdaten!E$18,IF(AI27&lt;Bewertung_Stammdaten!F$19,Bewertung_Stammdaten!E$19,Bewertung_Stammdaten!E$20)))))))))</f>
        <v>4.5</v>
      </c>
      <c r="AM27" s="49"/>
      <c r="AN27" s="13">
        <f>VLOOKUP(A27,Aktien_im_Umlauf_splitbereinigt!A3:W68,13,FALSE)</f>
        <v>-1.4901629110533832E-2</v>
      </c>
      <c r="AO27" s="13">
        <f>VLOOKUP(A27,Aktien_im_Umlauf_splitbereinigt!A3:W68,22,FALSE)</f>
        <v>-3.4014044724636684E-2</v>
      </c>
      <c r="AP27" s="13">
        <f>VLOOKUP(A27,Aktien_im_Umlauf_splitbereinigt!A3:W68,23,FALSE)</f>
        <v>-0.56189776219878829</v>
      </c>
      <c r="AQ27" s="47">
        <f>IF(AN27&lt;Bewertung_Stammdaten!J$24,Bewertung_Stammdaten!I$24,IF(AN27&lt;Bewertung_Stammdaten!J$25,Bewertung_Stammdaten!I$25,IF(AN27&lt;Bewertung_Stammdaten!J$26,Bewertung_Stammdaten!I$26,IF(AN27&lt;Bewertung_Stammdaten!J$27,Bewertung_Stammdaten!I$27,IF(AN27&lt;Bewertung_Stammdaten!J$28,Bewertung_Stammdaten!I$28,IF(AN27&lt;Bewertung_Stammdaten!J$29,Bewertung_Stammdaten!I$29,IF(AN27&lt;Bewertung_Stammdaten!J$30,Bewertung_Stammdaten!I$30,IF(AN27&lt;Bewertung_Stammdaten!J$31,Bewertung_Stammdaten!I$31,IF(AN27&lt;Bewertung_Stammdaten!J$32,Bewertung_Stammdaten!I$32,Bewertung_Stammdaten!I$33)))))))))</f>
        <v>2.5</v>
      </c>
      <c r="AR27" s="47">
        <f>IF(AO27&lt;Bewertung_Stammdaten!L$24,Bewertung_Stammdaten!K$24,IF(AO27&lt;Bewertung_Stammdaten!L$25,Bewertung_Stammdaten!K$25,IF(AO27&lt;Bewertung_Stammdaten!L$26,Bewertung_Stammdaten!K$26,IF(AO27&lt;Bewertung_Stammdaten!L$27,Bewertung_Stammdaten!K$27,IF(AO27&lt;Bewertung_Stammdaten!L$28,Bewertung_Stammdaten!K$28,IF(AO27&lt;Bewertung_Stammdaten!L$29,Bewertung_Stammdaten!K$29,IF(AO27&lt;Bewertung_Stammdaten!L$30,Bewertung_Stammdaten!K$30,IF(AO27&lt;Bewertung_Stammdaten!L$31,Bewertung_Stammdaten!K$31,IF(AO27&lt;Bewertung_Stammdaten!L$32,Bewertung_Stammdaten!K$32,Bewertung_Stammdaten!K$33)))))))))</f>
        <v>4.5</v>
      </c>
      <c r="AS27" s="47">
        <f>IF(AP27&lt;Bewertung_Stammdaten!N$24,Bewertung_Stammdaten!M$24,IF(AP27&lt;Bewertung_Stammdaten!N$25,Bewertung_Stammdaten!M$25,IF(AP27&lt;Bewertung_Stammdaten!N$26,Bewertung_Stammdaten!M$26,IF(AP27&lt;Bewertung_Stammdaten!N$27,Bewertung_Stammdaten!M$27,IF(AP27&lt;Bewertung_Stammdaten!N$28,Bewertung_Stammdaten!M$28,IF(AP27&lt;Bewertung_Stammdaten!N$29,Bewertung_Stammdaten!M$29,IF(AP27&lt;Bewertung_Stammdaten!N$30,Bewertung_Stammdaten!M$30,IF(AP27&lt;Bewertung_Stammdaten!N$31,Bewertung_Stammdaten!M$31,IF(AP27&lt;Bewertung_Stammdaten!N$32,Bewertung_Stammdaten!M$32,Bewertung_Stammdaten!M$33)))))))))</f>
        <v>1.5</v>
      </c>
      <c r="AT27" s="49"/>
      <c r="AU27" s="13">
        <f ca="1">VLOOKUP(A27,Ausschüttungsquote!A3:S68,18,FALSE)</f>
        <v>1.1244517427395242</v>
      </c>
      <c r="AV27" s="13">
        <f>VLOOKUP(A27,Ausschüttungsquote!A3:S68,15,FALSE)</f>
        <v>2.465860674287399</v>
      </c>
      <c r="AW27" s="13">
        <f ca="1">VLOOKUP(A27,Ausschüttungsquote!A3:S68,19,FALSE)</f>
        <v>-0.54399218314940856</v>
      </c>
      <c r="AX27" s="36">
        <f ca="1">IF(AU27&lt;Bewertung_Stammdaten!H$11,Bewertung_Stammdaten!G$11,IF(AU27&lt;Bewertung_Stammdaten!H$12,Bewertung_Stammdaten!G$12,IF(AU27&lt;Bewertung_Stammdaten!H$13,Bewertung_Stammdaten!G$13,IF(AU27&lt;Bewertung_Stammdaten!H$14,Bewertung_Stammdaten!G$14,IF(AU27&lt;Bewertung_Stammdaten!H$15,Bewertung_Stammdaten!G$15,IF(AU27&lt;Bewertung_Stammdaten!H$16,Bewertung_Stammdaten!G$16,IF(AU27&lt;Bewertung_Stammdaten!H$17,Bewertung_Stammdaten!G$17,IF(AU27&lt;Bewertung_Stammdaten!H$18,Bewertung_Stammdaten!G$18,IF(AU27&lt;Bewertung_Stammdaten!H$19,Bewertung_Stammdaten!G$19,Bewertung_Stammdaten!G$20)))))))))</f>
        <v>0.5</v>
      </c>
      <c r="AY27" s="47">
        <f>IF(AV27&lt;Bewertung_Stammdaten!B$24,Bewertung_Stammdaten!A$24,IF(AV27&lt;Bewertung_Stammdaten!B$25,Bewertung_Stammdaten!A$25,IF(AV27&lt;Bewertung_Stammdaten!B$26,Bewertung_Stammdaten!A$26,IF(AV27&lt;Bewertung_Stammdaten!B$27,Bewertung_Stammdaten!A$27,IF(AV27&lt;Bewertung_Stammdaten!B$28,Bewertung_Stammdaten!A$28,IF(AV27&lt;Bewertung_Stammdaten!B$29,Bewertung_Stammdaten!A$29,IF(AV27&lt;Bewertung_Stammdaten!B$30,Bewertung_Stammdaten!A$30,IF(AV27&lt;Bewertung_Stammdaten!B$31,Bewertung_Stammdaten!A$31,IF(AV27&lt;Bewertung_Stammdaten!B$32,Bewertung_Stammdaten!A$32,Bewertung_Stammdaten!A$33)))))))))</f>
        <v>0.5</v>
      </c>
      <c r="AZ27" s="36">
        <f ca="1">IF(AW27&lt;Bewertung_Stammdaten!J$11,Bewertung_Stammdaten!I$11,IF(AW27&lt;Bewertung_Stammdaten!J$12,Bewertung_Stammdaten!I$12,IF(AW27&lt;Bewertung_Stammdaten!J$13,Bewertung_Stammdaten!I$13,IF(AW27&lt;Bewertung_Stammdaten!J$14,Bewertung_Stammdaten!I$14,IF(AW27&lt;Bewertung_Stammdaten!J$15,Bewertung_Stammdaten!I$15,IF(AW27&lt;Bewertung_Stammdaten!J$16,Bewertung_Stammdaten!I$16,IF(AW27&lt;Bewertung_Stammdaten!J$17,Bewertung_Stammdaten!I$17,IF(AW27&lt;Bewertung_Stammdaten!J$18,Bewertung_Stammdaten!I$18,IF(AW27&lt;Bewertung_Stammdaten!J$19,Bewertung_Stammdaten!I$19,Bewertung_Stammdaten!I$20)))))))))</f>
        <v>5</v>
      </c>
    </row>
    <row r="28" spans="1:52" x14ac:dyDescent="0.25">
      <c r="A28" s="44" t="s">
        <v>52</v>
      </c>
      <c r="B28" s="44" t="s">
        <v>53</v>
      </c>
      <c r="C28" s="36">
        <f t="shared" ca="1" si="0"/>
        <v>85</v>
      </c>
      <c r="D28" s="49"/>
      <c r="E28" s="12">
        <f ca="1">VLOOKUP(A28,KGV!A3:S68,18,FALSE)</f>
        <v>18.916388888888889</v>
      </c>
      <c r="F28" s="12">
        <f>VLOOKUP(A28,KGV!A3:S68,15,FALSE)</f>
        <v>17.350000000000001</v>
      </c>
      <c r="G28" s="13">
        <f ca="1">VLOOKUP(A28,KGV!A3:S68,19,FALSE)</f>
        <v>9.0281780339417139E-2</v>
      </c>
      <c r="H28" s="19">
        <f t="shared" ca="1" si="1"/>
        <v>27.97038698955366</v>
      </c>
      <c r="I28" s="13">
        <f t="shared" ca="1" si="2"/>
        <v>0.6121260512711042</v>
      </c>
      <c r="J28" s="36">
        <f ca="1">IF(G28&lt;Bewertung_Stammdaten!B$11,Bewertung_Stammdaten!A$11,IF(G28&lt;Bewertung_Stammdaten!B$12,Bewertung_Stammdaten!A$12,IF(G28&lt;Bewertung_Stammdaten!B$13,Bewertung_Stammdaten!A$13,IF(G28&lt;Bewertung_Stammdaten!B$14,Bewertung_Stammdaten!A$14,IF(G28&lt;Bewertung_Stammdaten!B$15,Bewertung_Stammdaten!A$15,IF(G28&lt;Bewertung_Stammdaten!B$16,Bewertung_Stammdaten!A$16,IF(G28&lt;Bewertung_Stammdaten!B$17,Bewertung_Stammdaten!A$17,IF(G28&lt;Bewertung_Stammdaten!B$18,Bewertung_Stammdaten!A$18,IF(G28&lt;Bewertung_Stammdaten!B$19,Bewertung_Stammdaten!A$19,Bewertung_Stammdaten!A$20)))))))))</f>
        <v>8</v>
      </c>
      <c r="K28" s="36">
        <f ca="1">IF(I28&lt;Bewertung_Stammdaten!N$11,Bewertung_Stammdaten!M$11,IF(I28&lt;Bewertung_Stammdaten!N$12,Bewertung_Stammdaten!M$12,IF(I28&lt;Bewertung_Stammdaten!N$13,Bewertung_Stammdaten!M$13,IF(I28&lt;Bewertung_Stammdaten!N$14,Bewertung_Stammdaten!M$14,IF(I28&lt;Bewertung_Stammdaten!N$15,Bewertung_Stammdaten!M$15,IF(I28&lt;Bewertung_Stammdaten!N$16,Bewertung_Stammdaten!M$16,IF(I28&lt;Bewertung_Stammdaten!N$17,Bewertung_Stammdaten!M$17,IF(I28&lt;Bewertung_Stammdaten!N$18,Bewertung_Stammdaten!M$18,IF(I28&lt;Bewertung_Stammdaten!N$19,Bewertung_Stammdaten!M$19,Bewertung_Stammdaten!M$20)))))))))</f>
        <v>1</v>
      </c>
      <c r="L28" s="49"/>
      <c r="M28" s="12">
        <f ca="1">VLOOKUP(A28,Buchwert_je_Aktie!A3:AC68,18,FALSE)</f>
        <v>6.8167777777777783</v>
      </c>
      <c r="N28" s="12">
        <f>VLOOKUP(A28,Buchwert_je_Aktie!A3:AC68,15,FALSE)</f>
        <v>3.9260000000000006</v>
      </c>
      <c r="O28" s="13">
        <f ca="1">VLOOKUP(A28,Buchwert_je_Aktie!A3:AC68,19,FALSE)</f>
        <v>0.73631629591894487</v>
      </c>
      <c r="P28" s="13">
        <f>VLOOKUP(A28,Buchwert_je_Aktie!A3:AC68,29,FALSE)</f>
        <v>-0.19612590799031482</v>
      </c>
      <c r="Q28" s="19">
        <f t="shared" ca="1" si="6"/>
        <v>5.4798310465429108</v>
      </c>
      <c r="R28" s="13">
        <f t="shared" ca="1" si="3"/>
        <v>0.39577968582346146</v>
      </c>
      <c r="S28" s="58">
        <f ca="1">IF(O28&lt;Bewertung_Stammdaten!D$24,Bewertung_Stammdaten!C$24,IF(O28&lt;Bewertung_Stammdaten!D$25,Bewertung_Stammdaten!C$25,IF(O28&lt;Bewertung_Stammdaten!D$26,Bewertung_Stammdaten!C$26,IF(O28&lt;Bewertung_Stammdaten!D$27,Bewertung_Stammdaten!C$27,IF(O28&lt;Bewertung_Stammdaten!D$28,Bewertung_Stammdaten!C$28,IF(O28&lt;Bewertung_Stammdaten!D$29,Bewertung_Stammdaten!C$29,IF(O28&lt;Bewertung_Stammdaten!D$30,Bewertung_Stammdaten!C$30,IF(O28&lt;Bewertung_Stammdaten!D$31,Bewertung_Stammdaten!C$31,IF(O28&lt;Bewertung_Stammdaten!D$32,Bewertung_Stammdaten!C$32,Bewertung_Stammdaten!C$33)))))))))</f>
        <v>18</v>
      </c>
      <c r="T28" s="58">
        <f>IF(P28&lt;Bewertung_Stammdaten!F$24,Bewertung_Stammdaten!E$24,IF(P28&lt;Bewertung_Stammdaten!F$25,Bewertung_Stammdaten!E$25,IF(P28&lt;Bewertung_Stammdaten!F$26,Bewertung_Stammdaten!E$26,IF(P28&lt;Bewertung_Stammdaten!F$27,Bewertung_Stammdaten!E$27,IF(P28&lt;Bewertung_Stammdaten!F$28,Bewertung_Stammdaten!E$28,IF(P28&lt;Bewertung_Stammdaten!F$29,Bewertung_Stammdaten!E$29,IF(P28&lt;Bewertung_Stammdaten!F$30,Bewertung_Stammdaten!E$30,IF(P28&lt;Bewertung_Stammdaten!F$31,Bewertung_Stammdaten!E$31,IF(P28&lt;Bewertung_Stammdaten!F$32,Bewertung_Stammdaten!E$32,Bewertung_Stammdaten!E$33)))))))))</f>
        <v>6</v>
      </c>
      <c r="U28" s="58">
        <f ca="1">IF(R28&lt;Bewertung_Stammdaten!H$24,Bewertung_Stammdaten!G$24,IF(R28&lt;Bewertung_Stammdaten!H$25,Bewertung_Stammdaten!G$25,IF(R28&lt;Bewertung_Stammdaten!H$26,Bewertung_Stammdaten!G$26,IF(R28&lt;Bewertung_Stammdaten!H$27,Bewertung_Stammdaten!G$27,IF(R28&lt;Bewertung_Stammdaten!H$28,Bewertung_Stammdaten!G$28,IF(R28&lt;Bewertung_Stammdaten!H$29,Bewertung_Stammdaten!G$29,IF(R28&lt;Bewertung_Stammdaten!H$30,Bewertung_Stammdaten!G$30,IF(R28&lt;Bewertung_Stammdaten!H$31,Bewertung_Stammdaten!G$31,IF(R28&lt;Bewertung_Stammdaten!H$32,Bewertung_Stammdaten!G$32,Bewertung_Stammdaten!G$33)))))))))</f>
        <v>5</v>
      </c>
      <c r="V28" s="49"/>
      <c r="W28" s="17">
        <f ca="1">VLOOKUP(A28,Ergebnis_je_Aktie_verwässert!A3:S68,18,FALSE)</f>
        <v>1.6663055555555557</v>
      </c>
      <c r="X28" s="17">
        <f>VLOOKUP(A28,Ergebnis_je_Aktie_verwässert!A3:S68,15,FALSE)</f>
        <v>1.38</v>
      </c>
      <c r="Y28" s="13">
        <f ca="1">VLOOKUP(A28,Ergebnis_je_Aktie_verwässert!A3:S68,19,FALSE)</f>
        <v>0.20746779388083758</v>
      </c>
      <c r="Z28" s="46">
        <f>VLOOKUP(A28,Ergebnis_je_Aktie_verwässert!A3:AC68,29,FALSE)</f>
        <v>-0.32369942196531798</v>
      </c>
      <c r="AA28" s="19">
        <f t="shared" ca="1" si="4"/>
        <v>1.1269234104046242</v>
      </c>
      <c r="AB28" s="13">
        <f t="shared" ca="1" si="5"/>
        <v>-0.18338883304012732</v>
      </c>
      <c r="AC28" s="36">
        <f ca="1">IF(Y28&lt;Bewertung_Stammdaten!L$11,Bewertung_Stammdaten!K$11,IF(Y28&lt;Bewertung_Stammdaten!L$12,Bewertung_Stammdaten!K$12,IF(Y28&lt;Bewertung_Stammdaten!L$13,Bewertung_Stammdaten!K$13,IF(Y28&lt;Bewertung_Stammdaten!L$14,Bewertung_Stammdaten!K$14,IF(Y28&lt;Bewertung_Stammdaten!L$15,Bewertung_Stammdaten!K$15,IF(Y28&lt;Bewertung_Stammdaten!L$16,Bewertung_Stammdaten!K$16,IF(Y28&lt;Bewertung_Stammdaten!L$17,Bewertung_Stammdaten!K$17,IF(Y28&lt;Bewertung_Stammdaten!L$18,Bewertung_Stammdaten!K$18,IF(Y28&lt;Bewertung_Stammdaten!L$19,Bewertung_Stammdaten!K$19,Bewertung_Stammdaten!K$20)))))))))</f>
        <v>8</v>
      </c>
      <c r="AD28" s="36">
        <f>IF(Z28&lt;Bewertung_Stammdaten!R$11,Bewertung_Stammdaten!Q$11,IF(Z28&lt;Bewertung_Stammdaten!R$12,Bewertung_Stammdaten!Q$12,IF(Z28&lt;Bewertung_Stammdaten!R$13,Bewertung_Stammdaten!Q$13,IF(Z28&lt;Bewertung_Stammdaten!R$14,Bewertung_Stammdaten!Q$14,IF(Z28&lt;Bewertung_Stammdaten!R$15,Bewertung_Stammdaten!Q$15,IF(Z28&lt;Bewertung_Stammdaten!R$16,Bewertung_Stammdaten!Q$16,IF(Z28&lt;Bewertung_Stammdaten!R$17,Bewertung_Stammdaten!Q$17,IF(Z28&lt;Bewertung_Stammdaten!R$18,Bewertung_Stammdaten!Q$18,IF(Z28&lt;Bewertung_Stammdaten!R$19,Bewertung_Stammdaten!Q$19,Bewertung_Stammdaten!Q$20)))))))))</f>
        <v>4</v>
      </c>
      <c r="AE28" s="36">
        <f ca="1">IF(AB28&lt;Bewertung_Stammdaten!P$11,Bewertung_Stammdaten!O$11,IF(AB28&lt;Bewertung_Stammdaten!P$12,Bewertung_Stammdaten!O$12,IF(AB28&lt;Bewertung_Stammdaten!P$13,Bewertung_Stammdaten!O$13,IF(AB28&lt;Bewertung_Stammdaten!P$14,Bewertung_Stammdaten!O$14,IF(AB28&lt;Bewertung_Stammdaten!P$15,Bewertung_Stammdaten!O$15,IF(AB28&lt;Bewertung_Stammdaten!P$16,Bewertung_Stammdaten!O$16,IF(AB28&lt;Bewertung_Stammdaten!P$17,Bewertung_Stammdaten!O$17,IF(AB28&lt;Bewertung_Stammdaten!P$18,Bewertung_Stammdaten!O$18,IF(AB28&lt;Bewertung_Stammdaten!P$19,Bewertung_Stammdaten!O$19,Bewertung_Stammdaten!O$20)))))))))</f>
        <v>1</v>
      </c>
      <c r="AF28" s="49"/>
      <c r="AG28" s="13">
        <f ca="1">VLOOKUP(A28,Dividendenrendite!A3:S68,18,FALSE)</f>
        <v>3.6367222222222224E-2</v>
      </c>
      <c r="AH28" s="13">
        <f>VLOOKUP(A28,Dividendenrendite!A3:S68,15,FALSE)</f>
        <v>3.5199999999999995E-2</v>
      </c>
      <c r="AI28" s="13">
        <f ca="1">VLOOKUP(A28,Dividendenrendite!A3:S68,19,FALSE)</f>
        <v>3.315972222222241E-2</v>
      </c>
      <c r="AJ28" s="36">
        <f ca="1">IF(AG28&lt;Bewertung_Stammdaten!D$11,Bewertung_Stammdaten!C$11,IF(AG28&lt;Bewertung_Stammdaten!D$12,Bewertung_Stammdaten!C$12,IF(AG28&lt;Bewertung_Stammdaten!D$13,Bewertung_Stammdaten!C$13,IF(AG28&lt;Bewertung_Stammdaten!D$14,Bewertung_Stammdaten!C$14,IF(AG28&lt;Bewertung_Stammdaten!D$15,Bewertung_Stammdaten!C$15,IF(AG28&lt;Bewertung_Stammdaten!D$16,Bewertung_Stammdaten!C$16,IF(AG28&lt;Bewertung_Stammdaten!D$17,Bewertung_Stammdaten!C$17,IF(AG28&lt;Bewertung_Stammdaten!D$18,Bewertung_Stammdaten!C$18,IF(AG28&lt;Bewertung_Stammdaten!D$19,Bewertung_Stammdaten!C$19,Bewertung_Stammdaten!C$20)))))))))</f>
        <v>12</v>
      </c>
      <c r="AK28" s="36">
        <f>IF(AH28&lt;Bewertung_Stammdaten!T$11,Bewertung_Stammdaten!S$11,IF(AH28&lt;Bewertung_Stammdaten!T$12,Bewertung_Stammdaten!S$12,IF(AH28&lt;Bewertung_Stammdaten!T$13,Bewertung_Stammdaten!S$13,IF(AH28&lt;Bewertung_Stammdaten!T$14,Bewertung_Stammdaten!S$14,IF(AH28&lt;Bewertung_Stammdaten!T$15,Bewertung_Stammdaten!S$15,IF(AH28&lt;Bewertung_Stammdaten!T$16,Bewertung_Stammdaten!S$16,IF(AH28&lt;Bewertung_Stammdaten!T$17,Bewertung_Stammdaten!S$17,IF(AH28&lt;Bewertung_Stammdaten!T$18,Bewertung_Stammdaten!S$18,IF(AH28&lt;Bewertung_Stammdaten!T$19,Bewertung_Stammdaten!S$19,Bewertung_Stammdaten!S$20)))))))))</f>
        <v>8</v>
      </c>
      <c r="AL28" s="36">
        <f ca="1">IF(AI28&lt;Bewertung_Stammdaten!F$11,Bewertung_Stammdaten!E$11,IF(AI28&lt;Bewertung_Stammdaten!F$12,Bewertung_Stammdaten!E$12,IF(AI28&lt;Bewertung_Stammdaten!F$13,Bewertung_Stammdaten!E$13,IF(AI28&lt;Bewertung_Stammdaten!F$14,Bewertung_Stammdaten!E$14,IF(AI28&lt;Bewertung_Stammdaten!F$15,Bewertung_Stammdaten!E$15,IF(AI28&lt;Bewertung_Stammdaten!F$16,Bewertung_Stammdaten!E$16,IF(AI28&lt;Bewertung_Stammdaten!F$17,Bewertung_Stammdaten!E$17,IF(AI28&lt;Bewertung_Stammdaten!F$18,Bewertung_Stammdaten!E$18,IF(AI28&lt;Bewertung_Stammdaten!F$19,Bewertung_Stammdaten!E$19,Bewertung_Stammdaten!E$20)))))))))</f>
        <v>3</v>
      </c>
      <c r="AM28" s="49"/>
      <c r="AN28" s="13">
        <f>VLOOKUP(A28,Aktien_im_Umlauf_splitbereinigt!A3:W68,13,FALSE)</f>
        <v>0</v>
      </c>
      <c r="AO28" s="13">
        <f>VLOOKUP(A28,Aktien_im_Umlauf_splitbereinigt!A3:W68,22,FALSE)</f>
        <v>0</v>
      </c>
      <c r="AP28" s="13">
        <f>VLOOKUP(A28,Aktien_im_Umlauf_splitbereinigt!A3:W68,23,FALSE)</f>
        <v>0</v>
      </c>
      <c r="AQ28" s="47">
        <f>IF(AN28&lt;Bewertung_Stammdaten!J$24,Bewertung_Stammdaten!I$24,IF(AN28&lt;Bewertung_Stammdaten!J$25,Bewertung_Stammdaten!I$25,IF(AN28&lt;Bewertung_Stammdaten!J$26,Bewertung_Stammdaten!I$26,IF(AN28&lt;Bewertung_Stammdaten!J$27,Bewertung_Stammdaten!I$27,IF(AN28&lt;Bewertung_Stammdaten!J$28,Bewertung_Stammdaten!I$28,IF(AN28&lt;Bewertung_Stammdaten!J$29,Bewertung_Stammdaten!I$29,IF(AN28&lt;Bewertung_Stammdaten!J$30,Bewertung_Stammdaten!I$30,IF(AN28&lt;Bewertung_Stammdaten!J$31,Bewertung_Stammdaten!I$31,IF(AN28&lt;Bewertung_Stammdaten!J$32,Bewertung_Stammdaten!I$32,Bewertung_Stammdaten!I$33)))))))))</f>
        <v>1</v>
      </c>
      <c r="AR28" s="47">
        <f>IF(AO28&lt;Bewertung_Stammdaten!L$24,Bewertung_Stammdaten!K$24,IF(AO28&lt;Bewertung_Stammdaten!L$25,Bewertung_Stammdaten!K$25,IF(AO28&lt;Bewertung_Stammdaten!L$26,Bewertung_Stammdaten!K$26,IF(AO28&lt;Bewertung_Stammdaten!L$27,Bewertung_Stammdaten!K$27,IF(AO28&lt;Bewertung_Stammdaten!L$28,Bewertung_Stammdaten!K$28,IF(AO28&lt;Bewertung_Stammdaten!L$29,Bewertung_Stammdaten!K$29,IF(AO28&lt;Bewertung_Stammdaten!L$30,Bewertung_Stammdaten!K$30,IF(AO28&lt;Bewertung_Stammdaten!L$31,Bewertung_Stammdaten!K$31,IF(AO28&lt;Bewertung_Stammdaten!L$32,Bewertung_Stammdaten!K$32,Bewertung_Stammdaten!K$33)))))))))</f>
        <v>1</v>
      </c>
      <c r="AS28" s="47">
        <f>IF(AP28&lt;Bewertung_Stammdaten!N$24,Bewertung_Stammdaten!M$24,IF(AP28&lt;Bewertung_Stammdaten!N$25,Bewertung_Stammdaten!M$25,IF(AP28&lt;Bewertung_Stammdaten!N$26,Bewertung_Stammdaten!M$26,IF(AP28&lt;Bewertung_Stammdaten!N$27,Bewertung_Stammdaten!M$27,IF(AP28&lt;Bewertung_Stammdaten!N$28,Bewertung_Stammdaten!M$28,IF(AP28&lt;Bewertung_Stammdaten!N$29,Bewertung_Stammdaten!M$29,IF(AP28&lt;Bewertung_Stammdaten!N$30,Bewertung_Stammdaten!M$30,IF(AP28&lt;Bewertung_Stammdaten!N$31,Bewertung_Stammdaten!M$31,IF(AP28&lt;Bewertung_Stammdaten!N$32,Bewertung_Stammdaten!M$32,Bewertung_Stammdaten!M$33)))))))))</f>
        <v>3</v>
      </c>
      <c r="AT28" s="49"/>
      <c r="AU28" s="13">
        <f ca="1">VLOOKUP(A28,Ausschüttungsquote!A3:S68,18,FALSE)</f>
        <v>0.68904219460688754</v>
      </c>
      <c r="AV28" s="13">
        <f>VLOOKUP(A28,Ausschüttungsquote!A3:S68,15,FALSE)</f>
        <v>0.60022289717936084</v>
      </c>
      <c r="AW28" s="13">
        <f ca="1">VLOOKUP(A28,Ausschüttungsquote!A3:S68,19,FALSE)</f>
        <v>0.14797718954894412</v>
      </c>
      <c r="AX28" s="36">
        <f ca="1">IF(AU28&lt;Bewertung_Stammdaten!H$11,Bewertung_Stammdaten!G$11,IF(AU28&lt;Bewertung_Stammdaten!H$12,Bewertung_Stammdaten!G$12,IF(AU28&lt;Bewertung_Stammdaten!H$13,Bewertung_Stammdaten!G$13,IF(AU28&lt;Bewertung_Stammdaten!H$14,Bewertung_Stammdaten!G$14,IF(AU28&lt;Bewertung_Stammdaten!H$15,Bewertung_Stammdaten!G$15,IF(AU28&lt;Bewertung_Stammdaten!H$16,Bewertung_Stammdaten!G$16,IF(AU28&lt;Bewertung_Stammdaten!H$17,Bewertung_Stammdaten!G$17,IF(AU28&lt;Bewertung_Stammdaten!H$18,Bewertung_Stammdaten!G$18,IF(AU28&lt;Bewertung_Stammdaten!H$19,Bewertung_Stammdaten!G$19,Bewertung_Stammdaten!G$20)))))))))</f>
        <v>2</v>
      </c>
      <c r="AY28" s="47">
        <f>IF(AV28&lt;Bewertung_Stammdaten!B$24,Bewertung_Stammdaten!A$24,IF(AV28&lt;Bewertung_Stammdaten!B$25,Bewertung_Stammdaten!A$25,IF(AV28&lt;Bewertung_Stammdaten!B$26,Bewertung_Stammdaten!A$26,IF(AV28&lt;Bewertung_Stammdaten!B$27,Bewertung_Stammdaten!A$27,IF(AV28&lt;Bewertung_Stammdaten!B$28,Bewertung_Stammdaten!A$28,IF(AV28&lt;Bewertung_Stammdaten!B$29,Bewertung_Stammdaten!A$29,IF(AV28&lt;Bewertung_Stammdaten!B$30,Bewertung_Stammdaten!A$30,IF(AV28&lt;Bewertung_Stammdaten!B$31,Bewertung_Stammdaten!A$31,IF(AV28&lt;Bewertung_Stammdaten!B$32,Bewertung_Stammdaten!A$32,Bewertung_Stammdaten!A$33)))))))))</f>
        <v>2.5</v>
      </c>
      <c r="AZ28" s="36">
        <f ca="1">IF(AW28&lt;Bewertung_Stammdaten!J$11,Bewertung_Stammdaten!I$11,IF(AW28&lt;Bewertung_Stammdaten!J$12,Bewertung_Stammdaten!I$12,IF(AW28&lt;Bewertung_Stammdaten!J$13,Bewertung_Stammdaten!I$13,IF(AW28&lt;Bewertung_Stammdaten!J$14,Bewertung_Stammdaten!I$14,IF(AW28&lt;Bewertung_Stammdaten!J$15,Bewertung_Stammdaten!I$15,IF(AW28&lt;Bewertung_Stammdaten!J$16,Bewertung_Stammdaten!I$16,IF(AW28&lt;Bewertung_Stammdaten!J$17,Bewertung_Stammdaten!I$17,IF(AW28&lt;Bewertung_Stammdaten!J$18,Bewertung_Stammdaten!I$18,IF(AW28&lt;Bewertung_Stammdaten!J$19,Bewertung_Stammdaten!I$19,Bewertung_Stammdaten!I$20)))))))))</f>
        <v>1.5</v>
      </c>
    </row>
    <row r="29" spans="1:52" x14ac:dyDescent="0.25">
      <c r="A29" s="44" t="s">
        <v>54</v>
      </c>
      <c r="B29" s="44" t="s">
        <v>55</v>
      </c>
      <c r="C29" s="36">
        <f t="shared" ca="1" si="0"/>
        <v>89.5</v>
      </c>
      <c r="D29" s="49"/>
      <c r="E29" s="12">
        <f ca="1">VLOOKUP(A29,KGV!A3:S68,18,FALSE)</f>
        <v>13.238333333333333</v>
      </c>
      <c r="F29" s="12">
        <f>VLOOKUP(A29,KGV!A3:S68,15,FALSE)</f>
        <v>15.85</v>
      </c>
      <c r="G29" s="13">
        <f ca="1">VLOOKUP(A29,KGV!A3:S68,19,FALSE)</f>
        <v>-0.16477392218717135</v>
      </c>
      <c r="H29" s="19">
        <f t="shared" ca="1" si="1"/>
        <v>67.194570707070696</v>
      </c>
      <c r="I29" s="13">
        <f t="shared" ca="1" si="2"/>
        <v>3.2394050919287505</v>
      </c>
      <c r="J29" s="36">
        <f ca="1">IF(G29&lt;Bewertung_Stammdaten!B$11,Bewertung_Stammdaten!A$11,IF(G29&lt;Bewertung_Stammdaten!B$12,Bewertung_Stammdaten!A$12,IF(G29&lt;Bewertung_Stammdaten!B$13,Bewertung_Stammdaten!A$13,IF(G29&lt;Bewertung_Stammdaten!B$14,Bewertung_Stammdaten!A$14,IF(G29&lt;Bewertung_Stammdaten!B$15,Bewertung_Stammdaten!A$15,IF(G29&lt;Bewertung_Stammdaten!B$16,Bewertung_Stammdaten!A$16,IF(G29&lt;Bewertung_Stammdaten!B$17,Bewertung_Stammdaten!A$17,IF(G29&lt;Bewertung_Stammdaten!B$18,Bewertung_Stammdaten!A$18,IF(G29&lt;Bewertung_Stammdaten!B$19,Bewertung_Stammdaten!A$19,Bewertung_Stammdaten!A$20)))))))))</f>
        <v>18</v>
      </c>
      <c r="K29" s="36">
        <f ca="1">IF(I29&lt;Bewertung_Stammdaten!N$11,Bewertung_Stammdaten!M$11,IF(I29&lt;Bewertung_Stammdaten!N$12,Bewertung_Stammdaten!M$12,IF(I29&lt;Bewertung_Stammdaten!N$13,Bewertung_Stammdaten!M$13,IF(I29&lt;Bewertung_Stammdaten!N$14,Bewertung_Stammdaten!M$14,IF(I29&lt;Bewertung_Stammdaten!N$15,Bewertung_Stammdaten!M$15,IF(I29&lt;Bewertung_Stammdaten!N$16,Bewertung_Stammdaten!M$16,IF(I29&lt;Bewertung_Stammdaten!N$17,Bewertung_Stammdaten!M$17,IF(I29&lt;Bewertung_Stammdaten!N$18,Bewertung_Stammdaten!M$18,IF(I29&lt;Bewertung_Stammdaten!N$19,Bewertung_Stammdaten!M$19,Bewertung_Stammdaten!M$20)))))))))</f>
        <v>1</v>
      </c>
      <c r="L29" s="49"/>
      <c r="M29" s="12">
        <f ca="1">VLOOKUP(A29,Buchwert_je_Aktie!A3:AC68,18,FALSE)</f>
        <v>18.160277777777779</v>
      </c>
      <c r="N29" s="12">
        <f>VLOOKUP(A29,Buchwert_je_Aktie!A3:AC68,15,FALSE)</f>
        <v>16.858000000000001</v>
      </c>
      <c r="O29" s="13">
        <f ca="1">VLOOKUP(A29,Buchwert_je_Aktie!A3:AC68,19,FALSE)</f>
        <v>7.7249838520451863E-2</v>
      </c>
      <c r="P29" s="13">
        <f>VLOOKUP(A29,Buchwert_je_Aktie!A3:AC68,29,FALSE)</f>
        <v>-0.14353064431639595</v>
      </c>
      <c r="Q29" s="19">
        <f t="shared" ca="1" si="6"/>
        <v>15.553721407368608</v>
      </c>
      <c r="R29" s="13">
        <f t="shared" ca="1" si="3"/>
        <v>-7.7368524892121981E-2</v>
      </c>
      <c r="S29" s="58">
        <f ca="1">IF(O29&lt;Bewertung_Stammdaten!D$24,Bewertung_Stammdaten!C$24,IF(O29&lt;Bewertung_Stammdaten!D$25,Bewertung_Stammdaten!C$25,IF(O29&lt;Bewertung_Stammdaten!D$26,Bewertung_Stammdaten!C$26,IF(O29&lt;Bewertung_Stammdaten!D$27,Bewertung_Stammdaten!C$27,IF(O29&lt;Bewertung_Stammdaten!D$28,Bewertung_Stammdaten!C$28,IF(O29&lt;Bewertung_Stammdaten!D$29,Bewertung_Stammdaten!C$29,IF(O29&lt;Bewertung_Stammdaten!D$30,Bewertung_Stammdaten!C$30,IF(O29&lt;Bewertung_Stammdaten!D$31,Bewertung_Stammdaten!C$31,IF(O29&lt;Bewertung_Stammdaten!D$32,Bewertung_Stammdaten!C$32,Bewertung_Stammdaten!C$33)))))))))</f>
        <v>4</v>
      </c>
      <c r="T29" s="58">
        <f>IF(P29&lt;Bewertung_Stammdaten!F$24,Bewertung_Stammdaten!E$24,IF(P29&lt;Bewertung_Stammdaten!F$25,Bewertung_Stammdaten!E$25,IF(P29&lt;Bewertung_Stammdaten!F$26,Bewertung_Stammdaten!E$26,IF(P29&lt;Bewertung_Stammdaten!F$27,Bewertung_Stammdaten!E$27,IF(P29&lt;Bewertung_Stammdaten!F$28,Bewertung_Stammdaten!E$28,IF(P29&lt;Bewertung_Stammdaten!F$29,Bewertung_Stammdaten!E$29,IF(P29&lt;Bewertung_Stammdaten!F$30,Bewertung_Stammdaten!E$30,IF(P29&lt;Bewertung_Stammdaten!F$31,Bewertung_Stammdaten!E$31,IF(P29&lt;Bewertung_Stammdaten!F$32,Bewertung_Stammdaten!E$32,Bewertung_Stammdaten!E$33)))))))))</f>
        <v>7.5</v>
      </c>
      <c r="U29" s="58">
        <f ca="1">IF(R29&lt;Bewertung_Stammdaten!H$24,Bewertung_Stammdaten!G$24,IF(R29&lt;Bewertung_Stammdaten!H$25,Bewertung_Stammdaten!G$25,IF(R29&lt;Bewertung_Stammdaten!H$26,Bewertung_Stammdaten!G$26,IF(R29&lt;Bewertung_Stammdaten!H$27,Bewertung_Stammdaten!G$27,IF(R29&lt;Bewertung_Stammdaten!H$28,Bewertung_Stammdaten!G$28,IF(R29&lt;Bewertung_Stammdaten!H$29,Bewertung_Stammdaten!G$29,IF(R29&lt;Bewertung_Stammdaten!H$30,Bewertung_Stammdaten!G$30,IF(R29&lt;Bewertung_Stammdaten!H$31,Bewertung_Stammdaten!G$31,IF(R29&lt;Bewertung_Stammdaten!H$32,Bewertung_Stammdaten!G$32,Bewertung_Stammdaten!G$33)))))))))</f>
        <v>1</v>
      </c>
      <c r="V29" s="49"/>
      <c r="W29" s="17">
        <f ca="1">VLOOKUP(A29,Ergebnis_je_Aktie_verwässert!A3:S68,18,FALSE)</f>
        <v>2.7323333333333331</v>
      </c>
      <c r="X29" s="17">
        <f>VLOOKUP(A29,Ergebnis_je_Aktie_verwässert!A3:S68,15,FALSE)</f>
        <v>1.9949999999999999</v>
      </c>
      <c r="Y29" s="13">
        <f ca="1">VLOOKUP(A29,Ergebnis_je_Aktie_verwässert!A3:S68,19,FALSE)</f>
        <v>0.36959064327485369</v>
      </c>
      <c r="Z29" s="46">
        <f>VLOOKUP(A29,Ergebnis_je_Aktie_verwässert!A3:AC68,29,FALSE)</f>
        <v>-0.80298507462686564</v>
      </c>
      <c r="AA29" s="19">
        <f t="shared" ca="1" si="4"/>
        <v>0.53831044776119408</v>
      </c>
      <c r="AB29" s="13">
        <f t="shared" ca="1" si="5"/>
        <v>-0.73017020162346158</v>
      </c>
      <c r="AC29" s="36">
        <f ca="1">IF(Y29&lt;Bewertung_Stammdaten!L$11,Bewertung_Stammdaten!K$11,IF(Y29&lt;Bewertung_Stammdaten!L$12,Bewertung_Stammdaten!K$12,IF(Y29&lt;Bewertung_Stammdaten!L$13,Bewertung_Stammdaten!K$13,IF(Y29&lt;Bewertung_Stammdaten!L$14,Bewertung_Stammdaten!K$14,IF(Y29&lt;Bewertung_Stammdaten!L$15,Bewertung_Stammdaten!K$15,IF(Y29&lt;Bewertung_Stammdaten!L$16,Bewertung_Stammdaten!K$16,IF(Y29&lt;Bewertung_Stammdaten!L$17,Bewertung_Stammdaten!K$17,IF(Y29&lt;Bewertung_Stammdaten!L$18,Bewertung_Stammdaten!K$18,IF(Y29&lt;Bewertung_Stammdaten!L$19,Bewertung_Stammdaten!K$19,Bewertung_Stammdaten!K$20)))))))))</f>
        <v>10</v>
      </c>
      <c r="AD29" s="36">
        <f>IF(Z29&lt;Bewertung_Stammdaten!R$11,Bewertung_Stammdaten!Q$11,IF(Z29&lt;Bewertung_Stammdaten!R$12,Bewertung_Stammdaten!Q$12,IF(Z29&lt;Bewertung_Stammdaten!R$13,Bewertung_Stammdaten!Q$13,IF(Z29&lt;Bewertung_Stammdaten!R$14,Bewertung_Stammdaten!Q$14,IF(Z29&lt;Bewertung_Stammdaten!R$15,Bewertung_Stammdaten!Q$15,IF(Z29&lt;Bewertung_Stammdaten!R$16,Bewertung_Stammdaten!Q$16,IF(Z29&lt;Bewertung_Stammdaten!R$17,Bewertung_Stammdaten!Q$17,IF(Z29&lt;Bewertung_Stammdaten!R$18,Bewertung_Stammdaten!Q$18,IF(Z29&lt;Bewertung_Stammdaten!R$19,Bewertung_Stammdaten!Q$19,Bewertung_Stammdaten!Q$20)))))))))</f>
        <v>1</v>
      </c>
      <c r="AE29" s="36">
        <f ca="1">IF(AB29&lt;Bewertung_Stammdaten!P$11,Bewertung_Stammdaten!O$11,IF(AB29&lt;Bewertung_Stammdaten!P$12,Bewertung_Stammdaten!O$12,IF(AB29&lt;Bewertung_Stammdaten!P$13,Bewertung_Stammdaten!O$13,IF(AB29&lt;Bewertung_Stammdaten!P$14,Bewertung_Stammdaten!O$14,IF(AB29&lt;Bewertung_Stammdaten!P$15,Bewertung_Stammdaten!O$15,IF(AB29&lt;Bewertung_Stammdaten!P$16,Bewertung_Stammdaten!O$16,IF(AB29&lt;Bewertung_Stammdaten!P$17,Bewertung_Stammdaten!O$17,IF(AB29&lt;Bewertung_Stammdaten!P$18,Bewertung_Stammdaten!O$18,IF(AB29&lt;Bewertung_Stammdaten!P$19,Bewertung_Stammdaten!O$19,Bewertung_Stammdaten!O$20)))))))))</f>
        <v>1</v>
      </c>
      <c r="AF29" s="49"/>
      <c r="AG29" s="13">
        <f ca="1">VLOOKUP(A29,Dividendenrendite!A3:S68,18,FALSE)</f>
        <v>5.1642500000000001E-2</v>
      </c>
      <c r="AH29" s="13">
        <f>VLOOKUP(A29,Dividendenrendite!A3:S68,15,FALSE)</f>
        <v>5.0869999999999992E-2</v>
      </c>
      <c r="AI29" s="13">
        <f ca="1">VLOOKUP(A29,Dividendenrendite!A3:S68,19,FALSE)</f>
        <v>1.5185767643011827E-2</v>
      </c>
      <c r="AJ29" s="36">
        <f ca="1">IF(AG29&lt;Bewertung_Stammdaten!D$11,Bewertung_Stammdaten!C$11,IF(AG29&lt;Bewertung_Stammdaten!D$12,Bewertung_Stammdaten!C$12,IF(AG29&lt;Bewertung_Stammdaten!D$13,Bewertung_Stammdaten!C$13,IF(AG29&lt;Bewertung_Stammdaten!D$14,Bewertung_Stammdaten!C$14,IF(AG29&lt;Bewertung_Stammdaten!D$15,Bewertung_Stammdaten!C$15,IF(AG29&lt;Bewertung_Stammdaten!D$16,Bewertung_Stammdaten!C$16,IF(AG29&lt;Bewertung_Stammdaten!D$17,Bewertung_Stammdaten!C$17,IF(AG29&lt;Bewertung_Stammdaten!D$18,Bewertung_Stammdaten!C$18,IF(AG29&lt;Bewertung_Stammdaten!D$19,Bewertung_Stammdaten!C$19,Bewertung_Stammdaten!C$20)))))))))</f>
        <v>15</v>
      </c>
      <c r="AK29" s="36">
        <f>IF(AH29&lt;Bewertung_Stammdaten!T$11,Bewertung_Stammdaten!S$11,IF(AH29&lt;Bewertung_Stammdaten!T$12,Bewertung_Stammdaten!S$12,IF(AH29&lt;Bewertung_Stammdaten!T$13,Bewertung_Stammdaten!S$13,IF(AH29&lt;Bewertung_Stammdaten!T$14,Bewertung_Stammdaten!S$14,IF(AH29&lt;Bewertung_Stammdaten!T$15,Bewertung_Stammdaten!S$15,IF(AH29&lt;Bewertung_Stammdaten!T$16,Bewertung_Stammdaten!S$16,IF(AH29&lt;Bewertung_Stammdaten!T$17,Bewertung_Stammdaten!S$17,IF(AH29&lt;Bewertung_Stammdaten!T$18,Bewertung_Stammdaten!S$18,IF(AH29&lt;Bewertung_Stammdaten!T$19,Bewertung_Stammdaten!S$19,Bewertung_Stammdaten!S$20)))))))))</f>
        <v>10</v>
      </c>
      <c r="AL29" s="36">
        <f ca="1">IF(AI29&lt;Bewertung_Stammdaten!F$11,Bewertung_Stammdaten!E$11,IF(AI29&lt;Bewertung_Stammdaten!F$12,Bewertung_Stammdaten!E$12,IF(AI29&lt;Bewertung_Stammdaten!F$13,Bewertung_Stammdaten!E$13,IF(AI29&lt;Bewertung_Stammdaten!F$14,Bewertung_Stammdaten!E$14,IF(AI29&lt;Bewertung_Stammdaten!F$15,Bewertung_Stammdaten!E$15,IF(AI29&lt;Bewertung_Stammdaten!F$16,Bewertung_Stammdaten!E$16,IF(AI29&lt;Bewertung_Stammdaten!F$17,Bewertung_Stammdaten!E$17,IF(AI29&lt;Bewertung_Stammdaten!F$18,Bewertung_Stammdaten!E$18,IF(AI29&lt;Bewertung_Stammdaten!F$19,Bewertung_Stammdaten!E$19,Bewertung_Stammdaten!E$20)))))))))</f>
        <v>3</v>
      </c>
      <c r="AM29" s="49"/>
      <c r="AN29" s="13">
        <f>VLOOKUP(A29,Aktien_im_Umlauf_splitbereinigt!A3:W68,13,FALSE)</f>
        <v>-6.3608672280953238E-2</v>
      </c>
      <c r="AO29" s="13">
        <f>VLOOKUP(A29,Aktien_im_Umlauf_splitbereinigt!A3:W68,22,FALSE)</f>
        <v>6.7917936349324998E-2</v>
      </c>
      <c r="AP29" s="13">
        <f>VLOOKUP(A29,Aktien_im_Umlauf_splitbereinigt!A3:W68,23,FALSE)</f>
        <v>1.9365518992478252</v>
      </c>
      <c r="AQ29" s="47">
        <f>IF(AN29&lt;Bewertung_Stammdaten!J$24,Bewertung_Stammdaten!I$24,IF(AN29&lt;Bewertung_Stammdaten!J$25,Bewertung_Stammdaten!I$25,IF(AN29&lt;Bewertung_Stammdaten!J$26,Bewertung_Stammdaten!I$26,IF(AN29&lt;Bewertung_Stammdaten!J$27,Bewertung_Stammdaten!I$27,IF(AN29&lt;Bewertung_Stammdaten!J$28,Bewertung_Stammdaten!I$28,IF(AN29&lt;Bewertung_Stammdaten!J$29,Bewertung_Stammdaten!I$29,IF(AN29&lt;Bewertung_Stammdaten!J$30,Bewertung_Stammdaten!I$30,IF(AN29&lt;Bewertung_Stammdaten!J$31,Bewertung_Stammdaten!I$31,IF(AN29&lt;Bewertung_Stammdaten!J$32,Bewertung_Stammdaten!I$32,Bewertung_Stammdaten!I$33)))))))))</f>
        <v>5</v>
      </c>
      <c r="AR29" s="47">
        <f>IF(AO29&lt;Bewertung_Stammdaten!L$24,Bewertung_Stammdaten!K$24,IF(AO29&lt;Bewertung_Stammdaten!L$25,Bewertung_Stammdaten!K$25,IF(AO29&lt;Bewertung_Stammdaten!L$26,Bewertung_Stammdaten!K$26,IF(AO29&lt;Bewertung_Stammdaten!L$27,Bewertung_Stammdaten!K$27,IF(AO29&lt;Bewertung_Stammdaten!L$28,Bewertung_Stammdaten!K$28,IF(AO29&lt;Bewertung_Stammdaten!L$29,Bewertung_Stammdaten!K$29,IF(AO29&lt;Bewertung_Stammdaten!L$30,Bewertung_Stammdaten!K$30,IF(AO29&lt;Bewertung_Stammdaten!L$31,Bewertung_Stammdaten!K$31,IF(AO29&lt;Bewertung_Stammdaten!L$32,Bewertung_Stammdaten!K$32,Bewertung_Stammdaten!K$33)))))))))</f>
        <v>0.5</v>
      </c>
      <c r="AS29" s="47">
        <f>IF(AP29&lt;Bewertung_Stammdaten!N$24,Bewertung_Stammdaten!M$24,IF(AP29&lt;Bewertung_Stammdaten!N$25,Bewertung_Stammdaten!M$25,IF(AP29&lt;Bewertung_Stammdaten!N$26,Bewertung_Stammdaten!M$26,IF(AP29&lt;Bewertung_Stammdaten!N$27,Bewertung_Stammdaten!M$27,IF(AP29&lt;Bewertung_Stammdaten!N$28,Bewertung_Stammdaten!M$28,IF(AP29&lt;Bewertung_Stammdaten!N$29,Bewertung_Stammdaten!M$29,IF(AP29&lt;Bewertung_Stammdaten!N$30,Bewertung_Stammdaten!M$30,IF(AP29&lt;Bewertung_Stammdaten!N$31,Bewertung_Stammdaten!M$31,IF(AP29&lt;Bewertung_Stammdaten!N$32,Bewertung_Stammdaten!M$32,Bewertung_Stammdaten!M$33)))))))))</f>
        <v>5</v>
      </c>
      <c r="AT29" s="49"/>
      <c r="AU29" s="13">
        <f ca="1">VLOOKUP(A29,Ausschüttungsquote!A3:S68,18,FALSE)</f>
        <v>0.68389746849137234</v>
      </c>
      <c r="AV29" s="13">
        <f>VLOOKUP(A29,Ausschüttungsquote!A3:S68,15,FALSE)</f>
        <v>0.96805237419464096</v>
      </c>
      <c r="AW29" s="13">
        <f ca="1">VLOOKUP(A29,Ausschüttungsquote!A3:S68,19,FALSE)</f>
        <v>-0.29353257455689596</v>
      </c>
      <c r="AX29" s="36">
        <f ca="1">IF(AU29&lt;Bewertung_Stammdaten!H$11,Bewertung_Stammdaten!G$11,IF(AU29&lt;Bewertung_Stammdaten!H$12,Bewertung_Stammdaten!G$12,IF(AU29&lt;Bewertung_Stammdaten!H$13,Bewertung_Stammdaten!G$13,IF(AU29&lt;Bewertung_Stammdaten!H$14,Bewertung_Stammdaten!G$14,IF(AU29&lt;Bewertung_Stammdaten!H$15,Bewertung_Stammdaten!G$15,IF(AU29&lt;Bewertung_Stammdaten!H$16,Bewertung_Stammdaten!G$16,IF(AU29&lt;Bewertung_Stammdaten!H$17,Bewertung_Stammdaten!G$17,IF(AU29&lt;Bewertung_Stammdaten!H$18,Bewertung_Stammdaten!G$18,IF(AU29&lt;Bewertung_Stammdaten!H$19,Bewertung_Stammdaten!G$19,Bewertung_Stammdaten!G$20)))))))))</f>
        <v>2</v>
      </c>
      <c r="AY29" s="47">
        <f>IF(AV29&lt;Bewertung_Stammdaten!B$24,Bewertung_Stammdaten!A$24,IF(AV29&lt;Bewertung_Stammdaten!B$25,Bewertung_Stammdaten!A$25,IF(AV29&lt;Bewertung_Stammdaten!B$26,Bewertung_Stammdaten!A$26,IF(AV29&lt;Bewertung_Stammdaten!B$27,Bewertung_Stammdaten!A$27,IF(AV29&lt;Bewertung_Stammdaten!B$28,Bewertung_Stammdaten!A$28,IF(AV29&lt;Bewertung_Stammdaten!B$29,Bewertung_Stammdaten!A$29,IF(AV29&lt;Bewertung_Stammdaten!B$30,Bewertung_Stammdaten!A$30,IF(AV29&lt;Bewertung_Stammdaten!B$31,Bewertung_Stammdaten!A$31,IF(AV29&lt;Bewertung_Stammdaten!B$32,Bewertung_Stammdaten!A$32,Bewertung_Stammdaten!A$33)))))))))</f>
        <v>0.5</v>
      </c>
      <c r="AZ29" s="36">
        <f ca="1">IF(AW29&lt;Bewertung_Stammdaten!J$11,Bewertung_Stammdaten!I$11,IF(AW29&lt;Bewertung_Stammdaten!J$12,Bewertung_Stammdaten!I$12,IF(AW29&lt;Bewertung_Stammdaten!J$13,Bewertung_Stammdaten!I$13,IF(AW29&lt;Bewertung_Stammdaten!J$14,Bewertung_Stammdaten!I$14,IF(AW29&lt;Bewertung_Stammdaten!J$15,Bewertung_Stammdaten!I$15,IF(AW29&lt;Bewertung_Stammdaten!J$16,Bewertung_Stammdaten!I$16,IF(AW29&lt;Bewertung_Stammdaten!J$17,Bewertung_Stammdaten!I$17,IF(AW29&lt;Bewertung_Stammdaten!J$18,Bewertung_Stammdaten!I$18,IF(AW29&lt;Bewertung_Stammdaten!J$19,Bewertung_Stammdaten!I$19,Bewertung_Stammdaten!I$20)))))))))</f>
        <v>5</v>
      </c>
    </row>
    <row r="30" spans="1:52" x14ac:dyDescent="0.25">
      <c r="A30" s="44" t="s">
        <v>56</v>
      </c>
      <c r="B30" s="44" t="s">
        <v>57</v>
      </c>
      <c r="C30" s="36">
        <f t="shared" ca="1" si="0"/>
        <v>96.5</v>
      </c>
      <c r="D30" s="49"/>
      <c r="E30" s="12">
        <f ca="1">VLOOKUP(A30,KGV!A3:S68,18,FALSE)</f>
        <v>11.698611111111109</v>
      </c>
      <c r="F30" s="12">
        <f>VLOOKUP(A30,KGV!A3:S68,15,FALSE)</f>
        <v>9</v>
      </c>
      <c r="G30" s="13">
        <f ca="1">VLOOKUP(A30,KGV!A3:S68,19,FALSE)</f>
        <v>0.29984567901234538</v>
      </c>
      <c r="H30" s="19">
        <f t="shared" ca="1" si="1"/>
        <v>26.053967875318058</v>
      </c>
      <c r="I30" s="13">
        <f t="shared" ca="1" si="2"/>
        <v>1.8948853194797843</v>
      </c>
      <c r="J30" s="36">
        <f ca="1">IF(G30&lt;Bewertung_Stammdaten!B$11,Bewertung_Stammdaten!A$11,IF(G30&lt;Bewertung_Stammdaten!B$12,Bewertung_Stammdaten!A$12,IF(G30&lt;Bewertung_Stammdaten!B$13,Bewertung_Stammdaten!A$13,IF(G30&lt;Bewertung_Stammdaten!B$14,Bewertung_Stammdaten!A$14,IF(G30&lt;Bewertung_Stammdaten!B$15,Bewertung_Stammdaten!A$15,IF(G30&lt;Bewertung_Stammdaten!B$16,Bewertung_Stammdaten!A$16,IF(G30&lt;Bewertung_Stammdaten!B$17,Bewertung_Stammdaten!A$17,IF(G30&lt;Bewertung_Stammdaten!B$18,Bewertung_Stammdaten!A$18,IF(G30&lt;Bewertung_Stammdaten!B$19,Bewertung_Stammdaten!A$19,Bewertung_Stammdaten!A$20)))))))))</f>
        <v>2</v>
      </c>
      <c r="K30" s="36">
        <f ca="1">IF(I30&lt;Bewertung_Stammdaten!N$11,Bewertung_Stammdaten!M$11,IF(I30&lt;Bewertung_Stammdaten!N$12,Bewertung_Stammdaten!M$12,IF(I30&lt;Bewertung_Stammdaten!N$13,Bewertung_Stammdaten!M$13,IF(I30&lt;Bewertung_Stammdaten!N$14,Bewertung_Stammdaten!M$14,IF(I30&lt;Bewertung_Stammdaten!N$15,Bewertung_Stammdaten!M$15,IF(I30&lt;Bewertung_Stammdaten!N$16,Bewertung_Stammdaten!M$16,IF(I30&lt;Bewertung_Stammdaten!N$17,Bewertung_Stammdaten!M$17,IF(I30&lt;Bewertung_Stammdaten!N$18,Bewertung_Stammdaten!M$18,IF(I30&lt;Bewertung_Stammdaten!N$19,Bewertung_Stammdaten!M$19,Bewertung_Stammdaten!M$20)))))))))</f>
        <v>1</v>
      </c>
      <c r="L30" s="49"/>
      <c r="M30" s="12">
        <f ca="1">VLOOKUP(A30,Buchwert_je_Aktie!A3:AC68,18,FALSE)</f>
        <v>85.974166666666662</v>
      </c>
      <c r="N30" s="12">
        <f>VLOOKUP(A30,Buchwert_je_Aktie!A3:AC68,15,FALSE)</f>
        <v>46.89200000000001</v>
      </c>
      <c r="O30" s="13">
        <f ca="1">VLOOKUP(A30,Buchwert_je_Aktie!A3:AC68,19,FALSE)</f>
        <v>0.83345062412920412</v>
      </c>
      <c r="P30" s="13">
        <f>VLOOKUP(A30,Buchwert_je_Aktie!A3:AC68,29,FALSE)</f>
        <v>5.8524173027989956E-2</v>
      </c>
      <c r="Q30" s="19">
        <f t="shared" ca="1" si="6"/>
        <v>85.974166666666662</v>
      </c>
      <c r="R30" s="13">
        <f t="shared" ca="1" si="3"/>
        <v>0.83345062412920412</v>
      </c>
      <c r="S30" s="58">
        <f ca="1">IF(O30&lt;Bewertung_Stammdaten!D$24,Bewertung_Stammdaten!C$24,IF(O30&lt;Bewertung_Stammdaten!D$25,Bewertung_Stammdaten!C$25,IF(O30&lt;Bewertung_Stammdaten!D$26,Bewertung_Stammdaten!C$26,IF(O30&lt;Bewertung_Stammdaten!D$27,Bewertung_Stammdaten!C$27,IF(O30&lt;Bewertung_Stammdaten!D$28,Bewertung_Stammdaten!C$28,IF(O30&lt;Bewertung_Stammdaten!D$29,Bewertung_Stammdaten!C$29,IF(O30&lt;Bewertung_Stammdaten!D$30,Bewertung_Stammdaten!C$30,IF(O30&lt;Bewertung_Stammdaten!D$31,Bewertung_Stammdaten!C$31,IF(O30&lt;Bewertung_Stammdaten!D$32,Bewertung_Stammdaten!C$32,Bewertung_Stammdaten!C$33)))))))))</f>
        <v>20</v>
      </c>
      <c r="T30" s="58">
        <f>IF(P30&lt;Bewertung_Stammdaten!F$24,Bewertung_Stammdaten!E$24,IF(P30&lt;Bewertung_Stammdaten!F$25,Bewertung_Stammdaten!E$25,IF(P30&lt;Bewertung_Stammdaten!F$26,Bewertung_Stammdaten!E$26,IF(P30&lt;Bewertung_Stammdaten!F$27,Bewertung_Stammdaten!E$27,IF(P30&lt;Bewertung_Stammdaten!F$28,Bewertung_Stammdaten!E$28,IF(P30&lt;Bewertung_Stammdaten!F$29,Bewertung_Stammdaten!E$29,IF(P30&lt;Bewertung_Stammdaten!F$30,Bewertung_Stammdaten!E$30,IF(P30&lt;Bewertung_Stammdaten!F$31,Bewertung_Stammdaten!E$31,IF(P30&lt;Bewertung_Stammdaten!F$32,Bewertung_Stammdaten!E$32,Bewertung_Stammdaten!E$33)))))))))</f>
        <v>13.5</v>
      </c>
      <c r="U30" s="58">
        <f ca="1">IF(R30&lt;Bewertung_Stammdaten!H$24,Bewertung_Stammdaten!G$24,IF(R30&lt;Bewertung_Stammdaten!H$25,Bewertung_Stammdaten!G$25,IF(R30&lt;Bewertung_Stammdaten!H$26,Bewertung_Stammdaten!G$26,IF(R30&lt;Bewertung_Stammdaten!H$27,Bewertung_Stammdaten!G$27,IF(R30&lt;Bewertung_Stammdaten!H$28,Bewertung_Stammdaten!G$28,IF(R30&lt;Bewertung_Stammdaten!H$29,Bewertung_Stammdaten!G$29,IF(R30&lt;Bewertung_Stammdaten!H$30,Bewertung_Stammdaten!G$30,IF(R30&lt;Bewertung_Stammdaten!H$31,Bewertung_Stammdaten!G$31,IF(R30&lt;Bewertung_Stammdaten!H$32,Bewertung_Stammdaten!G$32,Bewertung_Stammdaten!G$33)))))))))</f>
        <v>10</v>
      </c>
      <c r="V30" s="49"/>
      <c r="W30" s="17">
        <f ca="1">VLOOKUP(A30,Ergebnis_je_Aktie_verwässert!A3:S68,18,FALSE)</f>
        <v>11.201388888888889</v>
      </c>
      <c r="X30" s="17">
        <f>VLOOKUP(A30,Ergebnis_je_Aktie_verwässert!A3:S68,15,FALSE)</f>
        <v>9.3629999999999995</v>
      </c>
      <c r="Y30" s="13">
        <f ca="1">VLOOKUP(A30,Ergebnis_je_Aktie_verwässert!A3:S68,19,FALSE)</f>
        <v>0.19634613787129007</v>
      </c>
      <c r="Z30" s="46">
        <f>VLOOKUP(A30,Ergebnis_je_Aktie_verwässert!A3:AC68,29,FALSE)</f>
        <v>-0.55098543273350464</v>
      </c>
      <c r="AA30" s="19">
        <f t="shared" ca="1" si="4"/>
        <v>5.0295867847281741</v>
      </c>
      <c r="AB30" s="13">
        <f t="shared" ca="1" si="5"/>
        <v>-0.46282315660277962</v>
      </c>
      <c r="AC30" s="36">
        <f ca="1">IF(Y30&lt;Bewertung_Stammdaten!L$11,Bewertung_Stammdaten!K$11,IF(Y30&lt;Bewertung_Stammdaten!L$12,Bewertung_Stammdaten!K$12,IF(Y30&lt;Bewertung_Stammdaten!L$13,Bewertung_Stammdaten!K$13,IF(Y30&lt;Bewertung_Stammdaten!L$14,Bewertung_Stammdaten!K$14,IF(Y30&lt;Bewertung_Stammdaten!L$15,Bewertung_Stammdaten!K$15,IF(Y30&lt;Bewertung_Stammdaten!L$16,Bewertung_Stammdaten!K$16,IF(Y30&lt;Bewertung_Stammdaten!L$17,Bewertung_Stammdaten!K$17,IF(Y30&lt;Bewertung_Stammdaten!L$18,Bewertung_Stammdaten!K$18,IF(Y30&lt;Bewertung_Stammdaten!L$19,Bewertung_Stammdaten!K$19,Bewertung_Stammdaten!K$20)))))))))</f>
        <v>6</v>
      </c>
      <c r="AD30" s="36">
        <f>IF(Z30&lt;Bewertung_Stammdaten!R$11,Bewertung_Stammdaten!Q$11,IF(Z30&lt;Bewertung_Stammdaten!R$12,Bewertung_Stammdaten!Q$12,IF(Z30&lt;Bewertung_Stammdaten!R$13,Bewertung_Stammdaten!Q$13,IF(Z30&lt;Bewertung_Stammdaten!R$14,Bewertung_Stammdaten!Q$14,IF(Z30&lt;Bewertung_Stammdaten!R$15,Bewertung_Stammdaten!Q$15,IF(Z30&lt;Bewertung_Stammdaten!R$16,Bewertung_Stammdaten!Q$16,IF(Z30&lt;Bewertung_Stammdaten!R$17,Bewertung_Stammdaten!Q$17,IF(Z30&lt;Bewertung_Stammdaten!R$18,Bewertung_Stammdaten!Q$18,IF(Z30&lt;Bewertung_Stammdaten!R$19,Bewertung_Stammdaten!Q$19,Bewertung_Stammdaten!Q$20)))))))))</f>
        <v>2</v>
      </c>
      <c r="AE30" s="36">
        <f ca="1">IF(AB30&lt;Bewertung_Stammdaten!P$11,Bewertung_Stammdaten!O$11,IF(AB30&lt;Bewertung_Stammdaten!P$12,Bewertung_Stammdaten!O$12,IF(AB30&lt;Bewertung_Stammdaten!P$13,Bewertung_Stammdaten!O$13,IF(AB30&lt;Bewertung_Stammdaten!P$14,Bewertung_Stammdaten!O$14,IF(AB30&lt;Bewertung_Stammdaten!P$15,Bewertung_Stammdaten!O$15,IF(AB30&lt;Bewertung_Stammdaten!P$16,Bewertung_Stammdaten!O$16,IF(AB30&lt;Bewertung_Stammdaten!P$17,Bewertung_Stammdaten!O$17,IF(AB30&lt;Bewertung_Stammdaten!P$18,Bewertung_Stammdaten!O$18,IF(AB30&lt;Bewertung_Stammdaten!P$19,Bewertung_Stammdaten!O$19,Bewertung_Stammdaten!O$20)))))))))</f>
        <v>1</v>
      </c>
      <c r="AF30" s="49"/>
      <c r="AG30" s="13">
        <f ca="1">VLOOKUP(A30,Dividendenrendite!A3:S68,18,FALSE)</f>
        <v>3.3024722222222226E-2</v>
      </c>
      <c r="AH30" s="13">
        <f>VLOOKUP(A30,Dividendenrendite!A3:S68,15,FALSE)</f>
        <v>3.039E-2</v>
      </c>
      <c r="AI30" s="13">
        <f ca="1">VLOOKUP(A30,Dividendenrendite!A3:S68,19,FALSE)</f>
        <v>8.6697012906292281E-2</v>
      </c>
      <c r="AJ30" s="36">
        <f ca="1">IF(AG30&lt;Bewertung_Stammdaten!D$11,Bewertung_Stammdaten!C$11,IF(AG30&lt;Bewertung_Stammdaten!D$12,Bewertung_Stammdaten!C$12,IF(AG30&lt;Bewertung_Stammdaten!D$13,Bewertung_Stammdaten!C$13,IF(AG30&lt;Bewertung_Stammdaten!D$14,Bewertung_Stammdaten!C$14,IF(AG30&lt;Bewertung_Stammdaten!D$15,Bewertung_Stammdaten!C$15,IF(AG30&lt;Bewertung_Stammdaten!D$16,Bewertung_Stammdaten!C$16,IF(AG30&lt;Bewertung_Stammdaten!D$17,Bewertung_Stammdaten!C$17,IF(AG30&lt;Bewertung_Stammdaten!D$18,Bewertung_Stammdaten!C$18,IF(AG30&lt;Bewertung_Stammdaten!D$19,Bewertung_Stammdaten!C$19,Bewertung_Stammdaten!C$20)))))))))</f>
        <v>10.5</v>
      </c>
      <c r="AK30" s="36">
        <f>IF(AH30&lt;Bewertung_Stammdaten!T$11,Bewertung_Stammdaten!S$11,IF(AH30&lt;Bewertung_Stammdaten!T$12,Bewertung_Stammdaten!S$12,IF(AH30&lt;Bewertung_Stammdaten!T$13,Bewertung_Stammdaten!S$13,IF(AH30&lt;Bewertung_Stammdaten!T$14,Bewertung_Stammdaten!S$14,IF(AH30&lt;Bewertung_Stammdaten!T$15,Bewertung_Stammdaten!S$15,IF(AH30&lt;Bewertung_Stammdaten!T$16,Bewertung_Stammdaten!S$16,IF(AH30&lt;Bewertung_Stammdaten!T$17,Bewertung_Stammdaten!S$17,IF(AH30&lt;Bewertung_Stammdaten!T$18,Bewertung_Stammdaten!S$18,IF(AH30&lt;Bewertung_Stammdaten!T$19,Bewertung_Stammdaten!S$19,Bewertung_Stammdaten!S$20)))))))))</f>
        <v>7</v>
      </c>
      <c r="AL30" s="36">
        <f ca="1">IF(AI30&lt;Bewertung_Stammdaten!F$11,Bewertung_Stammdaten!E$11,IF(AI30&lt;Bewertung_Stammdaten!F$12,Bewertung_Stammdaten!E$12,IF(AI30&lt;Bewertung_Stammdaten!F$13,Bewertung_Stammdaten!E$13,IF(AI30&lt;Bewertung_Stammdaten!F$14,Bewertung_Stammdaten!E$14,IF(AI30&lt;Bewertung_Stammdaten!F$15,Bewertung_Stammdaten!E$15,IF(AI30&lt;Bewertung_Stammdaten!F$16,Bewertung_Stammdaten!E$16,IF(AI30&lt;Bewertung_Stammdaten!F$17,Bewertung_Stammdaten!E$17,IF(AI30&lt;Bewertung_Stammdaten!F$18,Bewertung_Stammdaten!E$18,IF(AI30&lt;Bewertung_Stammdaten!F$19,Bewertung_Stammdaten!E$19,Bewertung_Stammdaten!E$20)))))))))</f>
        <v>3.5</v>
      </c>
      <c r="AM30" s="49"/>
      <c r="AN30" s="13">
        <f>VLOOKUP(A30,Aktien_im_Umlauf_splitbereinigt!A3:W68,13,FALSE)</f>
        <v>-1.6949152542372836E-2</v>
      </c>
      <c r="AO30" s="13">
        <f>VLOOKUP(A30,Aktien_im_Umlauf_splitbereinigt!A3:W68,22,FALSE)</f>
        <v>-1.0223428860018849E-2</v>
      </c>
      <c r="AP30" s="13">
        <f>VLOOKUP(A30,Aktien_im_Umlauf_splitbereinigt!A3:W68,23,FALSE)</f>
        <v>0.65787357396856638</v>
      </c>
      <c r="AQ30" s="47">
        <f>IF(AN30&lt;Bewertung_Stammdaten!J$24,Bewertung_Stammdaten!I$24,IF(AN30&lt;Bewertung_Stammdaten!J$25,Bewertung_Stammdaten!I$25,IF(AN30&lt;Bewertung_Stammdaten!J$26,Bewertung_Stammdaten!I$26,IF(AN30&lt;Bewertung_Stammdaten!J$27,Bewertung_Stammdaten!I$27,IF(AN30&lt;Bewertung_Stammdaten!J$28,Bewertung_Stammdaten!I$28,IF(AN30&lt;Bewertung_Stammdaten!J$29,Bewertung_Stammdaten!I$29,IF(AN30&lt;Bewertung_Stammdaten!J$30,Bewertung_Stammdaten!I$30,IF(AN30&lt;Bewertung_Stammdaten!J$31,Bewertung_Stammdaten!I$31,IF(AN30&lt;Bewertung_Stammdaten!J$32,Bewertung_Stammdaten!I$32,Bewertung_Stammdaten!I$33)))))))))</f>
        <v>3</v>
      </c>
      <c r="AR30" s="47">
        <f>IF(AO30&lt;Bewertung_Stammdaten!L$24,Bewertung_Stammdaten!K$24,IF(AO30&lt;Bewertung_Stammdaten!L$25,Bewertung_Stammdaten!K$25,IF(AO30&lt;Bewertung_Stammdaten!L$26,Bewertung_Stammdaten!K$26,IF(AO30&lt;Bewertung_Stammdaten!L$27,Bewertung_Stammdaten!K$27,IF(AO30&lt;Bewertung_Stammdaten!L$28,Bewertung_Stammdaten!K$28,IF(AO30&lt;Bewertung_Stammdaten!L$29,Bewertung_Stammdaten!K$29,IF(AO30&lt;Bewertung_Stammdaten!L$30,Bewertung_Stammdaten!K$30,IF(AO30&lt;Bewertung_Stammdaten!L$31,Bewertung_Stammdaten!K$31,IF(AO30&lt;Bewertung_Stammdaten!L$32,Bewertung_Stammdaten!K$32,Bewertung_Stammdaten!K$33)))))))))</f>
        <v>2.5</v>
      </c>
      <c r="AS30" s="47">
        <f>IF(AP30&lt;Bewertung_Stammdaten!N$24,Bewertung_Stammdaten!M$24,IF(AP30&lt;Bewertung_Stammdaten!N$25,Bewertung_Stammdaten!M$25,IF(AP30&lt;Bewertung_Stammdaten!N$26,Bewertung_Stammdaten!M$26,IF(AP30&lt;Bewertung_Stammdaten!N$27,Bewertung_Stammdaten!M$27,IF(AP30&lt;Bewertung_Stammdaten!N$28,Bewertung_Stammdaten!M$28,IF(AP30&lt;Bewertung_Stammdaten!N$29,Bewertung_Stammdaten!M$29,IF(AP30&lt;Bewertung_Stammdaten!N$30,Bewertung_Stammdaten!M$30,IF(AP30&lt;Bewertung_Stammdaten!N$31,Bewertung_Stammdaten!M$31,IF(AP30&lt;Bewertung_Stammdaten!N$32,Bewertung_Stammdaten!M$32,Bewertung_Stammdaten!M$33)))))))))</f>
        <v>4</v>
      </c>
      <c r="AT30" s="49"/>
      <c r="AU30" s="13">
        <f ca="1">VLOOKUP(A30,Ausschüttungsquote!A3:S68,18,FALSE)</f>
        <v>0.38461590392903772</v>
      </c>
      <c r="AV30" s="13">
        <f>VLOOKUP(A30,Ausschüttungsquote!A3:S68,15,FALSE)</f>
        <v>0.28957029176229082</v>
      </c>
      <c r="AW30" s="13">
        <f ca="1">VLOOKUP(A30,Ausschüttungsquote!A3:S68,19,FALSE)</f>
        <v>0.32822984563889634</v>
      </c>
      <c r="AX30" s="36">
        <f ca="1">IF(AU30&lt;Bewertung_Stammdaten!H$11,Bewertung_Stammdaten!G$11,IF(AU30&lt;Bewertung_Stammdaten!H$12,Bewertung_Stammdaten!G$12,IF(AU30&lt;Bewertung_Stammdaten!H$13,Bewertung_Stammdaten!G$13,IF(AU30&lt;Bewertung_Stammdaten!H$14,Bewertung_Stammdaten!G$14,IF(AU30&lt;Bewertung_Stammdaten!H$15,Bewertung_Stammdaten!G$15,IF(AU30&lt;Bewertung_Stammdaten!H$16,Bewertung_Stammdaten!G$16,IF(AU30&lt;Bewertung_Stammdaten!H$17,Bewertung_Stammdaten!G$17,IF(AU30&lt;Bewertung_Stammdaten!H$18,Bewertung_Stammdaten!G$18,IF(AU30&lt;Bewertung_Stammdaten!H$19,Bewertung_Stammdaten!G$19,Bewertung_Stammdaten!G$20)))))))))</f>
        <v>5</v>
      </c>
      <c r="AY30" s="47">
        <f>IF(AV30&lt;Bewertung_Stammdaten!B$24,Bewertung_Stammdaten!A$24,IF(AV30&lt;Bewertung_Stammdaten!B$25,Bewertung_Stammdaten!A$25,IF(AV30&lt;Bewertung_Stammdaten!B$26,Bewertung_Stammdaten!A$26,IF(AV30&lt;Bewertung_Stammdaten!B$27,Bewertung_Stammdaten!A$27,IF(AV30&lt;Bewertung_Stammdaten!B$28,Bewertung_Stammdaten!A$28,IF(AV30&lt;Bewertung_Stammdaten!B$29,Bewertung_Stammdaten!A$29,IF(AV30&lt;Bewertung_Stammdaten!B$30,Bewertung_Stammdaten!A$30,IF(AV30&lt;Bewertung_Stammdaten!B$31,Bewertung_Stammdaten!A$31,IF(AV30&lt;Bewertung_Stammdaten!B$32,Bewertung_Stammdaten!A$32,Bewertung_Stammdaten!A$33)))))))))</f>
        <v>5</v>
      </c>
      <c r="AZ30" s="36">
        <f ca="1">IF(AW30&lt;Bewertung_Stammdaten!J$11,Bewertung_Stammdaten!I$11,IF(AW30&lt;Bewertung_Stammdaten!J$12,Bewertung_Stammdaten!I$12,IF(AW30&lt;Bewertung_Stammdaten!J$13,Bewertung_Stammdaten!I$13,IF(AW30&lt;Bewertung_Stammdaten!J$14,Bewertung_Stammdaten!I$14,IF(AW30&lt;Bewertung_Stammdaten!J$15,Bewertung_Stammdaten!I$15,IF(AW30&lt;Bewertung_Stammdaten!J$16,Bewertung_Stammdaten!I$16,IF(AW30&lt;Bewertung_Stammdaten!J$17,Bewertung_Stammdaten!I$17,IF(AW30&lt;Bewertung_Stammdaten!J$18,Bewertung_Stammdaten!I$18,IF(AW30&lt;Bewertung_Stammdaten!J$19,Bewertung_Stammdaten!I$19,Bewertung_Stammdaten!I$20)))))))))</f>
        <v>0.5</v>
      </c>
    </row>
    <row r="31" spans="1:52" x14ac:dyDescent="0.25">
      <c r="A31" s="44" t="s">
        <v>58</v>
      </c>
      <c r="B31" s="44" t="s">
        <v>59</v>
      </c>
      <c r="C31" s="36">
        <f t="shared" ca="1" si="0"/>
        <v>103.5</v>
      </c>
      <c r="D31" s="49"/>
      <c r="E31" s="12">
        <f ca="1">VLOOKUP(A31,KGV!A3:S68,18,FALSE)</f>
        <v>19.615000000000002</v>
      </c>
      <c r="F31" s="12">
        <f>VLOOKUP(A31,KGV!A3:S68,15,FALSE)</f>
        <v>19.655000000000001</v>
      </c>
      <c r="G31" s="13">
        <f ca="1">VLOOKUP(A31,KGV!A3:S68,19,FALSE)</f>
        <v>-2.0351055711014254E-3</v>
      </c>
      <c r="H31" s="19">
        <f t="shared" ca="1" si="1"/>
        <v>20.337657894736843</v>
      </c>
      <c r="I31" s="13">
        <f t="shared" ca="1" si="2"/>
        <v>3.473202211838422E-2</v>
      </c>
      <c r="J31" s="36">
        <f ca="1">IF(G31&lt;Bewertung_Stammdaten!B$11,Bewertung_Stammdaten!A$11,IF(G31&lt;Bewertung_Stammdaten!B$12,Bewertung_Stammdaten!A$12,IF(G31&lt;Bewertung_Stammdaten!B$13,Bewertung_Stammdaten!A$13,IF(G31&lt;Bewertung_Stammdaten!B$14,Bewertung_Stammdaten!A$14,IF(G31&lt;Bewertung_Stammdaten!B$15,Bewertung_Stammdaten!A$15,IF(G31&lt;Bewertung_Stammdaten!B$16,Bewertung_Stammdaten!A$16,IF(G31&lt;Bewertung_Stammdaten!B$17,Bewertung_Stammdaten!A$17,IF(G31&lt;Bewertung_Stammdaten!B$18,Bewertung_Stammdaten!A$18,IF(G31&lt;Bewertung_Stammdaten!B$19,Bewertung_Stammdaten!A$19,Bewertung_Stammdaten!A$20)))))))))</f>
        <v>12</v>
      </c>
      <c r="K31" s="36">
        <f ca="1">IF(I31&lt;Bewertung_Stammdaten!N$11,Bewertung_Stammdaten!M$11,IF(I31&lt;Bewertung_Stammdaten!N$12,Bewertung_Stammdaten!M$12,IF(I31&lt;Bewertung_Stammdaten!N$13,Bewertung_Stammdaten!M$13,IF(I31&lt;Bewertung_Stammdaten!N$14,Bewertung_Stammdaten!M$14,IF(I31&lt;Bewertung_Stammdaten!N$15,Bewertung_Stammdaten!M$15,IF(I31&lt;Bewertung_Stammdaten!N$16,Bewertung_Stammdaten!M$16,IF(I31&lt;Bewertung_Stammdaten!N$17,Bewertung_Stammdaten!M$17,IF(I31&lt;Bewertung_Stammdaten!N$18,Bewertung_Stammdaten!M$18,IF(I31&lt;Bewertung_Stammdaten!N$19,Bewertung_Stammdaten!M$19,Bewertung_Stammdaten!M$20)))))))))</f>
        <v>5</v>
      </c>
      <c r="L31" s="49"/>
      <c r="M31" s="12">
        <f ca="1">VLOOKUP(A31,Buchwert_je_Aktie!A3:AC68,18,FALSE)</f>
        <v>7.6845277777777774</v>
      </c>
      <c r="N31" s="12">
        <f>VLOOKUP(A31,Buchwert_je_Aktie!A3:AC68,15,FALSE)</f>
        <v>5.3540000000000001</v>
      </c>
      <c r="O31" s="13">
        <f ca="1">VLOOKUP(A31,Buchwert_je_Aktie!A3:AC68,19,FALSE)</f>
        <v>0.43528722035445977</v>
      </c>
      <c r="P31" s="13">
        <f>VLOOKUP(A31,Buchwert_je_Aktie!A3:AC68,29,FALSE)</f>
        <v>-5.5437100213219792E-2</v>
      </c>
      <c r="Q31" s="19">
        <f t="shared" ca="1" si="6"/>
        <v>7.2585198412698393</v>
      </c>
      <c r="R31" s="13">
        <f t="shared" ca="1" si="3"/>
        <v>0.35571905888491573</v>
      </c>
      <c r="S31" s="58">
        <f ca="1">IF(O31&lt;Bewertung_Stammdaten!D$24,Bewertung_Stammdaten!C$24,IF(O31&lt;Bewertung_Stammdaten!D$25,Bewertung_Stammdaten!C$25,IF(O31&lt;Bewertung_Stammdaten!D$26,Bewertung_Stammdaten!C$26,IF(O31&lt;Bewertung_Stammdaten!D$27,Bewertung_Stammdaten!C$27,IF(O31&lt;Bewertung_Stammdaten!D$28,Bewertung_Stammdaten!C$28,IF(O31&lt;Bewertung_Stammdaten!D$29,Bewertung_Stammdaten!C$29,IF(O31&lt;Bewertung_Stammdaten!D$30,Bewertung_Stammdaten!C$30,IF(O31&lt;Bewertung_Stammdaten!D$31,Bewertung_Stammdaten!C$31,IF(O31&lt;Bewertung_Stammdaten!D$32,Bewertung_Stammdaten!C$32,Bewertung_Stammdaten!C$33)))))))))</f>
        <v>12</v>
      </c>
      <c r="T31" s="58">
        <f>IF(P31&lt;Bewertung_Stammdaten!F$24,Bewertung_Stammdaten!E$24,IF(P31&lt;Bewertung_Stammdaten!F$25,Bewertung_Stammdaten!E$25,IF(P31&lt;Bewertung_Stammdaten!F$26,Bewertung_Stammdaten!E$26,IF(P31&lt;Bewertung_Stammdaten!F$27,Bewertung_Stammdaten!E$27,IF(P31&lt;Bewertung_Stammdaten!F$28,Bewertung_Stammdaten!E$28,IF(P31&lt;Bewertung_Stammdaten!F$29,Bewertung_Stammdaten!E$29,IF(P31&lt;Bewertung_Stammdaten!F$30,Bewertung_Stammdaten!E$30,IF(P31&lt;Bewertung_Stammdaten!F$31,Bewertung_Stammdaten!E$31,IF(P31&lt;Bewertung_Stammdaten!F$32,Bewertung_Stammdaten!E$32,Bewertung_Stammdaten!E$33)))))))))</f>
        <v>9</v>
      </c>
      <c r="U31" s="58">
        <f ca="1">IF(R31&lt;Bewertung_Stammdaten!H$24,Bewertung_Stammdaten!G$24,IF(R31&lt;Bewertung_Stammdaten!H$25,Bewertung_Stammdaten!G$25,IF(R31&lt;Bewertung_Stammdaten!H$26,Bewertung_Stammdaten!G$26,IF(R31&lt;Bewertung_Stammdaten!H$27,Bewertung_Stammdaten!G$27,IF(R31&lt;Bewertung_Stammdaten!H$28,Bewertung_Stammdaten!G$28,IF(R31&lt;Bewertung_Stammdaten!H$29,Bewertung_Stammdaten!G$29,IF(R31&lt;Bewertung_Stammdaten!H$30,Bewertung_Stammdaten!G$30,IF(R31&lt;Bewertung_Stammdaten!H$31,Bewertung_Stammdaten!G$31,IF(R31&lt;Bewertung_Stammdaten!H$32,Bewertung_Stammdaten!G$32,Bewertung_Stammdaten!G$33)))))))))</f>
        <v>5</v>
      </c>
      <c r="V31" s="49"/>
      <c r="W31" s="17">
        <f ca="1">VLOOKUP(A31,Ergebnis_je_Aktie_verwässert!A3:S68,18,FALSE)</f>
        <v>2.1645277777777778</v>
      </c>
      <c r="X31" s="17">
        <f>VLOOKUP(A31,Ergebnis_je_Aktie_verwässert!A3:S68,15,FALSE)</f>
        <v>1.4490000000000001</v>
      </c>
      <c r="Y31" s="13">
        <f ca="1">VLOOKUP(A31,Ergebnis_je_Aktie_verwässert!A3:S68,19,FALSE)</f>
        <v>0.49380799018480181</v>
      </c>
      <c r="Z31" s="46">
        <f>VLOOKUP(A31,Ergebnis_je_Aktie_verwässert!A3:AC68,29,FALSE)</f>
        <v>-3.5532994923857864E-2</v>
      </c>
      <c r="AA31" s="19">
        <f t="shared" ca="1" si="4"/>
        <v>2.0876156232374505</v>
      </c>
      <c r="AB31" s="13">
        <f t="shared" ca="1" si="5"/>
        <v>0.44072851845234684</v>
      </c>
      <c r="AC31" s="36">
        <f ca="1">IF(Y31&lt;Bewertung_Stammdaten!L$11,Bewertung_Stammdaten!K$11,IF(Y31&lt;Bewertung_Stammdaten!L$12,Bewertung_Stammdaten!K$12,IF(Y31&lt;Bewertung_Stammdaten!L$13,Bewertung_Stammdaten!K$13,IF(Y31&lt;Bewertung_Stammdaten!L$14,Bewertung_Stammdaten!K$14,IF(Y31&lt;Bewertung_Stammdaten!L$15,Bewertung_Stammdaten!K$15,IF(Y31&lt;Bewertung_Stammdaten!L$16,Bewertung_Stammdaten!K$16,IF(Y31&lt;Bewertung_Stammdaten!L$17,Bewertung_Stammdaten!K$17,IF(Y31&lt;Bewertung_Stammdaten!L$18,Bewertung_Stammdaten!K$18,IF(Y31&lt;Bewertung_Stammdaten!L$19,Bewertung_Stammdaten!K$19,Bewertung_Stammdaten!K$20)))))))))</f>
        <v>12</v>
      </c>
      <c r="AD31" s="36">
        <f>IF(Z31&lt;Bewertung_Stammdaten!R$11,Bewertung_Stammdaten!Q$11,IF(Z31&lt;Bewertung_Stammdaten!R$12,Bewertung_Stammdaten!Q$12,IF(Z31&lt;Bewertung_Stammdaten!R$13,Bewertung_Stammdaten!Q$13,IF(Z31&lt;Bewertung_Stammdaten!R$14,Bewertung_Stammdaten!Q$14,IF(Z31&lt;Bewertung_Stammdaten!R$15,Bewertung_Stammdaten!Q$15,IF(Z31&lt;Bewertung_Stammdaten!R$16,Bewertung_Stammdaten!Q$16,IF(Z31&lt;Bewertung_Stammdaten!R$17,Bewertung_Stammdaten!Q$17,IF(Z31&lt;Bewertung_Stammdaten!R$18,Bewertung_Stammdaten!Q$18,IF(Z31&lt;Bewertung_Stammdaten!R$19,Bewertung_Stammdaten!Q$19,Bewertung_Stammdaten!Q$20)))))))))</f>
        <v>7</v>
      </c>
      <c r="AE31" s="36">
        <f ca="1">IF(AB31&lt;Bewertung_Stammdaten!P$11,Bewertung_Stammdaten!O$11,IF(AB31&lt;Bewertung_Stammdaten!P$12,Bewertung_Stammdaten!O$12,IF(AB31&lt;Bewertung_Stammdaten!P$13,Bewertung_Stammdaten!O$13,IF(AB31&lt;Bewertung_Stammdaten!P$14,Bewertung_Stammdaten!O$14,IF(AB31&lt;Bewertung_Stammdaten!P$15,Bewertung_Stammdaten!O$15,IF(AB31&lt;Bewertung_Stammdaten!P$16,Bewertung_Stammdaten!O$16,IF(AB31&lt;Bewertung_Stammdaten!P$17,Bewertung_Stammdaten!O$17,IF(AB31&lt;Bewertung_Stammdaten!P$18,Bewertung_Stammdaten!O$18,IF(AB31&lt;Bewertung_Stammdaten!P$19,Bewertung_Stammdaten!O$19,Bewertung_Stammdaten!O$20)))))))))</f>
        <v>6</v>
      </c>
      <c r="AF31" s="49"/>
      <c r="AG31" s="13">
        <f ca="1">VLOOKUP(A31,Dividendenrendite!A3:S68,18,FALSE)</f>
        <v>2.9624722222222219E-2</v>
      </c>
      <c r="AH31" s="13">
        <f>VLOOKUP(A31,Dividendenrendite!A3:S68,15,FALSE)</f>
        <v>2.7100000000000003E-2</v>
      </c>
      <c r="AI31" s="13">
        <f ca="1">VLOOKUP(A31,Dividendenrendite!A3:S68,19,FALSE)</f>
        <v>9.3163181631816139E-2</v>
      </c>
      <c r="AJ31" s="36">
        <f ca="1">IF(AG31&lt;Bewertung_Stammdaten!D$11,Bewertung_Stammdaten!C$11,IF(AG31&lt;Bewertung_Stammdaten!D$12,Bewertung_Stammdaten!C$12,IF(AG31&lt;Bewertung_Stammdaten!D$13,Bewertung_Stammdaten!C$13,IF(AG31&lt;Bewertung_Stammdaten!D$14,Bewertung_Stammdaten!C$14,IF(AG31&lt;Bewertung_Stammdaten!D$15,Bewertung_Stammdaten!C$15,IF(AG31&lt;Bewertung_Stammdaten!D$16,Bewertung_Stammdaten!C$16,IF(AG31&lt;Bewertung_Stammdaten!D$17,Bewertung_Stammdaten!C$17,IF(AG31&lt;Bewertung_Stammdaten!D$18,Bewertung_Stammdaten!C$18,IF(AG31&lt;Bewertung_Stammdaten!D$19,Bewertung_Stammdaten!C$19,Bewertung_Stammdaten!C$20)))))))))</f>
        <v>9</v>
      </c>
      <c r="AK31" s="36">
        <f>IF(AH31&lt;Bewertung_Stammdaten!T$11,Bewertung_Stammdaten!S$11,IF(AH31&lt;Bewertung_Stammdaten!T$12,Bewertung_Stammdaten!S$12,IF(AH31&lt;Bewertung_Stammdaten!T$13,Bewertung_Stammdaten!S$13,IF(AH31&lt;Bewertung_Stammdaten!T$14,Bewertung_Stammdaten!S$14,IF(AH31&lt;Bewertung_Stammdaten!T$15,Bewertung_Stammdaten!S$15,IF(AH31&lt;Bewertung_Stammdaten!T$16,Bewertung_Stammdaten!S$16,IF(AH31&lt;Bewertung_Stammdaten!T$17,Bewertung_Stammdaten!S$17,IF(AH31&lt;Bewertung_Stammdaten!T$18,Bewertung_Stammdaten!S$18,IF(AH31&lt;Bewertung_Stammdaten!T$19,Bewertung_Stammdaten!S$19,Bewertung_Stammdaten!S$20)))))))))</f>
        <v>6</v>
      </c>
      <c r="AL31" s="36">
        <f ca="1">IF(AI31&lt;Bewertung_Stammdaten!F$11,Bewertung_Stammdaten!E$11,IF(AI31&lt;Bewertung_Stammdaten!F$12,Bewertung_Stammdaten!E$12,IF(AI31&lt;Bewertung_Stammdaten!F$13,Bewertung_Stammdaten!E$13,IF(AI31&lt;Bewertung_Stammdaten!F$14,Bewertung_Stammdaten!E$14,IF(AI31&lt;Bewertung_Stammdaten!F$15,Bewertung_Stammdaten!E$15,IF(AI31&lt;Bewertung_Stammdaten!F$16,Bewertung_Stammdaten!E$16,IF(AI31&lt;Bewertung_Stammdaten!F$17,Bewertung_Stammdaten!E$17,IF(AI31&lt;Bewertung_Stammdaten!F$18,Bewertung_Stammdaten!E$18,IF(AI31&lt;Bewertung_Stammdaten!F$19,Bewertung_Stammdaten!E$19,Bewertung_Stammdaten!E$20)))))))))</f>
        <v>3.5</v>
      </c>
      <c r="AM31" s="49"/>
      <c r="AN31" s="13">
        <f>VLOOKUP(A31,Aktien_im_Umlauf_splitbereinigt!A3:W68,13,FALSE)</f>
        <v>-1.4992168270306583E-2</v>
      </c>
      <c r="AO31" s="13">
        <f>VLOOKUP(A31,Aktien_im_Umlauf_splitbereinigt!A3:W68,22,FALSE)</f>
        <v>-9.9814292382004819E-3</v>
      </c>
      <c r="AP31" s="13">
        <f>VLOOKUP(A31,Aktien_im_Umlauf_splitbereinigt!A3:W68,23,FALSE)</f>
        <v>0.50200616690535904</v>
      </c>
      <c r="AQ31" s="47">
        <f>IF(AN31&lt;Bewertung_Stammdaten!J$24,Bewertung_Stammdaten!I$24,IF(AN31&lt;Bewertung_Stammdaten!J$25,Bewertung_Stammdaten!I$25,IF(AN31&lt;Bewertung_Stammdaten!J$26,Bewertung_Stammdaten!I$26,IF(AN31&lt;Bewertung_Stammdaten!J$27,Bewertung_Stammdaten!I$27,IF(AN31&lt;Bewertung_Stammdaten!J$28,Bewertung_Stammdaten!I$28,IF(AN31&lt;Bewertung_Stammdaten!J$29,Bewertung_Stammdaten!I$29,IF(AN31&lt;Bewertung_Stammdaten!J$30,Bewertung_Stammdaten!I$30,IF(AN31&lt;Bewertung_Stammdaten!J$31,Bewertung_Stammdaten!I$31,IF(AN31&lt;Bewertung_Stammdaten!J$32,Bewertung_Stammdaten!I$32,Bewertung_Stammdaten!I$33)))))))))</f>
        <v>2.5</v>
      </c>
      <c r="AR31" s="47">
        <f>IF(AO31&lt;Bewertung_Stammdaten!L$24,Bewertung_Stammdaten!K$24,IF(AO31&lt;Bewertung_Stammdaten!L$25,Bewertung_Stammdaten!K$25,IF(AO31&lt;Bewertung_Stammdaten!L$26,Bewertung_Stammdaten!K$26,IF(AO31&lt;Bewertung_Stammdaten!L$27,Bewertung_Stammdaten!K$27,IF(AO31&lt;Bewertung_Stammdaten!L$28,Bewertung_Stammdaten!K$28,IF(AO31&lt;Bewertung_Stammdaten!L$29,Bewertung_Stammdaten!K$29,IF(AO31&lt;Bewertung_Stammdaten!L$30,Bewertung_Stammdaten!K$30,IF(AO31&lt;Bewertung_Stammdaten!L$31,Bewertung_Stammdaten!K$31,IF(AO31&lt;Bewertung_Stammdaten!L$32,Bewertung_Stammdaten!K$32,Bewertung_Stammdaten!K$33)))))))))</f>
        <v>2</v>
      </c>
      <c r="AS31" s="47">
        <f>IF(AP31&lt;Bewertung_Stammdaten!N$24,Bewertung_Stammdaten!M$24,IF(AP31&lt;Bewertung_Stammdaten!N$25,Bewertung_Stammdaten!M$25,IF(AP31&lt;Bewertung_Stammdaten!N$26,Bewertung_Stammdaten!M$26,IF(AP31&lt;Bewertung_Stammdaten!N$27,Bewertung_Stammdaten!M$27,IF(AP31&lt;Bewertung_Stammdaten!N$28,Bewertung_Stammdaten!M$28,IF(AP31&lt;Bewertung_Stammdaten!N$29,Bewertung_Stammdaten!M$29,IF(AP31&lt;Bewertung_Stammdaten!N$30,Bewertung_Stammdaten!M$30,IF(AP31&lt;Bewertung_Stammdaten!N$31,Bewertung_Stammdaten!M$31,IF(AP31&lt;Bewertung_Stammdaten!N$32,Bewertung_Stammdaten!M$32,Bewertung_Stammdaten!M$33)))))))))</f>
        <v>4</v>
      </c>
      <c r="AT31" s="49"/>
      <c r="AU31" s="13">
        <f ca="1">VLOOKUP(A31,Ausschüttungsquote!A3:S68,18,FALSE)</f>
        <v>0.58084010840108402</v>
      </c>
      <c r="AV31" s="13">
        <f>VLOOKUP(A31,Ausschüttungsquote!A3:S68,15,FALSE)</f>
        <v>0.54615173658229232</v>
      </c>
      <c r="AW31" s="13">
        <f ca="1">VLOOKUP(A31,Ausschüttungsquote!A3:S68,19,FALSE)</f>
        <v>6.3514165561139757E-2</v>
      </c>
      <c r="AX31" s="36">
        <f ca="1">IF(AU31&lt;Bewertung_Stammdaten!H$11,Bewertung_Stammdaten!G$11,IF(AU31&lt;Bewertung_Stammdaten!H$12,Bewertung_Stammdaten!G$12,IF(AU31&lt;Bewertung_Stammdaten!H$13,Bewertung_Stammdaten!G$13,IF(AU31&lt;Bewertung_Stammdaten!H$14,Bewertung_Stammdaten!G$14,IF(AU31&lt;Bewertung_Stammdaten!H$15,Bewertung_Stammdaten!G$15,IF(AU31&lt;Bewertung_Stammdaten!H$16,Bewertung_Stammdaten!G$16,IF(AU31&lt;Bewertung_Stammdaten!H$17,Bewertung_Stammdaten!G$17,IF(AU31&lt;Bewertung_Stammdaten!H$18,Bewertung_Stammdaten!G$18,IF(AU31&lt;Bewertung_Stammdaten!H$19,Bewertung_Stammdaten!G$19,Bewertung_Stammdaten!G$20)))))))))</f>
        <v>3</v>
      </c>
      <c r="AY31" s="47">
        <f>IF(AV31&lt;Bewertung_Stammdaten!B$24,Bewertung_Stammdaten!A$24,IF(AV31&lt;Bewertung_Stammdaten!B$25,Bewertung_Stammdaten!A$25,IF(AV31&lt;Bewertung_Stammdaten!B$26,Bewertung_Stammdaten!A$26,IF(AV31&lt;Bewertung_Stammdaten!B$27,Bewertung_Stammdaten!A$27,IF(AV31&lt;Bewertung_Stammdaten!B$28,Bewertung_Stammdaten!A$28,IF(AV31&lt;Bewertung_Stammdaten!B$29,Bewertung_Stammdaten!A$29,IF(AV31&lt;Bewertung_Stammdaten!B$30,Bewertung_Stammdaten!A$30,IF(AV31&lt;Bewertung_Stammdaten!B$31,Bewertung_Stammdaten!A$31,IF(AV31&lt;Bewertung_Stammdaten!B$32,Bewertung_Stammdaten!A$32,Bewertung_Stammdaten!A$33)))))))))</f>
        <v>3.5</v>
      </c>
      <c r="AZ31" s="36">
        <f ca="1">IF(AW31&lt;Bewertung_Stammdaten!J$11,Bewertung_Stammdaten!I$11,IF(AW31&lt;Bewertung_Stammdaten!J$12,Bewertung_Stammdaten!I$12,IF(AW31&lt;Bewertung_Stammdaten!J$13,Bewertung_Stammdaten!I$13,IF(AW31&lt;Bewertung_Stammdaten!J$14,Bewertung_Stammdaten!I$14,IF(AW31&lt;Bewertung_Stammdaten!J$15,Bewertung_Stammdaten!I$15,IF(AW31&lt;Bewertung_Stammdaten!J$16,Bewertung_Stammdaten!I$16,IF(AW31&lt;Bewertung_Stammdaten!J$17,Bewertung_Stammdaten!I$17,IF(AW31&lt;Bewertung_Stammdaten!J$18,Bewertung_Stammdaten!I$18,IF(AW31&lt;Bewertung_Stammdaten!J$19,Bewertung_Stammdaten!I$19,Bewertung_Stammdaten!I$20)))))))))</f>
        <v>2</v>
      </c>
    </row>
    <row r="32" spans="1:52" x14ac:dyDescent="0.25">
      <c r="A32" s="44" t="s">
        <v>60</v>
      </c>
      <c r="B32" s="44" t="s">
        <v>61</v>
      </c>
      <c r="C32" s="36">
        <f t="shared" ca="1" si="0"/>
        <v>81.5</v>
      </c>
      <c r="D32" s="49"/>
      <c r="E32" s="12">
        <f ca="1">VLOOKUP(A32,KGV!A3:S68,18,FALSE)</f>
        <v>23.028611111111111</v>
      </c>
      <c r="F32" s="12">
        <f>VLOOKUP(A32,KGV!A3:S68,15,FALSE)</f>
        <v>20.450000000000003</v>
      </c>
      <c r="G32" s="13">
        <f ca="1">VLOOKUP(A32,KGV!A3:S68,19,FALSE)</f>
        <v>0.12609345286606888</v>
      </c>
      <c r="H32" s="19">
        <f t="shared" ca="1" si="1"/>
        <v>24.963788515406165</v>
      </c>
      <c r="I32" s="13">
        <f t="shared" ca="1" si="2"/>
        <v>0.22072315478758742</v>
      </c>
      <c r="J32" s="36">
        <f ca="1">IF(G32&lt;Bewertung_Stammdaten!B$11,Bewertung_Stammdaten!A$11,IF(G32&lt;Bewertung_Stammdaten!B$12,Bewertung_Stammdaten!A$12,IF(G32&lt;Bewertung_Stammdaten!B$13,Bewertung_Stammdaten!A$13,IF(G32&lt;Bewertung_Stammdaten!B$14,Bewertung_Stammdaten!A$14,IF(G32&lt;Bewertung_Stammdaten!B$15,Bewertung_Stammdaten!A$15,IF(G32&lt;Bewertung_Stammdaten!B$16,Bewertung_Stammdaten!A$16,IF(G32&lt;Bewertung_Stammdaten!B$17,Bewertung_Stammdaten!A$17,IF(G32&lt;Bewertung_Stammdaten!B$18,Bewertung_Stammdaten!A$18,IF(G32&lt;Bewertung_Stammdaten!B$19,Bewertung_Stammdaten!A$19,Bewertung_Stammdaten!A$20)))))))))</f>
        <v>6</v>
      </c>
      <c r="K32" s="36">
        <f ca="1">IF(I32&lt;Bewertung_Stammdaten!N$11,Bewertung_Stammdaten!M$11,IF(I32&lt;Bewertung_Stammdaten!N$12,Bewertung_Stammdaten!M$12,IF(I32&lt;Bewertung_Stammdaten!N$13,Bewertung_Stammdaten!M$13,IF(I32&lt;Bewertung_Stammdaten!N$14,Bewertung_Stammdaten!M$14,IF(I32&lt;Bewertung_Stammdaten!N$15,Bewertung_Stammdaten!M$15,IF(I32&lt;Bewertung_Stammdaten!N$16,Bewertung_Stammdaten!M$16,IF(I32&lt;Bewertung_Stammdaten!N$17,Bewertung_Stammdaten!M$17,IF(I32&lt;Bewertung_Stammdaten!N$18,Bewertung_Stammdaten!M$18,IF(I32&lt;Bewertung_Stammdaten!N$19,Bewertung_Stammdaten!M$19,Bewertung_Stammdaten!M$20)))))))))</f>
        <v>1</v>
      </c>
      <c r="L32" s="49"/>
      <c r="M32" s="12">
        <f ca="1">VLOOKUP(A32,Buchwert_je_Aktie!A3:AC68,18,FALSE)</f>
        <v>2.2964444444444441</v>
      </c>
      <c r="N32" s="12">
        <f>VLOOKUP(A32,Buchwert_je_Aktie!A3:AC68,15,FALSE)</f>
        <v>2.2159999999999997</v>
      </c>
      <c r="O32" s="13">
        <f ca="1">VLOOKUP(A32,Buchwert_je_Aktie!A3:AC68,19,FALSE)</f>
        <v>3.6301644604893601E-2</v>
      </c>
      <c r="P32" s="13">
        <f>VLOOKUP(A32,Buchwert_je_Aktie!A3:AC68,29,FALSE)</f>
        <v>-0.14666666666666672</v>
      </c>
      <c r="Q32" s="19">
        <f t="shared" ca="1" si="6"/>
        <v>1.9596325925925921</v>
      </c>
      <c r="R32" s="13">
        <f t="shared" ca="1" si="3"/>
        <v>-0.11568926327049078</v>
      </c>
      <c r="S32" s="58">
        <f ca="1">IF(O32&lt;Bewertung_Stammdaten!D$24,Bewertung_Stammdaten!C$24,IF(O32&lt;Bewertung_Stammdaten!D$25,Bewertung_Stammdaten!C$25,IF(O32&lt;Bewertung_Stammdaten!D$26,Bewertung_Stammdaten!C$26,IF(O32&lt;Bewertung_Stammdaten!D$27,Bewertung_Stammdaten!C$27,IF(O32&lt;Bewertung_Stammdaten!D$28,Bewertung_Stammdaten!C$28,IF(O32&lt;Bewertung_Stammdaten!D$29,Bewertung_Stammdaten!C$29,IF(O32&lt;Bewertung_Stammdaten!D$30,Bewertung_Stammdaten!C$30,IF(O32&lt;Bewertung_Stammdaten!D$31,Bewertung_Stammdaten!C$31,IF(O32&lt;Bewertung_Stammdaten!D$32,Bewertung_Stammdaten!C$32,Bewertung_Stammdaten!C$33)))))))))</f>
        <v>4</v>
      </c>
      <c r="T32" s="58">
        <f>IF(P32&lt;Bewertung_Stammdaten!F$24,Bewertung_Stammdaten!E$24,IF(P32&lt;Bewertung_Stammdaten!F$25,Bewertung_Stammdaten!E$25,IF(P32&lt;Bewertung_Stammdaten!F$26,Bewertung_Stammdaten!E$26,IF(P32&lt;Bewertung_Stammdaten!F$27,Bewertung_Stammdaten!E$27,IF(P32&lt;Bewertung_Stammdaten!F$28,Bewertung_Stammdaten!E$28,IF(P32&lt;Bewertung_Stammdaten!F$29,Bewertung_Stammdaten!E$29,IF(P32&lt;Bewertung_Stammdaten!F$30,Bewertung_Stammdaten!E$30,IF(P32&lt;Bewertung_Stammdaten!F$31,Bewertung_Stammdaten!E$31,IF(P32&lt;Bewertung_Stammdaten!F$32,Bewertung_Stammdaten!E$32,Bewertung_Stammdaten!E$33)))))))))</f>
        <v>7.5</v>
      </c>
      <c r="U32" s="58">
        <f ca="1">IF(R32&lt;Bewertung_Stammdaten!H$24,Bewertung_Stammdaten!G$24,IF(R32&lt;Bewertung_Stammdaten!H$25,Bewertung_Stammdaten!G$25,IF(R32&lt;Bewertung_Stammdaten!H$26,Bewertung_Stammdaten!G$26,IF(R32&lt;Bewertung_Stammdaten!H$27,Bewertung_Stammdaten!G$27,IF(R32&lt;Bewertung_Stammdaten!H$28,Bewertung_Stammdaten!G$28,IF(R32&lt;Bewertung_Stammdaten!H$29,Bewertung_Stammdaten!G$29,IF(R32&lt;Bewertung_Stammdaten!H$30,Bewertung_Stammdaten!G$30,IF(R32&lt;Bewertung_Stammdaten!H$31,Bewertung_Stammdaten!G$31,IF(R32&lt;Bewertung_Stammdaten!H$32,Bewertung_Stammdaten!G$32,Bewertung_Stammdaten!G$33)))))))))</f>
        <v>1</v>
      </c>
      <c r="V32" s="49"/>
      <c r="W32" s="17">
        <f ca="1">VLOOKUP(A32,Ergebnis_je_Aktie_verwässert!A3:S68,18,FALSE)</f>
        <v>3.0113888888888889</v>
      </c>
      <c r="X32" s="17">
        <f>VLOOKUP(A32,Ergebnis_je_Aktie_verwässert!A3:S68,15,FALSE)</f>
        <v>1.8820000000000001</v>
      </c>
      <c r="Y32" s="13">
        <f ca="1">VLOOKUP(A32,Ergebnis_je_Aktie_verwässert!A3:S68,19,FALSE)</f>
        <v>0.60010036604085482</v>
      </c>
      <c r="Z32" s="46">
        <f>VLOOKUP(A32,Ergebnis_je_Aktie_verwässert!A3:AC68,29,FALSE)</f>
        <v>-7.7519379844961267E-2</v>
      </c>
      <c r="AA32" s="19">
        <f t="shared" ca="1" si="4"/>
        <v>2.7779478897502154</v>
      </c>
      <c r="AB32" s="13">
        <f t="shared" ca="1" si="5"/>
        <v>0.47606157797567228</v>
      </c>
      <c r="AC32" s="36">
        <f ca="1">IF(Y32&lt;Bewertung_Stammdaten!L$11,Bewertung_Stammdaten!K$11,IF(Y32&lt;Bewertung_Stammdaten!L$12,Bewertung_Stammdaten!K$12,IF(Y32&lt;Bewertung_Stammdaten!L$13,Bewertung_Stammdaten!K$13,IF(Y32&lt;Bewertung_Stammdaten!L$14,Bewertung_Stammdaten!K$14,IF(Y32&lt;Bewertung_Stammdaten!L$15,Bewertung_Stammdaten!K$15,IF(Y32&lt;Bewertung_Stammdaten!L$16,Bewertung_Stammdaten!K$16,IF(Y32&lt;Bewertung_Stammdaten!L$17,Bewertung_Stammdaten!K$17,IF(Y32&lt;Bewertung_Stammdaten!L$18,Bewertung_Stammdaten!K$18,IF(Y32&lt;Bewertung_Stammdaten!L$19,Bewertung_Stammdaten!K$19,Bewertung_Stammdaten!K$20)))))))))</f>
        <v>16</v>
      </c>
      <c r="AD32" s="36">
        <f>IF(Z32&lt;Bewertung_Stammdaten!R$11,Bewertung_Stammdaten!Q$11,IF(Z32&lt;Bewertung_Stammdaten!R$12,Bewertung_Stammdaten!Q$12,IF(Z32&lt;Bewertung_Stammdaten!R$13,Bewertung_Stammdaten!Q$13,IF(Z32&lt;Bewertung_Stammdaten!R$14,Bewertung_Stammdaten!Q$14,IF(Z32&lt;Bewertung_Stammdaten!R$15,Bewertung_Stammdaten!Q$15,IF(Z32&lt;Bewertung_Stammdaten!R$16,Bewertung_Stammdaten!Q$16,IF(Z32&lt;Bewertung_Stammdaten!R$17,Bewertung_Stammdaten!Q$17,IF(Z32&lt;Bewertung_Stammdaten!R$18,Bewertung_Stammdaten!Q$18,IF(Z32&lt;Bewertung_Stammdaten!R$19,Bewertung_Stammdaten!Q$19,Bewertung_Stammdaten!Q$20)))))))))</f>
        <v>7</v>
      </c>
      <c r="AE32" s="36">
        <f ca="1">IF(AB32&lt;Bewertung_Stammdaten!P$11,Bewertung_Stammdaten!O$11,IF(AB32&lt;Bewertung_Stammdaten!P$12,Bewertung_Stammdaten!O$12,IF(AB32&lt;Bewertung_Stammdaten!P$13,Bewertung_Stammdaten!O$13,IF(AB32&lt;Bewertung_Stammdaten!P$14,Bewertung_Stammdaten!O$14,IF(AB32&lt;Bewertung_Stammdaten!P$15,Bewertung_Stammdaten!O$15,IF(AB32&lt;Bewertung_Stammdaten!P$16,Bewertung_Stammdaten!O$16,IF(AB32&lt;Bewertung_Stammdaten!P$17,Bewertung_Stammdaten!O$17,IF(AB32&lt;Bewertung_Stammdaten!P$18,Bewertung_Stammdaten!O$18,IF(AB32&lt;Bewertung_Stammdaten!P$19,Bewertung_Stammdaten!O$19,Bewertung_Stammdaten!O$20)))))))))</f>
        <v>6</v>
      </c>
      <c r="AF32" s="49"/>
      <c r="AG32" s="13">
        <f ca="1">VLOOKUP(A32,Dividendenrendite!A3:S68,18,FALSE)</f>
        <v>2.2224722222222222E-2</v>
      </c>
      <c r="AH32" s="13">
        <f>VLOOKUP(A32,Dividendenrendite!A3:S68,15,FALSE)</f>
        <v>2.1350000000000001E-2</v>
      </c>
      <c r="AI32" s="13">
        <f ca="1">VLOOKUP(A32,Dividendenrendite!A3:S68,19,FALSE)</f>
        <v>4.0970595888628614E-2</v>
      </c>
      <c r="AJ32" s="36">
        <f ca="1">IF(AG32&lt;Bewertung_Stammdaten!D$11,Bewertung_Stammdaten!C$11,IF(AG32&lt;Bewertung_Stammdaten!D$12,Bewertung_Stammdaten!C$12,IF(AG32&lt;Bewertung_Stammdaten!D$13,Bewertung_Stammdaten!C$13,IF(AG32&lt;Bewertung_Stammdaten!D$14,Bewertung_Stammdaten!C$14,IF(AG32&lt;Bewertung_Stammdaten!D$15,Bewertung_Stammdaten!C$15,IF(AG32&lt;Bewertung_Stammdaten!D$16,Bewertung_Stammdaten!C$16,IF(AG32&lt;Bewertung_Stammdaten!D$17,Bewertung_Stammdaten!C$17,IF(AG32&lt;Bewertung_Stammdaten!D$18,Bewertung_Stammdaten!C$18,IF(AG32&lt;Bewertung_Stammdaten!D$19,Bewertung_Stammdaten!C$19,Bewertung_Stammdaten!C$20)))))))))</f>
        <v>7.5</v>
      </c>
      <c r="AK32" s="36">
        <f>IF(AH32&lt;Bewertung_Stammdaten!T$11,Bewertung_Stammdaten!S$11,IF(AH32&lt;Bewertung_Stammdaten!T$12,Bewertung_Stammdaten!S$12,IF(AH32&lt;Bewertung_Stammdaten!T$13,Bewertung_Stammdaten!S$13,IF(AH32&lt;Bewertung_Stammdaten!T$14,Bewertung_Stammdaten!S$14,IF(AH32&lt;Bewertung_Stammdaten!T$15,Bewertung_Stammdaten!S$15,IF(AH32&lt;Bewertung_Stammdaten!T$16,Bewertung_Stammdaten!S$16,IF(AH32&lt;Bewertung_Stammdaten!T$17,Bewertung_Stammdaten!S$17,IF(AH32&lt;Bewertung_Stammdaten!T$18,Bewertung_Stammdaten!S$18,IF(AH32&lt;Bewertung_Stammdaten!T$19,Bewertung_Stammdaten!S$19,Bewertung_Stammdaten!S$20)))))))))</f>
        <v>5</v>
      </c>
      <c r="AL32" s="36">
        <f ca="1">IF(AI32&lt;Bewertung_Stammdaten!F$11,Bewertung_Stammdaten!E$11,IF(AI32&lt;Bewertung_Stammdaten!F$12,Bewertung_Stammdaten!E$12,IF(AI32&lt;Bewertung_Stammdaten!F$13,Bewertung_Stammdaten!E$13,IF(AI32&lt;Bewertung_Stammdaten!F$14,Bewertung_Stammdaten!E$14,IF(AI32&lt;Bewertung_Stammdaten!F$15,Bewertung_Stammdaten!E$15,IF(AI32&lt;Bewertung_Stammdaten!F$16,Bewertung_Stammdaten!E$16,IF(AI32&lt;Bewertung_Stammdaten!F$17,Bewertung_Stammdaten!E$17,IF(AI32&lt;Bewertung_Stammdaten!F$18,Bewertung_Stammdaten!E$18,IF(AI32&lt;Bewertung_Stammdaten!F$19,Bewertung_Stammdaten!E$19,Bewertung_Stammdaten!E$20)))))))))</f>
        <v>3</v>
      </c>
      <c r="AM32" s="49"/>
      <c r="AN32" s="13">
        <f>VLOOKUP(A32,Aktien_im_Umlauf_splitbereinigt!A3:W68,13,FALSE)</f>
        <v>-1.7586247447588632E-2</v>
      </c>
      <c r="AO32" s="13">
        <f>VLOOKUP(A32,Aktien_im_Umlauf_splitbereinigt!A3:W68,22,FALSE)</f>
        <v>-1.4977832169447888E-2</v>
      </c>
      <c r="AP32" s="13">
        <f>VLOOKUP(A32,Aktien_im_Umlauf_splitbereinigt!A3:W68,23,FALSE)</f>
        <v>0.17415172293500847</v>
      </c>
      <c r="AQ32" s="47">
        <f>IF(AN32&lt;Bewertung_Stammdaten!J$24,Bewertung_Stammdaten!I$24,IF(AN32&lt;Bewertung_Stammdaten!J$25,Bewertung_Stammdaten!I$25,IF(AN32&lt;Bewertung_Stammdaten!J$26,Bewertung_Stammdaten!I$26,IF(AN32&lt;Bewertung_Stammdaten!J$27,Bewertung_Stammdaten!I$27,IF(AN32&lt;Bewertung_Stammdaten!J$28,Bewertung_Stammdaten!I$28,IF(AN32&lt;Bewertung_Stammdaten!J$29,Bewertung_Stammdaten!I$29,IF(AN32&lt;Bewertung_Stammdaten!J$30,Bewertung_Stammdaten!I$30,IF(AN32&lt;Bewertung_Stammdaten!J$31,Bewertung_Stammdaten!I$31,IF(AN32&lt;Bewertung_Stammdaten!J$32,Bewertung_Stammdaten!I$32,Bewertung_Stammdaten!I$33)))))))))</f>
        <v>3</v>
      </c>
      <c r="AR32" s="47">
        <f>IF(AO32&lt;Bewertung_Stammdaten!L$24,Bewertung_Stammdaten!K$24,IF(AO32&lt;Bewertung_Stammdaten!L$25,Bewertung_Stammdaten!K$25,IF(AO32&lt;Bewertung_Stammdaten!L$26,Bewertung_Stammdaten!K$26,IF(AO32&lt;Bewertung_Stammdaten!L$27,Bewertung_Stammdaten!K$27,IF(AO32&lt;Bewertung_Stammdaten!L$28,Bewertung_Stammdaten!K$28,IF(AO32&lt;Bewertung_Stammdaten!L$29,Bewertung_Stammdaten!K$29,IF(AO32&lt;Bewertung_Stammdaten!L$30,Bewertung_Stammdaten!K$30,IF(AO32&lt;Bewertung_Stammdaten!L$31,Bewertung_Stammdaten!K$31,IF(AO32&lt;Bewertung_Stammdaten!L$32,Bewertung_Stammdaten!K$32,Bewertung_Stammdaten!K$33)))))))))</f>
        <v>2.5</v>
      </c>
      <c r="AS32" s="47">
        <f>IF(AP32&lt;Bewertung_Stammdaten!N$24,Bewertung_Stammdaten!M$24,IF(AP32&lt;Bewertung_Stammdaten!N$25,Bewertung_Stammdaten!M$25,IF(AP32&lt;Bewertung_Stammdaten!N$26,Bewertung_Stammdaten!M$26,IF(AP32&lt;Bewertung_Stammdaten!N$27,Bewertung_Stammdaten!M$27,IF(AP32&lt;Bewertung_Stammdaten!N$28,Bewertung_Stammdaten!M$28,IF(AP32&lt;Bewertung_Stammdaten!N$29,Bewertung_Stammdaten!M$29,IF(AP32&lt;Bewertung_Stammdaten!N$30,Bewertung_Stammdaten!M$30,IF(AP32&lt;Bewertung_Stammdaten!N$31,Bewertung_Stammdaten!M$31,IF(AP32&lt;Bewertung_Stammdaten!N$32,Bewertung_Stammdaten!M$32,Bewertung_Stammdaten!M$33)))))))))</f>
        <v>3</v>
      </c>
      <c r="AT32" s="49"/>
      <c r="AU32" s="13">
        <f ca="1">VLOOKUP(A32,Ausschüttungsquote!A3:S68,18,FALSE)</f>
        <v>0.51069599792571141</v>
      </c>
      <c r="AV32" s="13">
        <f>VLOOKUP(A32,Ausschüttungsquote!A3:S68,15,FALSE)</f>
        <v>0.46008891476388702</v>
      </c>
      <c r="AW32" s="13">
        <f ca="1">VLOOKUP(A32,Ausschüttungsquote!A3:S68,19,FALSE)</f>
        <v>0.10999413708499239</v>
      </c>
      <c r="AX32" s="36">
        <f ca="1">IF(AU32&lt;Bewertung_Stammdaten!H$11,Bewertung_Stammdaten!G$11,IF(AU32&lt;Bewertung_Stammdaten!H$12,Bewertung_Stammdaten!G$12,IF(AU32&lt;Bewertung_Stammdaten!H$13,Bewertung_Stammdaten!G$13,IF(AU32&lt;Bewertung_Stammdaten!H$14,Bewertung_Stammdaten!G$14,IF(AU32&lt;Bewertung_Stammdaten!H$15,Bewertung_Stammdaten!G$15,IF(AU32&lt;Bewertung_Stammdaten!H$16,Bewertung_Stammdaten!G$16,IF(AU32&lt;Bewertung_Stammdaten!H$17,Bewertung_Stammdaten!G$17,IF(AU32&lt;Bewertung_Stammdaten!H$18,Bewertung_Stammdaten!G$18,IF(AU32&lt;Bewertung_Stammdaten!H$19,Bewertung_Stammdaten!G$19,Bewertung_Stammdaten!G$20)))))))))</f>
        <v>3.5</v>
      </c>
      <c r="AY32" s="47">
        <f>IF(AV32&lt;Bewertung_Stammdaten!B$24,Bewertung_Stammdaten!A$24,IF(AV32&lt;Bewertung_Stammdaten!B$25,Bewertung_Stammdaten!A$25,IF(AV32&lt;Bewertung_Stammdaten!B$26,Bewertung_Stammdaten!A$26,IF(AV32&lt;Bewertung_Stammdaten!B$27,Bewertung_Stammdaten!A$27,IF(AV32&lt;Bewertung_Stammdaten!B$28,Bewertung_Stammdaten!A$28,IF(AV32&lt;Bewertung_Stammdaten!B$29,Bewertung_Stammdaten!A$29,IF(AV32&lt;Bewertung_Stammdaten!B$30,Bewertung_Stammdaten!A$30,IF(AV32&lt;Bewertung_Stammdaten!B$31,Bewertung_Stammdaten!A$31,IF(AV32&lt;Bewertung_Stammdaten!B$32,Bewertung_Stammdaten!A$32,Bewertung_Stammdaten!A$33)))))))))</f>
        <v>4</v>
      </c>
      <c r="AZ32" s="36">
        <f ca="1">IF(AW32&lt;Bewertung_Stammdaten!J$11,Bewertung_Stammdaten!I$11,IF(AW32&lt;Bewertung_Stammdaten!J$12,Bewertung_Stammdaten!I$12,IF(AW32&lt;Bewertung_Stammdaten!J$13,Bewertung_Stammdaten!I$13,IF(AW32&lt;Bewertung_Stammdaten!J$14,Bewertung_Stammdaten!I$14,IF(AW32&lt;Bewertung_Stammdaten!J$15,Bewertung_Stammdaten!I$15,IF(AW32&lt;Bewertung_Stammdaten!J$16,Bewertung_Stammdaten!I$16,IF(AW32&lt;Bewertung_Stammdaten!J$17,Bewertung_Stammdaten!I$17,IF(AW32&lt;Bewertung_Stammdaten!J$18,Bewertung_Stammdaten!I$18,IF(AW32&lt;Bewertung_Stammdaten!J$19,Bewertung_Stammdaten!I$19,Bewertung_Stammdaten!I$20)))))))))</f>
        <v>1.5</v>
      </c>
    </row>
    <row r="33" spans="1:52" x14ac:dyDescent="0.25">
      <c r="A33" s="44" t="s">
        <v>62</v>
      </c>
      <c r="B33" s="44" t="s">
        <v>63</v>
      </c>
      <c r="C33" s="36">
        <f t="shared" ca="1" si="0"/>
        <v>66.5</v>
      </c>
      <c r="D33" s="49"/>
      <c r="E33" s="12">
        <f ca="1">VLOOKUP(A33,KGV!A3:S68,18,FALSE)</f>
        <v>15.891666666666666</v>
      </c>
      <c r="F33" s="12">
        <f>VLOOKUP(A33,KGV!A3:S68,15,FALSE)</f>
        <v>15.3</v>
      </c>
      <c r="G33" s="13">
        <f ca="1">VLOOKUP(A33,KGV!A3:S68,19,FALSE)</f>
        <v>3.8671023965141549E-2</v>
      </c>
      <c r="H33" s="19">
        <f t="shared" ca="1" si="1"/>
        <v>76.638844086021507</v>
      </c>
      <c r="I33" s="13">
        <f t="shared" ca="1" si="2"/>
        <v>4.0090747768641508</v>
      </c>
      <c r="J33" s="36">
        <f ca="1">IF(G33&lt;Bewertung_Stammdaten!B$11,Bewertung_Stammdaten!A$11,IF(G33&lt;Bewertung_Stammdaten!B$12,Bewertung_Stammdaten!A$12,IF(G33&lt;Bewertung_Stammdaten!B$13,Bewertung_Stammdaten!A$13,IF(G33&lt;Bewertung_Stammdaten!B$14,Bewertung_Stammdaten!A$14,IF(G33&lt;Bewertung_Stammdaten!B$15,Bewertung_Stammdaten!A$15,IF(G33&lt;Bewertung_Stammdaten!B$16,Bewertung_Stammdaten!A$16,IF(G33&lt;Bewertung_Stammdaten!B$17,Bewertung_Stammdaten!A$17,IF(G33&lt;Bewertung_Stammdaten!B$18,Bewertung_Stammdaten!A$18,IF(G33&lt;Bewertung_Stammdaten!B$19,Bewertung_Stammdaten!A$19,Bewertung_Stammdaten!A$20)))))))))</f>
        <v>10</v>
      </c>
      <c r="K33" s="36">
        <f ca="1">IF(I33&lt;Bewertung_Stammdaten!N$11,Bewertung_Stammdaten!M$11,IF(I33&lt;Bewertung_Stammdaten!N$12,Bewertung_Stammdaten!M$12,IF(I33&lt;Bewertung_Stammdaten!N$13,Bewertung_Stammdaten!M$13,IF(I33&lt;Bewertung_Stammdaten!N$14,Bewertung_Stammdaten!M$14,IF(I33&lt;Bewertung_Stammdaten!N$15,Bewertung_Stammdaten!M$15,IF(I33&lt;Bewertung_Stammdaten!N$16,Bewertung_Stammdaten!M$16,IF(I33&lt;Bewertung_Stammdaten!N$17,Bewertung_Stammdaten!M$17,IF(I33&lt;Bewertung_Stammdaten!N$18,Bewertung_Stammdaten!M$18,IF(I33&lt;Bewertung_Stammdaten!N$19,Bewertung_Stammdaten!M$19,Bewertung_Stammdaten!M$20)))))))))</f>
        <v>1</v>
      </c>
      <c r="L33" s="49"/>
      <c r="M33" s="12">
        <f ca="1">VLOOKUP(A33,Buchwert_je_Aktie!A3:AC68,18,FALSE)</f>
        <v>22.604166666666664</v>
      </c>
      <c r="N33" s="12">
        <f>VLOOKUP(A33,Buchwert_je_Aktie!A3:AC68,15,FALSE)</f>
        <v>17.675000000000001</v>
      </c>
      <c r="O33" s="13">
        <f ca="1">VLOOKUP(A33,Buchwert_je_Aktie!A3:AC68,19,FALSE)</f>
        <v>0.27887788778877876</v>
      </c>
      <c r="P33" s="13">
        <f>VLOOKUP(A33,Buchwert_je_Aktie!A3:AC68,29,FALSE)</f>
        <v>-0.2909796314258003</v>
      </c>
      <c r="Q33" s="19">
        <f t="shared" ca="1" si="6"/>
        <v>16.026814581312639</v>
      </c>
      <c r="R33" s="13">
        <f t="shared" ca="1" si="3"/>
        <v>-9.3249528638606027E-2</v>
      </c>
      <c r="S33" s="58">
        <f ca="1">IF(O33&lt;Bewertung_Stammdaten!D$24,Bewertung_Stammdaten!C$24,IF(O33&lt;Bewertung_Stammdaten!D$25,Bewertung_Stammdaten!C$25,IF(O33&lt;Bewertung_Stammdaten!D$26,Bewertung_Stammdaten!C$26,IF(O33&lt;Bewertung_Stammdaten!D$27,Bewertung_Stammdaten!C$27,IF(O33&lt;Bewertung_Stammdaten!D$28,Bewertung_Stammdaten!C$28,IF(O33&lt;Bewertung_Stammdaten!D$29,Bewertung_Stammdaten!C$29,IF(O33&lt;Bewertung_Stammdaten!D$30,Bewertung_Stammdaten!C$30,IF(O33&lt;Bewertung_Stammdaten!D$31,Bewertung_Stammdaten!C$31,IF(O33&lt;Bewertung_Stammdaten!D$32,Bewertung_Stammdaten!C$32,Bewertung_Stammdaten!C$33)))))))))</f>
        <v>8</v>
      </c>
      <c r="T33" s="58">
        <f>IF(P33&lt;Bewertung_Stammdaten!F$24,Bewertung_Stammdaten!E$24,IF(P33&lt;Bewertung_Stammdaten!F$25,Bewertung_Stammdaten!E$25,IF(P33&lt;Bewertung_Stammdaten!F$26,Bewertung_Stammdaten!E$26,IF(P33&lt;Bewertung_Stammdaten!F$27,Bewertung_Stammdaten!E$27,IF(P33&lt;Bewertung_Stammdaten!F$28,Bewertung_Stammdaten!E$28,IF(P33&lt;Bewertung_Stammdaten!F$29,Bewertung_Stammdaten!E$29,IF(P33&lt;Bewertung_Stammdaten!F$30,Bewertung_Stammdaten!E$30,IF(P33&lt;Bewertung_Stammdaten!F$31,Bewertung_Stammdaten!E$31,IF(P33&lt;Bewertung_Stammdaten!F$32,Bewertung_Stammdaten!E$32,Bewertung_Stammdaten!E$33)))))))))</f>
        <v>3</v>
      </c>
      <c r="U33" s="58">
        <f ca="1">IF(R33&lt;Bewertung_Stammdaten!H$24,Bewertung_Stammdaten!G$24,IF(R33&lt;Bewertung_Stammdaten!H$25,Bewertung_Stammdaten!G$25,IF(R33&lt;Bewertung_Stammdaten!H$26,Bewertung_Stammdaten!G$26,IF(R33&lt;Bewertung_Stammdaten!H$27,Bewertung_Stammdaten!G$27,IF(R33&lt;Bewertung_Stammdaten!H$28,Bewertung_Stammdaten!G$28,IF(R33&lt;Bewertung_Stammdaten!H$29,Bewertung_Stammdaten!G$29,IF(R33&lt;Bewertung_Stammdaten!H$30,Bewertung_Stammdaten!G$30,IF(R33&lt;Bewertung_Stammdaten!H$31,Bewertung_Stammdaten!G$31,IF(R33&lt;Bewertung_Stammdaten!H$32,Bewertung_Stammdaten!G$32,Bewertung_Stammdaten!G$33)))))))))</f>
        <v>1</v>
      </c>
      <c r="V33" s="49"/>
      <c r="W33" s="17">
        <f ca="1">VLOOKUP(A33,Ergebnis_je_Aktie_verwässert!A3:S68,18,FALSE)</f>
        <v>3.2916666666666665</v>
      </c>
      <c r="X33" s="17">
        <f>VLOOKUP(A33,Ergebnis_je_Aktie_verwässert!A3:S68,15,FALSE)</f>
        <v>2.3449999999999998</v>
      </c>
      <c r="Y33" s="13">
        <f ca="1">VLOOKUP(A33,Ergebnis_je_Aktie_verwässert!A3:S68,19,FALSE)</f>
        <v>0.40369580668088134</v>
      </c>
      <c r="Z33" s="46">
        <f>VLOOKUP(A33,Ergebnis_je_Aktie_verwässert!A3:AC68,29,FALSE)</f>
        <v>-0.79264214046822745</v>
      </c>
      <c r="AA33" s="19">
        <f t="shared" ca="1" si="4"/>
        <v>0.68255295429208462</v>
      </c>
      <c r="AB33" s="13">
        <f t="shared" ca="1" si="5"/>
        <v>-0.70893264209292761</v>
      </c>
      <c r="AC33" s="36">
        <f ca="1">IF(Y33&lt;Bewertung_Stammdaten!L$11,Bewertung_Stammdaten!K$11,IF(Y33&lt;Bewertung_Stammdaten!L$12,Bewertung_Stammdaten!K$12,IF(Y33&lt;Bewertung_Stammdaten!L$13,Bewertung_Stammdaten!K$13,IF(Y33&lt;Bewertung_Stammdaten!L$14,Bewertung_Stammdaten!K$14,IF(Y33&lt;Bewertung_Stammdaten!L$15,Bewertung_Stammdaten!K$15,IF(Y33&lt;Bewertung_Stammdaten!L$16,Bewertung_Stammdaten!K$16,IF(Y33&lt;Bewertung_Stammdaten!L$17,Bewertung_Stammdaten!K$17,IF(Y33&lt;Bewertung_Stammdaten!L$18,Bewertung_Stammdaten!K$18,IF(Y33&lt;Bewertung_Stammdaten!L$19,Bewertung_Stammdaten!K$19,Bewertung_Stammdaten!K$20)))))))))</f>
        <v>12</v>
      </c>
      <c r="AD33" s="36">
        <f>IF(Z33&lt;Bewertung_Stammdaten!R$11,Bewertung_Stammdaten!Q$11,IF(Z33&lt;Bewertung_Stammdaten!R$12,Bewertung_Stammdaten!Q$12,IF(Z33&lt;Bewertung_Stammdaten!R$13,Bewertung_Stammdaten!Q$13,IF(Z33&lt;Bewertung_Stammdaten!R$14,Bewertung_Stammdaten!Q$14,IF(Z33&lt;Bewertung_Stammdaten!R$15,Bewertung_Stammdaten!Q$15,IF(Z33&lt;Bewertung_Stammdaten!R$16,Bewertung_Stammdaten!Q$16,IF(Z33&lt;Bewertung_Stammdaten!R$17,Bewertung_Stammdaten!Q$17,IF(Z33&lt;Bewertung_Stammdaten!R$18,Bewertung_Stammdaten!Q$18,IF(Z33&lt;Bewertung_Stammdaten!R$19,Bewertung_Stammdaten!Q$19,Bewertung_Stammdaten!Q$20)))))))))</f>
        <v>1</v>
      </c>
      <c r="AE33" s="36">
        <f ca="1">IF(AB33&lt;Bewertung_Stammdaten!P$11,Bewertung_Stammdaten!O$11,IF(AB33&lt;Bewertung_Stammdaten!P$12,Bewertung_Stammdaten!O$12,IF(AB33&lt;Bewertung_Stammdaten!P$13,Bewertung_Stammdaten!O$13,IF(AB33&lt;Bewertung_Stammdaten!P$14,Bewertung_Stammdaten!O$14,IF(AB33&lt;Bewertung_Stammdaten!P$15,Bewertung_Stammdaten!O$15,IF(AB33&lt;Bewertung_Stammdaten!P$16,Bewertung_Stammdaten!O$16,IF(AB33&lt;Bewertung_Stammdaten!P$17,Bewertung_Stammdaten!O$17,IF(AB33&lt;Bewertung_Stammdaten!P$18,Bewertung_Stammdaten!O$18,IF(AB33&lt;Bewertung_Stammdaten!P$19,Bewertung_Stammdaten!O$19,Bewertung_Stammdaten!O$20)))))))))</f>
        <v>1</v>
      </c>
      <c r="AF33" s="49"/>
      <c r="AG33" s="13">
        <f ca="1">VLOOKUP(A33,Dividendenrendite!A3:S68,18,FALSE)</f>
        <v>2.8445277777777778E-2</v>
      </c>
      <c r="AH33" s="13">
        <f>VLOOKUP(A33,Dividendenrendite!A3:S68,15,FALSE)</f>
        <v>3.8270000000000005E-2</v>
      </c>
      <c r="AI33" s="13">
        <f ca="1">VLOOKUP(A33,Dividendenrendite!A3:S68,19,FALSE)</f>
        <v>-0.25672124960078979</v>
      </c>
      <c r="AJ33" s="36">
        <f ca="1">IF(AG33&lt;Bewertung_Stammdaten!D$11,Bewertung_Stammdaten!C$11,IF(AG33&lt;Bewertung_Stammdaten!D$12,Bewertung_Stammdaten!C$12,IF(AG33&lt;Bewertung_Stammdaten!D$13,Bewertung_Stammdaten!C$13,IF(AG33&lt;Bewertung_Stammdaten!D$14,Bewertung_Stammdaten!C$14,IF(AG33&lt;Bewertung_Stammdaten!D$15,Bewertung_Stammdaten!C$15,IF(AG33&lt;Bewertung_Stammdaten!D$16,Bewertung_Stammdaten!C$16,IF(AG33&lt;Bewertung_Stammdaten!D$17,Bewertung_Stammdaten!C$17,IF(AG33&lt;Bewertung_Stammdaten!D$18,Bewertung_Stammdaten!C$18,IF(AG33&lt;Bewertung_Stammdaten!D$19,Bewertung_Stammdaten!C$19,Bewertung_Stammdaten!C$20)))))))))</f>
        <v>9</v>
      </c>
      <c r="AK33" s="36">
        <f>IF(AH33&lt;Bewertung_Stammdaten!T$11,Bewertung_Stammdaten!S$11,IF(AH33&lt;Bewertung_Stammdaten!T$12,Bewertung_Stammdaten!S$12,IF(AH33&lt;Bewertung_Stammdaten!T$13,Bewertung_Stammdaten!S$13,IF(AH33&lt;Bewertung_Stammdaten!T$14,Bewertung_Stammdaten!S$14,IF(AH33&lt;Bewertung_Stammdaten!T$15,Bewertung_Stammdaten!S$15,IF(AH33&lt;Bewertung_Stammdaten!T$16,Bewertung_Stammdaten!S$16,IF(AH33&lt;Bewertung_Stammdaten!T$17,Bewertung_Stammdaten!S$17,IF(AH33&lt;Bewertung_Stammdaten!T$18,Bewertung_Stammdaten!S$18,IF(AH33&lt;Bewertung_Stammdaten!T$19,Bewertung_Stammdaten!S$19,Bewertung_Stammdaten!S$20)))))))))</f>
        <v>8</v>
      </c>
      <c r="AL33" s="36">
        <f ca="1">IF(AI33&lt;Bewertung_Stammdaten!F$11,Bewertung_Stammdaten!E$11,IF(AI33&lt;Bewertung_Stammdaten!F$12,Bewertung_Stammdaten!E$12,IF(AI33&lt;Bewertung_Stammdaten!F$13,Bewertung_Stammdaten!E$13,IF(AI33&lt;Bewertung_Stammdaten!F$14,Bewertung_Stammdaten!E$14,IF(AI33&lt;Bewertung_Stammdaten!F$15,Bewertung_Stammdaten!E$15,IF(AI33&lt;Bewertung_Stammdaten!F$16,Bewertung_Stammdaten!E$16,IF(AI33&lt;Bewertung_Stammdaten!F$17,Bewertung_Stammdaten!E$17,IF(AI33&lt;Bewertung_Stammdaten!F$18,Bewertung_Stammdaten!E$18,IF(AI33&lt;Bewertung_Stammdaten!F$19,Bewertung_Stammdaten!E$19,Bewertung_Stammdaten!E$20)))))))))</f>
        <v>0.5</v>
      </c>
      <c r="AM33" s="49"/>
      <c r="AN33" s="13">
        <f>VLOOKUP(A33,Aktien_im_Umlauf_splitbereinigt!A3:W68,13,FALSE)</f>
        <v>1.6625103906899863E-3</v>
      </c>
      <c r="AO33" s="13">
        <f>VLOOKUP(A33,Aktien_im_Umlauf_splitbereinigt!A3:W68,22,FALSE)</f>
        <v>2.9026142531563461E-2</v>
      </c>
      <c r="AP33" s="13">
        <f>VLOOKUP(A33,Aktien_im_Umlauf_splitbereinigt!A3:W68,23,FALSE)</f>
        <v>-99.999989999999997</v>
      </c>
      <c r="AQ33" s="47">
        <f>IF(AN33&lt;Bewertung_Stammdaten!J$24,Bewertung_Stammdaten!I$24,IF(AN33&lt;Bewertung_Stammdaten!J$25,Bewertung_Stammdaten!I$25,IF(AN33&lt;Bewertung_Stammdaten!J$26,Bewertung_Stammdaten!I$26,IF(AN33&lt;Bewertung_Stammdaten!J$27,Bewertung_Stammdaten!I$27,IF(AN33&lt;Bewertung_Stammdaten!J$28,Bewertung_Stammdaten!I$28,IF(AN33&lt;Bewertung_Stammdaten!J$29,Bewertung_Stammdaten!I$29,IF(AN33&lt;Bewertung_Stammdaten!J$30,Bewertung_Stammdaten!I$30,IF(AN33&lt;Bewertung_Stammdaten!J$31,Bewertung_Stammdaten!I$31,IF(AN33&lt;Bewertung_Stammdaten!J$32,Bewertung_Stammdaten!I$32,Bewertung_Stammdaten!I$33)))))))))</f>
        <v>1</v>
      </c>
      <c r="AR33" s="47">
        <f>IF(AO33&lt;Bewertung_Stammdaten!L$24,Bewertung_Stammdaten!K$24,IF(AO33&lt;Bewertung_Stammdaten!L$25,Bewertung_Stammdaten!K$25,IF(AO33&lt;Bewertung_Stammdaten!L$26,Bewertung_Stammdaten!K$26,IF(AO33&lt;Bewertung_Stammdaten!L$27,Bewertung_Stammdaten!K$27,IF(AO33&lt;Bewertung_Stammdaten!L$28,Bewertung_Stammdaten!K$28,IF(AO33&lt;Bewertung_Stammdaten!L$29,Bewertung_Stammdaten!K$29,IF(AO33&lt;Bewertung_Stammdaten!L$30,Bewertung_Stammdaten!K$30,IF(AO33&lt;Bewertung_Stammdaten!L$31,Bewertung_Stammdaten!K$31,IF(AO33&lt;Bewertung_Stammdaten!L$32,Bewertung_Stammdaten!K$32,Bewertung_Stammdaten!K$33)))))))))</f>
        <v>0.5</v>
      </c>
      <c r="AS33" s="47">
        <f>IF(AP33&lt;Bewertung_Stammdaten!N$24,Bewertung_Stammdaten!M$24,IF(AP33&lt;Bewertung_Stammdaten!N$25,Bewertung_Stammdaten!M$25,IF(AP33&lt;Bewertung_Stammdaten!N$26,Bewertung_Stammdaten!M$26,IF(AP33&lt;Bewertung_Stammdaten!N$27,Bewertung_Stammdaten!M$27,IF(AP33&lt;Bewertung_Stammdaten!N$28,Bewertung_Stammdaten!M$28,IF(AP33&lt;Bewertung_Stammdaten!N$29,Bewertung_Stammdaten!M$29,IF(AP33&lt;Bewertung_Stammdaten!N$30,Bewertung_Stammdaten!M$30,IF(AP33&lt;Bewertung_Stammdaten!N$31,Bewertung_Stammdaten!M$31,IF(AP33&lt;Bewertung_Stammdaten!N$32,Bewertung_Stammdaten!M$32,Bewertung_Stammdaten!M$33)))))))))</f>
        <v>0.5</v>
      </c>
      <c r="AT33" s="49"/>
      <c r="AU33" s="13">
        <f ca="1">VLOOKUP(A33,Ausschüttungsquote!A3:S68,18,FALSE)</f>
        <v>0.44900017295815375</v>
      </c>
      <c r="AV33" s="13">
        <f>VLOOKUP(A33,Ausschüttungsquote!A3:S68,15,FALSE)</f>
        <v>0.91102892365617671</v>
      </c>
      <c r="AW33" s="13">
        <f ca="1">VLOOKUP(A33,Ausschüttungsquote!A3:S68,19,FALSE)</f>
        <v>-0.50715047426133431</v>
      </c>
      <c r="AX33" s="36">
        <f ca="1">IF(AU33&lt;Bewertung_Stammdaten!H$11,Bewertung_Stammdaten!G$11,IF(AU33&lt;Bewertung_Stammdaten!H$12,Bewertung_Stammdaten!G$12,IF(AU33&lt;Bewertung_Stammdaten!H$13,Bewertung_Stammdaten!G$13,IF(AU33&lt;Bewertung_Stammdaten!H$14,Bewertung_Stammdaten!G$14,IF(AU33&lt;Bewertung_Stammdaten!H$15,Bewertung_Stammdaten!G$15,IF(AU33&lt;Bewertung_Stammdaten!H$16,Bewertung_Stammdaten!G$16,IF(AU33&lt;Bewertung_Stammdaten!H$17,Bewertung_Stammdaten!G$17,IF(AU33&lt;Bewertung_Stammdaten!H$18,Bewertung_Stammdaten!G$18,IF(AU33&lt;Bewertung_Stammdaten!H$19,Bewertung_Stammdaten!G$19,Bewertung_Stammdaten!G$20)))))))))</f>
        <v>4.5</v>
      </c>
      <c r="AY33" s="47">
        <f>IF(AV33&lt;Bewertung_Stammdaten!B$24,Bewertung_Stammdaten!A$24,IF(AV33&lt;Bewertung_Stammdaten!B$25,Bewertung_Stammdaten!A$25,IF(AV33&lt;Bewertung_Stammdaten!B$26,Bewertung_Stammdaten!A$26,IF(AV33&lt;Bewertung_Stammdaten!B$27,Bewertung_Stammdaten!A$27,IF(AV33&lt;Bewertung_Stammdaten!B$28,Bewertung_Stammdaten!A$28,IF(AV33&lt;Bewertung_Stammdaten!B$29,Bewertung_Stammdaten!A$29,IF(AV33&lt;Bewertung_Stammdaten!B$30,Bewertung_Stammdaten!A$30,IF(AV33&lt;Bewertung_Stammdaten!B$31,Bewertung_Stammdaten!A$31,IF(AV33&lt;Bewertung_Stammdaten!B$32,Bewertung_Stammdaten!A$32,Bewertung_Stammdaten!A$33)))))))))</f>
        <v>0.5</v>
      </c>
      <c r="AZ33" s="36">
        <f ca="1">IF(AW33&lt;Bewertung_Stammdaten!J$11,Bewertung_Stammdaten!I$11,IF(AW33&lt;Bewertung_Stammdaten!J$12,Bewertung_Stammdaten!I$12,IF(AW33&lt;Bewertung_Stammdaten!J$13,Bewertung_Stammdaten!I$13,IF(AW33&lt;Bewertung_Stammdaten!J$14,Bewertung_Stammdaten!I$14,IF(AW33&lt;Bewertung_Stammdaten!J$15,Bewertung_Stammdaten!I$15,IF(AW33&lt;Bewertung_Stammdaten!J$16,Bewertung_Stammdaten!I$16,IF(AW33&lt;Bewertung_Stammdaten!J$17,Bewertung_Stammdaten!I$17,IF(AW33&lt;Bewertung_Stammdaten!J$18,Bewertung_Stammdaten!I$18,IF(AW33&lt;Bewertung_Stammdaten!J$19,Bewertung_Stammdaten!I$19,Bewertung_Stammdaten!I$20)))))))))</f>
        <v>5</v>
      </c>
    </row>
    <row r="34" spans="1:52" x14ac:dyDescent="0.25">
      <c r="A34" s="44" t="s">
        <v>64</v>
      </c>
      <c r="B34" s="44" t="s">
        <v>65</v>
      </c>
      <c r="C34" s="36">
        <f t="shared" ca="1" si="0"/>
        <v>93</v>
      </c>
      <c r="D34" s="49"/>
      <c r="E34" s="12">
        <f ca="1">VLOOKUP(A34,KGV!A3:S68,18,FALSE)</f>
        <v>13</v>
      </c>
      <c r="F34" s="12">
        <f>VLOOKUP(A34,KGV!A3:S68,15,FALSE)</f>
        <v>10.8</v>
      </c>
      <c r="G34" s="13">
        <f ca="1">VLOOKUP(A34,KGV!A3:S68,19,FALSE)</f>
        <v>0.20370370370370372</v>
      </c>
      <c r="H34" s="19">
        <f t="shared" ca="1" si="1"/>
        <v>28.384422110552759</v>
      </c>
      <c r="I34" s="13">
        <f t="shared" ca="1" si="2"/>
        <v>1.6281872324585884</v>
      </c>
      <c r="J34" s="36">
        <f ca="1">IF(G34&lt;Bewertung_Stammdaten!B$11,Bewertung_Stammdaten!A$11,IF(G34&lt;Bewertung_Stammdaten!B$12,Bewertung_Stammdaten!A$12,IF(G34&lt;Bewertung_Stammdaten!B$13,Bewertung_Stammdaten!A$13,IF(G34&lt;Bewertung_Stammdaten!B$14,Bewertung_Stammdaten!A$14,IF(G34&lt;Bewertung_Stammdaten!B$15,Bewertung_Stammdaten!A$15,IF(G34&lt;Bewertung_Stammdaten!B$16,Bewertung_Stammdaten!A$16,IF(G34&lt;Bewertung_Stammdaten!B$17,Bewertung_Stammdaten!A$17,IF(G34&lt;Bewertung_Stammdaten!B$18,Bewertung_Stammdaten!A$18,IF(G34&lt;Bewertung_Stammdaten!B$19,Bewertung_Stammdaten!A$19,Bewertung_Stammdaten!A$20)))))))))</f>
        <v>2</v>
      </c>
      <c r="K34" s="36">
        <f ca="1">IF(I34&lt;Bewertung_Stammdaten!N$11,Bewertung_Stammdaten!M$11,IF(I34&lt;Bewertung_Stammdaten!N$12,Bewertung_Stammdaten!M$12,IF(I34&lt;Bewertung_Stammdaten!N$13,Bewertung_Stammdaten!M$13,IF(I34&lt;Bewertung_Stammdaten!N$14,Bewertung_Stammdaten!M$14,IF(I34&lt;Bewertung_Stammdaten!N$15,Bewertung_Stammdaten!M$15,IF(I34&lt;Bewertung_Stammdaten!N$16,Bewertung_Stammdaten!M$16,IF(I34&lt;Bewertung_Stammdaten!N$17,Bewertung_Stammdaten!M$17,IF(I34&lt;Bewertung_Stammdaten!N$18,Bewertung_Stammdaten!M$18,IF(I34&lt;Bewertung_Stammdaten!N$19,Bewertung_Stammdaten!M$19,Bewertung_Stammdaten!M$20)))))))))</f>
        <v>1</v>
      </c>
      <c r="L34" s="49"/>
      <c r="M34" s="12">
        <f ca="1">VLOOKUP(A34,Buchwert_je_Aktie!A3:AC68,18,FALSE)</f>
        <v>44.989166666666662</v>
      </c>
      <c r="N34" s="12">
        <f>VLOOKUP(A34,Buchwert_je_Aktie!A3:AC68,15,FALSE)</f>
        <v>26.169</v>
      </c>
      <c r="O34" s="13">
        <f ca="1">VLOOKUP(A34,Buchwert_je_Aktie!A3:AC68,19,FALSE)</f>
        <v>0.71917790770249757</v>
      </c>
      <c r="P34" s="13">
        <f>VLOOKUP(A34,Buchwert_je_Aktie!A3:AC68,29,FALSE)</f>
        <v>3.5366931918654476E-3</v>
      </c>
      <c r="Q34" s="19">
        <f t="shared" ca="1" si="6"/>
        <v>44.989166666666662</v>
      </c>
      <c r="R34" s="13">
        <f t="shared" ca="1" si="3"/>
        <v>0.71917790770249757</v>
      </c>
      <c r="S34" s="58">
        <f ca="1">IF(O34&lt;Bewertung_Stammdaten!D$24,Bewertung_Stammdaten!C$24,IF(O34&lt;Bewertung_Stammdaten!D$25,Bewertung_Stammdaten!C$25,IF(O34&lt;Bewertung_Stammdaten!D$26,Bewertung_Stammdaten!C$26,IF(O34&lt;Bewertung_Stammdaten!D$27,Bewertung_Stammdaten!C$27,IF(O34&lt;Bewertung_Stammdaten!D$28,Bewertung_Stammdaten!C$28,IF(O34&lt;Bewertung_Stammdaten!D$29,Bewertung_Stammdaten!C$29,IF(O34&lt;Bewertung_Stammdaten!D$30,Bewertung_Stammdaten!C$30,IF(O34&lt;Bewertung_Stammdaten!D$31,Bewertung_Stammdaten!C$31,IF(O34&lt;Bewertung_Stammdaten!D$32,Bewertung_Stammdaten!C$32,Bewertung_Stammdaten!C$33)))))))))</f>
        <v>18</v>
      </c>
      <c r="T34" s="58">
        <f>IF(P34&lt;Bewertung_Stammdaten!F$24,Bewertung_Stammdaten!E$24,IF(P34&lt;Bewertung_Stammdaten!F$25,Bewertung_Stammdaten!E$25,IF(P34&lt;Bewertung_Stammdaten!F$26,Bewertung_Stammdaten!E$26,IF(P34&lt;Bewertung_Stammdaten!F$27,Bewertung_Stammdaten!E$27,IF(P34&lt;Bewertung_Stammdaten!F$28,Bewertung_Stammdaten!E$28,IF(P34&lt;Bewertung_Stammdaten!F$29,Bewertung_Stammdaten!E$29,IF(P34&lt;Bewertung_Stammdaten!F$30,Bewertung_Stammdaten!E$30,IF(P34&lt;Bewertung_Stammdaten!F$31,Bewertung_Stammdaten!E$31,IF(P34&lt;Bewertung_Stammdaten!F$32,Bewertung_Stammdaten!E$32,Bewertung_Stammdaten!E$33)))))))))</f>
        <v>12</v>
      </c>
      <c r="U34" s="58">
        <f ca="1">IF(R34&lt;Bewertung_Stammdaten!H$24,Bewertung_Stammdaten!G$24,IF(R34&lt;Bewertung_Stammdaten!H$25,Bewertung_Stammdaten!G$25,IF(R34&lt;Bewertung_Stammdaten!H$26,Bewertung_Stammdaten!G$26,IF(R34&lt;Bewertung_Stammdaten!H$27,Bewertung_Stammdaten!G$27,IF(R34&lt;Bewertung_Stammdaten!H$28,Bewertung_Stammdaten!G$28,IF(R34&lt;Bewertung_Stammdaten!H$29,Bewertung_Stammdaten!G$29,IF(R34&lt;Bewertung_Stammdaten!H$30,Bewertung_Stammdaten!G$30,IF(R34&lt;Bewertung_Stammdaten!H$31,Bewertung_Stammdaten!G$31,IF(R34&lt;Bewertung_Stammdaten!H$32,Bewertung_Stammdaten!G$32,Bewertung_Stammdaten!G$33)))))))))</f>
        <v>9</v>
      </c>
      <c r="V34" s="49"/>
      <c r="W34" s="17">
        <f ca="1">VLOOKUP(A34,Ergebnis_je_Aktie_verwässert!A3:S68,18,FALSE)</f>
        <v>7.9000000000000012</v>
      </c>
      <c r="X34" s="17">
        <f>VLOOKUP(A34,Ergebnis_je_Aktie_verwässert!A3:S68,15,FALSE)</f>
        <v>6.7879999999999994</v>
      </c>
      <c r="Y34" s="13">
        <f ca="1">VLOOKUP(A34,Ergebnis_je_Aktie_verwässert!A3:S68,19,FALSE)</f>
        <v>0.16381850324101377</v>
      </c>
      <c r="Z34" s="46">
        <f>VLOOKUP(A34,Ergebnis_je_Aktie_verwässert!A3:AC68,29,FALSE)</f>
        <v>-0.54200230149597228</v>
      </c>
      <c r="AA34" s="19">
        <f t="shared" ca="1" si="4"/>
        <v>3.6181818181818195</v>
      </c>
      <c r="AB34" s="13">
        <f t="shared" ca="1" si="5"/>
        <v>-0.46697380403921329</v>
      </c>
      <c r="AC34" s="36">
        <f ca="1">IF(Y34&lt;Bewertung_Stammdaten!L$11,Bewertung_Stammdaten!K$11,IF(Y34&lt;Bewertung_Stammdaten!L$12,Bewertung_Stammdaten!K$12,IF(Y34&lt;Bewertung_Stammdaten!L$13,Bewertung_Stammdaten!K$13,IF(Y34&lt;Bewertung_Stammdaten!L$14,Bewertung_Stammdaten!K$14,IF(Y34&lt;Bewertung_Stammdaten!L$15,Bewertung_Stammdaten!K$15,IF(Y34&lt;Bewertung_Stammdaten!L$16,Bewertung_Stammdaten!K$16,IF(Y34&lt;Bewertung_Stammdaten!L$17,Bewertung_Stammdaten!K$17,IF(Y34&lt;Bewertung_Stammdaten!L$18,Bewertung_Stammdaten!K$18,IF(Y34&lt;Bewertung_Stammdaten!L$19,Bewertung_Stammdaten!K$19,Bewertung_Stammdaten!K$20)))))))))</f>
        <v>6</v>
      </c>
      <c r="AD34" s="36">
        <f>IF(Z34&lt;Bewertung_Stammdaten!R$11,Bewertung_Stammdaten!Q$11,IF(Z34&lt;Bewertung_Stammdaten!R$12,Bewertung_Stammdaten!Q$12,IF(Z34&lt;Bewertung_Stammdaten!R$13,Bewertung_Stammdaten!Q$13,IF(Z34&lt;Bewertung_Stammdaten!R$14,Bewertung_Stammdaten!Q$14,IF(Z34&lt;Bewertung_Stammdaten!R$15,Bewertung_Stammdaten!Q$15,IF(Z34&lt;Bewertung_Stammdaten!R$16,Bewertung_Stammdaten!Q$16,IF(Z34&lt;Bewertung_Stammdaten!R$17,Bewertung_Stammdaten!Q$17,IF(Z34&lt;Bewertung_Stammdaten!R$18,Bewertung_Stammdaten!Q$18,IF(Z34&lt;Bewertung_Stammdaten!R$19,Bewertung_Stammdaten!Q$19,Bewertung_Stammdaten!Q$20)))))))))</f>
        <v>2</v>
      </c>
      <c r="AE34" s="36">
        <f ca="1">IF(AB34&lt;Bewertung_Stammdaten!P$11,Bewertung_Stammdaten!O$11,IF(AB34&lt;Bewertung_Stammdaten!P$12,Bewertung_Stammdaten!O$12,IF(AB34&lt;Bewertung_Stammdaten!P$13,Bewertung_Stammdaten!O$13,IF(AB34&lt;Bewertung_Stammdaten!P$14,Bewertung_Stammdaten!O$14,IF(AB34&lt;Bewertung_Stammdaten!P$15,Bewertung_Stammdaten!O$15,IF(AB34&lt;Bewertung_Stammdaten!P$16,Bewertung_Stammdaten!O$16,IF(AB34&lt;Bewertung_Stammdaten!P$17,Bewertung_Stammdaten!O$17,IF(AB34&lt;Bewertung_Stammdaten!P$18,Bewertung_Stammdaten!O$18,IF(AB34&lt;Bewertung_Stammdaten!P$19,Bewertung_Stammdaten!O$19,Bewertung_Stammdaten!O$20)))))))))</f>
        <v>1</v>
      </c>
      <c r="AF34" s="49"/>
      <c r="AG34" s="13">
        <f ca="1">VLOOKUP(A34,Dividendenrendite!A3:S68,18,FALSE)</f>
        <v>2.7185000000000001E-2</v>
      </c>
      <c r="AH34" s="13">
        <f>VLOOKUP(A34,Dividendenrendite!A3:S68,15,FALSE)</f>
        <v>2.2290000000000001E-2</v>
      </c>
      <c r="AI34" s="13">
        <f ca="1">VLOOKUP(A34,Dividendenrendite!A3:S68,19,FALSE)</f>
        <v>0.21960520412741147</v>
      </c>
      <c r="AJ34" s="36">
        <f ca="1">IF(AG34&lt;Bewertung_Stammdaten!D$11,Bewertung_Stammdaten!C$11,IF(AG34&lt;Bewertung_Stammdaten!D$12,Bewertung_Stammdaten!C$12,IF(AG34&lt;Bewertung_Stammdaten!D$13,Bewertung_Stammdaten!C$13,IF(AG34&lt;Bewertung_Stammdaten!D$14,Bewertung_Stammdaten!C$14,IF(AG34&lt;Bewertung_Stammdaten!D$15,Bewertung_Stammdaten!C$15,IF(AG34&lt;Bewertung_Stammdaten!D$16,Bewertung_Stammdaten!C$16,IF(AG34&lt;Bewertung_Stammdaten!D$17,Bewertung_Stammdaten!C$17,IF(AG34&lt;Bewertung_Stammdaten!D$18,Bewertung_Stammdaten!C$18,IF(AG34&lt;Bewertung_Stammdaten!D$19,Bewertung_Stammdaten!C$19,Bewertung_Stammdaten!C$20)))))))))</f>
        <v>9</v>
      </c>
      <c r="AK34" s="36">
        <f>IF(AH34&lt;Bewertung_Stammdaten!T$11,Bewertung_Stammdaten!S$11,IF(AH34&lt;Bewertung_Stammdaten!T$12,Bewertung_Stammdaten!S$12,IF(AH34&lt;Bewertung_Stammdaten!T$13,Bewertung_Stammdaten!S$13,IF(AH34&lt;Bewertung_Stammdaten!T$14,Bewertung_Stammdaten!S$14,IF(AH34&lt;Bewertung_Stammdaten!T$15,Bewertung_Stammdaten!S$15,IF(AH34&lt;Bewertung_Stammdaten!T$16,Bewertung_Stammdaten!S$16,IF(AH34&lt;Bewertung_Stammdaten!T$17,Bewertung_Stammdaten!S$17,IF(AH34&lt;Bewertung_Stammdaten!T$18,Bewertung_Stammdaten!S$18,IF(AH34&lt;Bewertung_Stammdaten!T$19,Bewertung_Stammdaten!S$19,Bewertung_Stammdaten!S$20)))))))))</f>
        <v>5</v>
      </c>
      <c r="AL34" s="36">
        <f ca="1">IF(AI34&lt;Bewertung_Stammdaten!F$11,Bewertung_Stammdaten!E$11,IF(AI34&lt;Bewertung_Stammdaten!F$12,Bewertung_Stammdaten!E$12,IF(AI34&lt;Bewertung_Stammdaten!F$13,Bewertung_Stammdaten!E$13,IF(AI34&lt;Bewertung_Stammdaten!F$14,Bewertung_Stammdaten!E$14,IF(AI34&lt;Bewertung_Stammdaten!F$15,Bewertung_Stammdaten!E$15,IF(AI34&lt;Bewertung_Stammdaten!F$16,Bewertung_Stammdaten!E$16,IF(AI34&lt;Bewertung_Stammdaten!F$17,Bewertung_Stammdaten!E$17,IF(AI34&lt;Bewertung_Stammdaten!F$18,Bewertung_Stammdaten!E$18,IF(AI34&lt;Bewertung_Stammdaten!F$19,Bewertung_Stammdaten!E$19,Bewertung_Stammdaten!E$20)))))))))</f>
        <v>5</v>
      </c>
      <c r="AM34" s="49"/>
      <c r="AN34" s="13">
        <f>VLOOKUP(A34,Aktien_im_Umlauf_splitbereinigt!A3:W68,13,FALSE)</f>
        <v>-3.7094624611283877E-2</v>
      </c>
      <c r="AO34" s="13">
        <f>VLOOKUP(A34,Aktien_im_Umlauf_splitbereinigt!A3:W68,22,FALSE)</f>
        <v>-4.1753908713746166E-2</v>
      </c>
      <c r="AP34" s="13">
        <f>VLOOKUP(A34,Aktien_im_Umlauf_splitbereinigt!A3:W68,23,FALSE)</f>
        <v>-0.11158917203189567</v>
      </c>
      <c r="AQ34" s="47">
        <f>IF(AN34&lt;Bewertung_Stammdaten!J$24,Bewertung_Stammdaten!I$24,IF(AN34&lt;Bewertung_Stammdaten!J$25,Bewertung_Stammdaten!I$25,IF(AN34&lt;Bewertung_Stammdaten!J$26,Bewertung_Stammdaten!I$26,IF(AN34&lt;Bewertung_Stammdaten!J$27,Bewertung_Stammdaten!I$27,IF(AN34&lt;Bewertung_Stammdaten!J$28,Bewertung_Stammdaten!I$28,IF(AN34&lt;Bewertung_Stammdaten!J$29,Bewertung_Stammdaten!I$29,IF(AN34&lt;Bewertung_Stammdaten!J$30,Bewertung_Stammdaten!I$30,IF(AN34&lt;Bewertung_Stammdaten!J$31,Bewertung_Stammdaten!I$31,IF(AN34&lt;Bewertung_Stammdaten!J$32,Bewertung_Stammdaten!I$32,Bewertung_Stammdaten!I$33)))))))))</f>
        <v>5</v>
      </c>
      <c r="AR34" s="47">
        <f>IF(AO34&lt;Bewertung_Stammdaten!L$24,Bewertung_Stammdaten!K$24,IF(AO34&lt;Bewertung_Stammdaten!L$25,Bewertung_Stammdaten!K$25,IF(AO34&lt;Bewertung_Stammdaten!L$26,Bewertung_Stammdaten!K$26,IF(AO34&lt;Bewertung_Stammdaten!L$27,Bewertung_Stammdaten!K$27,IF(AO34&lt;Bewertung_Stammdaten!L$28,Bewertung_Stammdaten!K$28,IF(AO34&lt;Bewertung_Stammdaten!L$29,Bewertung_Stammdaten!K$29,IF(AO34&lt;Bewertung_Stammdaten!L$30,Bewertung_Stammdaten!K$30,IF(AO34&lt;Bewertung_Stammdaten!L$31,Bewertung_Stammdaten!K$31,IF(AO34&lt;Bewertung_Stammdaten!L$32,Bewertung_Stammdaten!K$32,Bewertung_Stammdaten!K$33)))))))))</f>
        <v>5</v>
      </c>
      <c r="AS34" s="47">
        <f>IF(AP34&lt;Bewertung_Stammdaten!N$24,Bewertung_Stammdaten!M$24,IF(AP34&lt;Bewertung_Stammdaten!N$25,Bewertung_Stammdaten!M$25,IF(AP34&lt;Bewertung_Stammdaten!N$26,Bewertung_Stammdaten!M$26,IF(AP34&lt;Bewertung_Stammdaten!N$27,Bewertung_Stammdaten!M$27,IF(AP34&lt;Bewertung_Stammdaten!N$28,Bewertung_Stammdaten!M$28,IF(AP34&lt;Bewertung_Stammdaten!N$29,Bewertung_Stammdaten!M$29,IF(AP34&lt;Bewertung_Stammdaten!N$30,Bewertung_Stammdaten!M$30,IF(AP34&lt;Bewertung_Stammdaten!N$31,Bewertung_Stammdaten!M$31,IF(AP34&lt;Bewertung_Stammdaten!N$32,Bewertung_Stammdaten!M$32,Bewertung_Stammdaten!M$33)))))))))</f>
        <v>2.5</v>
      </c>
      <c r="AT34" s="49"/>
      <c r="AU34" s="13">
        <f ca="1">VLOOKUP(A34,Ausschüttungsquote!A3:S68,18,FALSE)</f>
        <v>0.3537376933895921</v>
      </c>
      <c r="AV34" s="13">
        <f>VLOOKUP(A34,Ausschüttungsquote!A3:S68,15,FALSE)</f>
        <v>0.25071205781229028</v>
      </c>
      <c r="AW34" s="13">
        <f ca="1">VLOOKUP(A34,Ausschüttungsquote!A3:S68,19,FALSE)</f>
        <v>0.4109321126247456</v>
      </c>
      <c r="AX34" s="36">
        <f ca="1">IF(AU34&lt;Bewertung_Stammdaten!H$11,Bewertung_Stammdaten!G$11,IF(AU34&lt;Bewertung_Stammdaten!H$12,Bewertung_Stammdaten!G$12,IF(AU34&lt;Bewertung_Stammdaten!H$13,Bewertung_Stammdaten!G$13,IF(AU34&lt;Bewertung_Stammdaten!H$14,Bewertung_Stammdaten!G$14,IF(AU34&lt;Bewertung_Stammdaten!H$15,Bewertung_Stammdaten!G$15,IF(AU34&lt;Bewertung_Stammdaten!H$16,Bewertung_Stammdaten!G$16,IF(AU34&lt;Bewertung_Stammdaten!H$17,Bewertung_Stammdaten!G$17,IF(AU34&lt;Bewertung_Stammdaten!H$18,Bewertung_Stammdaten!G$18,IF(AU34&lt;Bewertung_Stammdaten!H$19,Bewertung_Stammdaten!G$19,Bewertung_Stammdaten!G$20)))))))))</f>
        <v>5</v>
      </c>
      <c r="AY34" s="47">
        <f>IF(AV34&lt;Bewertung_Stammdaten!B$24,Bewertung_Stammdaten!A$24,IF(AV34&lt;Bewertung_Stammdaten!B$25,Bewertung_Stammdaten!A$25,IF(AV34&lt;Bewertung_Stammdaten!B$26,Bewertung_Stammdaten!A$26,IF(AV34&lt;Bewertung_Stammdaten!B$27,Bewertung_Stammdaten!A$27,IF(AV34&lt;Bewertung_Stammdaten!B$28,Bewertung_Stammdaten!A$28,IF(AV34&lt;Bewertung_Stammdaten!B$29,Bewertung_Stammdaten!A$29,IF(AV34&lt;Bewertung_Stammdaten!B$30,Bewertung_Stammdaten!A$30,IF(AV34&lt;Bewertung_Stammdaten!B$31,Bewertung_Stammdaten!A$31,IF(AV34&lt;Bewertung_Stammdaten!B$32,Bewertung_Stammdaten!A$32,Bewertung_Stammdaten!A$33)))))))))</f>
        <v>5</v>
      </c>
      <c r="AZ34" s="36">
        <f ca="1">IF(AW34&lt;Bewertung_Stammdaten!J$11,Bewertung_Stammdaten!I$11,IF(AW34&lt;Bewertung_Stammdaten!J$12,Bewertung_Stammdaten!I$12,IF(AW34&lt;Bewertung_Stammdaten!J$13,Bewertung_Stammdaten!I$13,IF(AW34&lt;Bewertung_Stammdaten!J$14,Bewertung_Stammdaten!I$14,IF(AW34&lt;Bewertung_Stammdaten!J$15,Bewertung_Stammdaten!I$15,IF(AW34&lt;Bewertung_Stammdaten!J$16,Bewertung_Stammdaten!I$16,IF(AW34&lt;Bewertung_Stammdaten!J$17,Bewertung_Stammdaten!I$17,IF(AW34&lt;Bewertung_Stammdaten!J$18,Bewertung_Stammdaten!I$18,IF(AW34&lt;Bewertung_Stammdaten!J$19,Bewertung_Stammdaten!I$19,Bewertung_Stammdaten!I$20)))))))))</f>
        <v>0.5</v>
      </c>
    </row>
    <row r="35" spans="1:52" x14ac:dyDescent="0.25">
      <c r="A35" s="44" t="s">
        <v>66</v>
      </c>
      <c r="B35" s="44" t="s">
        <v>67</v>
      </c>
      <c r="C35" s="36">
        <f t="shared" ref="C35:C67" ca="1" si="7">SUM(J35:K35,S35:U35,AC35:AE35,AJ35:AL35,AQ35:AS35,AX35:AZ35)</f>
        <v>81</v>
      </c>
      <c r="D35" s="49"/>
      <c r="E35" s="12">
        <f ca="1">VLOOKUP(A35,KGV!A3:S68,18,FALSE)</f>
        <v>15.973888888888888</v>
      </c>
      <c r="F35" s="12">
        <f>VLOOKUP(A35,KGV!A3:S68,15,FALSE)</f>
        <v>17.149999999999999</v>
      </c>
      <c r="G35" s="13">
        <f ca="1">VLOOKUP(A35,KGV!A3:S68,19,FALSE)</f>
        <v>-6.8577907353417511E-2</v>
      </c>
      <c r="H35" s="19">
        <f t="shared" ref="H35:H67" ca="1" si="8">IF(Z35&gt;0,E35,IF(E35/(1+Z35)&lt;0,99,E35/(1+Z35)))</f>
        <v>27.203058305830581</v>
      </c>
      <c r="I35" s="13">
        <f t="shared" ref="I35:I66" ca="1" si="9">(H35/F35)-1</f>
        <v>0.58618415777437805</v>
      </c>
      <c r="J35" s="36">
        <f ca="1">IF(G35&lt;Bewertung_Stammdaten!B$11,Bewertung_Stammdaten!A$11,IF(G35&lt;Bewertung_Stammdaten!B$12,Bewertung_Stammdaten!A$12,IF(G35&lt;Bewertung_Stammdaten!B$13,Bewertung_Stammdaten!A$13,IF(G35&lt;Bewertung_Stammdaten!B$14,Bewertung_Stammdaten!A$14,IF(G35&lt;Bewertung_Stammdaten!B$15,Bewertung_Stammdaten!A$15,IF(G35&lt;Bewertung_Stammdaten!B$16,Bewertung_Stammdaten!A$16,IF(G35&lt;Bewertung_Stammdaten!B$17,Bewertung_Stammdaten!A$17,IF(G35&lt;Bewertung_Stammdaten!B$18,Bewertung_Stammdaten!A$18,IF(G35&lt;Bewertung_Stammdaten!B$19,Bewertung_Stammdaten!A$19,Bewertung_Stammdaten!A$20)))))))))</f>
        <v>14</v>
      </c>
      <c r="K35" s="36">
        <f ca="1">IF(I35&lt;Bewertung_Stammdaten!N$11,Bewertung_Stammdaten!M$11,IF(I35&lt;Bewertung_Stammdaten!N$12,Bewertung_Stammdaten!M$12,IF(I35&lt;Bewertung_Stammdaten!N$13,Bewertung_Stammdaten!M$13,IF(I35&lt;Bewertung_Stammdaten!N$14,Bewertung_Stammdaten!M$14,IF(I35&lt;Bewertung_Stammdaten!N$15,Bewertung_Stammdaten!M$15,IF(I35&lt;Bewertung_Stammdaten!N$16,Bewertung_Stammdaten!M$16,IF(I35&lt;Bewertung_Stammdaten!N$17,Bewertung_Stammdaten!M$17,IF(I35&lt;Bewertung_Stammdaten!N$18,Bewertung_Stammdaten!M$18,IF(I35&lt;Bewertung_Stammdaten!N$19,Bewertung_Stammdaten!M$19,Bewertung_Stammdaten!M$20)))))))))</f>
        <v>1</v>
      </c>
      <c r="L35" s="49"/>
      <c r="M35" s="12">
        <f ca="1">VLOOKUP(A35,Buchwert_je_Aktie!A3:AC68,18,FALSE)</f>
        <v>12.902777777777779</v>
      </c>
      <c r="N35" s="12">
        <f>VLOOKUP(A35,Buchwert_je_Aktie!A3:AC68,15,FALSE)</f>
        <v>11.129000000000001</v>
      </c>
      <c r="O35" s="13">
        <f ca="1">VLOOKUP(A35,Buchwert_je_Aktie!A3:AC68,19,FALSE)</f>
        <v>0.1593833927376922</v>
      </c>
      <c r="P35" s="13">
        <f>VLOOKUP(A35,Buchwert_je_Aktie!A3:AC68,29,FALSE)</f>
        <v>-0.1417458945548834</v>
      </c>
      <c r="Q35" s="19">
        <f t="shared" ca="1" si="6"/>
        <v>11.073861999423796</v>
      </c>
      <c r="R35" s="13">
        <f t="shared" ca="1" si="3"/>
        <v>-4.9544433979876734E-3</v>
      </c>
      <c r="S35" s="58">
        <f ca="1">IF(O35&lt;Bewertung_Stammdaten!D$24,Bewertung_Stammdaten!C$24,IF(O35&lt;Bewertung_Stammdaten!D$25,Bewertung_Stammdaten!C$25,IF(O35&lt;Bewertung_Stammdaten!D$26,Bewertung_Stammdaten!C$26,IF(O35&lt;Bewertung_Stammdaten!D$27,Bewertung_Stammdaten!C$27,IF(O35&lt;Bewertung_Stammdaten!D$28,Bewertung_Stammdaten!C$28,IF(O35&lt;Bewertung_Stammdaten!D$29,Bewertung_Stammdaten!C$29,IF(O35&lt;Bewertung_Stammdaten!D$30,Bewertung_Stammdaten!C$30,IF(O35&lt;Bewertung_Stammdaten!D$31,Bewertung_Stammdaten!C$31,IF(O35&lt;Bewertung_Stammdaten!D$32,Bewertung_Stammdaten!C$32,Bewertung_Stammdaten!C$33)))))))))</f>
        <v>6</v>
      </c>
      <c r="T35" s="58">
        <f>IF(P35&lt;Bewertung_Stammdaten!F$24,Bewertung_Stammdaten!E$24,IF(P35&lt;Bewertung_Stammdaten!F$25,Bewertung_Stammdaten!E$25,IF(P35&lt;Bewertung_Stammdaten!F$26,Bewertung_Stammdaten!E$26,IF(P35&lt;Bewertung_Stammdaten!F$27,Bewertung_Stammdaten!E$27,IF(P35&lt;Bewertung_Stammdaten!F$28,Bewertung_Stammdaten!E$28,IF(P35&lt;Bewertung_Stammdaten!F$29,Bewertung_Stammdaten!E$29,IF(P35&lt;Bewertung_Stammdaten!F$30,Bewertung_Stammdaten!E$30,IF(P35&lt;Bewertung_Stammdaten!F$31,Bewertung_Stammdaten!E$31,IF(P35&lt;Bewertung_Stammdaten!F$32,Bewertung_Stammdaten!E$32,Bewertung_Stammdaten!E$33)))))))))</f>
        <v>7.5</v>
      </c>
      <c r="U35" s="58">
        <f ca="1">IF(R35&lt;Bewertung_Stammdaten!H$24,Bewertung_Stammdaten!G$24,IF(R35&lt;Bewertung_Stammdaten!H$25,Bewertung_Stammdaten!G$25,IF(R35&lt;Bewertung_Stammdaten!H$26,Bewertung_Stammdaten!G$26,IF(R35&lt;Bewertung_Stammdaten!H$27,Bewertung_Stammdaten!G$27,IF(R35&lt;Bewertung_Stammdaten!H$28,Bewertung_Stammdaten!G$28,IF(R35&lt;Bewertung_Stammdaten!H$29,Bewertung_Stammdaten!G$29,IF(R35&lt;Bewertung_Stammdaten!H$30,Bewertung_Stammdaten!G$30,IF(R35&lt;Bewertung_Stammdaten!H$31,Bewertung_Stammdaten!G$31,IF(R35&lt;Bewertung_Stammdaten!H$32,Bewertung_Stammdaten!G$32,Bewertung_Stammdaten!G$33)))))))))</f>
        <v>1</v>
      </c>
      <c r="V35" s="49"/>
      <c r="W35" s="17">
        <f ca="1">VLOOKUP(A35,Ergebnis_je_Aktie_verwässert!A3:S68,18,FALSE)</f>
        <v>1.6686388888888888</v>
      </c>
      <c r="X35" s="17">
        <f>VLOOKUP(A35,Ergebnis_je_Aktie_verwässert!A3:S68,15,FALSE)</f>
        <v>1.488</v>
      </c>
      <c r="Y35" s="13">
        <f ca="1">VLOOKUP(A35,Ergebnis_je_Aktie_verwässert!A3:S68,19,FALSE)</f>
        <v>0.12139710274790905</v>
      </c>
      <c r="Z35" s="46">
        <f>VLOOKUP(A35,Ergebnis_je_Aktie_verwässert!A3:AC68,29,FALSE)</f>
        <v>-0.41279069767441856</v>
      </c>
      <c r="AA35" s="19">
        <f t="shared" ref="AA35:AA66" ca="1" si="10">IF(Z35&gt;0,W35,W35*(1+Z35))</f>
        <v>0.97984027777777782</v>
      </c>
      <c r="AB35" s="13">
        <f t="shared" ref="AB35:AB66" ca="1" si="11">IF(X35&gt;0,(AA35/X35)-1,-99.99999)</f>
        <v>-0.34150518966547194</v>
      </c>
      <c r="AC35" s="36">
        <f ca="1">IF(Y35&lt;Bewertung_Stammdaten!L$11,Bewertung_Stammdaten!K$11,IF(Y35&lt;Bewertung_Stammdaten!L$12,Bewertung_Stammdaten!K$12,IF(Y35&lt;Bewertung_Stammdaten!L$13,Bewertung_Stammdaten!K$13,IF(Y35&lt;Bewertung_Stammdaten!L$14,Bewertung_Stammdaten!K$14,IF(Y35&lt;Bewertung_Stammdaten!L$15,Bewertung_Stammdaten!K$15,IF(Y35&lt;Bewertung_Stammdaten!L$16,Bewertung_Stammdaten!K$16,IF(Y35&lt;Bewertung_Stammdaten!L$17,Bewertung_Stammdaten!K$17,IF(Y35&lt;Bewertung_Stammdaten!L$18,Bewertung_Stammdaten!K$18,IF(Y35&lt;Bewertung_Stammdaten!L$19,Bewertung_Stammdaten!K$19,Bewertung_Stammdaten!K$20)))))))))</f>
        <v>6</v>
      </c>
      <c r="AD35" s="36">
        <f>IF(Z35&lt;Bewertung_Stammdaten!R$11,Bewertung_Stammdaten!Q$11,IF(Z35&lt;Bewertung_Stammdaten!R$12,Bewertung_Stammdaten!Q$12,IF(Z35&lt;Bewertung_Stammdaten!R$13,Bewertung_Stammdaten!Q$13,IF(Z35&lt;Bewertung_Stammdaten!R$14,Bewertung_Stammdaten!Q$14,IF(Z35&lt;Bewertung_Stammdaten!R$15,Bewertung_Stammdaten!Q$15,IF(Z35&lt;Bewertung_Stammdaten!R$16,Bewertung_Stammdaten!Q$16,IF(Z35&lt;Bewertung_Stammdaten!R$17,Bewertung_Stammdaten!Q$17,IF(Z35&lt;Bewertung_Stammdaten!R$18,Bewertung_Stammdaten!Q$18,IF(Z35&lt;Bewertung_Stammdaten!R$19,Bewertung_Stammdaten!Q$19,Bewertung_Stammdaten!Q$20)))))))))</f>
        <v>3</v>
      </c>
      <c r="AE35" s="36">
        <f ca="1">IF(AB35&lt;Bewertung_Stammdaten!P$11,Bewertung_Stammdaten!O$11,IF(AB35&lt;Bewertung_Stammdaten!P$12,Bewertung_Stammdaten!O$12,IF(AB35&lt;Bewertung_Stammdaten!P$13,Bewertung_Stammdaten!O$13,IF(AB35&lt;Bewertung_Stammdaten!P$14,Bewertung_Stammdaten!O$14,IF(AB35&lt;Bewertung_Stammdaten!P$15,Bewertung_Stammdaten!O$15,IF(AB35&lt;Bewertung_Stammdaten!P$16,Bewertung_Stammdaten!O$16,IF(AB35&lt;Bewertung_Stammdaten!P$17,Bewertung_Stammdaten!O$17,IF(AB35&lt;Bewertung_Stammdaten!P$18,Bewertung_Stammdaten!O$18,IF(AB35&lt;Bewertung_Stammdaten!P$19,Bewertung_Stammdaten!O$19,Bewertung_Stammdaten!O$20)))))))))</f>
        <v>1</v>
      </c>
      <c r="AF35" s="49"/>
      <c r="AG35" s="13">
        <f ca="1">VLOOKUP(A35,Dividendenrendite!A3:S68,18,FALSE)</f>
        <v>3.3057500000000004E-2</v>
      </c>
      <c r="AH35" s="13">
        <f>VLOOKUP(A35,Dividendenrendite!A3:S68,15,FALSE)</f>
        <v>3.4479999999999997E-2</v>
      </c>
      <c r="AI35" s="13">
        <f ca="1">VLOOKUP(A35,Dividendenrendite!A3:S68,19,FALSE)</f>
        <v>-4.1255800464036985E-2</v>
      </c>
      <c r="AJ35" s="36">
        <f ca="1">IF(AG35&lt;Bewertung_Stammdaten!D$11,Bewertung_Stammdaten!C$11,IF(AG35&lt;Bewertung_Stammdaten!D$12,Bewertung_Stammdaten!C$12,IF(AG35&lt;Bewertung_Stammdaten!D$13,Bewertung_Stammdaten!C$13,IF(AG35&lt;Bewertung_Stammdaten!D$14,Bewertung_Stammdaten!C$14,IF(AG35&lt;Bewertung_Stammdaten!D$15,Bewertung_Stammdaten!C$15,IF(AG35&lt;Bewertung_Stammdaten!D$16,Bewertung_Stammdaten!C$16,IF(AG35&lt;Bewertung_Stammdaten!D$17,Bewertung_Stammdaten!C$17,IF(AG35&lt;Bewertung_Stammdaten!D$18,Bewertung_Stammdaten!C$18,IF(AG35&lt;Bewertung_Stammdaten!D$19,Bewertung_Stammdaten!C$19,Bewertung_Stammdaten!C$20)))))))))</f>
        <v>10.5</v>
      </c>
      <c r="AK35" s="36">
        <f>IF(AH35&lt;Bewertung_Stammdaten!T$11,Bewertung_Stammdaten!S$11,IF(AH35&lt;Bewertung_Stammdaten!T$12,Bewertung_Stammdaten!S$12,IF(AH35&lt;Bewertung_Stammdaten!T$13,Bewertung_Stammdaten!S$13,IF(AH35&lt;Bewertung_Stammdaten!T$14,Bewertung_Stammdaten!S$14,IF(AH35&lt;Bewertung_Stammdaten!T$15,Bewertung_Stammdaten!S$15,IF(AH35&lt;Bewertung_Stammdaten!T$16,Bewertung_Stammdaten!S$16,IF(AH35&lt;Bewertung_Stammdaten!T$17,Bewertung_Stammdaten!S$17,IF(AH35&lt;Bewertung_Stammdaten!T$18,Bewertung_Stammdaten!S$18,IF(AH35&lt;Bewertung_Stammdaten!T$19,Bewertung_Stammdaten!S$19,Bewertung_Stammdaten!S$20)))))))))</f>
        <v>7</v>
      </c>
      <c r="AL35" s="36">
        <f ca="1">IF(AI35&lt;Bewertung_Stammdaten!F$11,Bewertung_Stammdaten!E$11,IF(AI35&lt;Bewertung_Stammdaten!F$12,Bewertung_Stammdaten!E$12,IF(AI35&lt;Bewertung_Stammdaten!F$13,Bewertung_Stammdaten!E$13,IF(AI35&lt;Bewertung_Stammdaten!F$14,Bewertung_Stammdaten!E$14,IF(AI35&lt;Bewertung_Stammdaten!F$15,Bewertung_Stammdaten!E$15,IF(AI35&lt;Bewertung_Stammdaten!F$16,Bewertung_Stammdaten!E$16,IF(AI35&lt;Bewertung_Stammdaten!F$17,Bewertung_Stammdaten!E$17,IF(AI35&lt;Bewertung_Stammdaten!F$18,Bewertung_Stammdaten!E$18,IF(AI35&lt;Bewertung_Stammdaten!F$19,Bewertung_Stammdaten!E$19,Bewertung_Stammdaten!E$20)))))))))</f>
        <v>2.5</v>
      </c>
      <c r="AM35" s="49"/>
      <c r="AN35" s="13">
        <f>VLOOKUP(A35,Aktien_im_Umlauf_splitbereinigt!A3:W68,13,FALSE)</f>
        <v>-3.3153949644435854E-2</v>
      </c>
      <c r="AO35" s="13">
        <f>VLOOKUP(A35,Aktien_im_Umlauf_splitbereinigt!A3:W68,22,FALSE)</f>
        <v>-5.331564052070371E-3</v>
      </c>
      <c r="AP35" s="13">
        <f>VLOOKUP(A35,Aktien_im_Umlauf_splitbereinigt!A3:W68,23,FALSE)</f>
        <v>5.2184284612620191</v>
      </c>
      <c r="AQ35" s="47">
        <f>IF(AN35&lt;Bewertung_Stammdaten!J$24,Bewertung_Stammdaten!I$24,IF(AN35&lt;Bewertung_Stammdaten!J$25,Bewertung_Stammdaten!I$25,IF(AN35&lt;Bewertung_Stammdaten!J$26,Bewertung_Stammdaten!I$26,IF(AN35&lt;Bewertung_Stammdaten!J$27,Bewertung_Stammdaten!I$27,IF(AN35&lt;Bewertung_Stammdaten!J$28,Bewertung_Stammdaten!I$28,IF(AN35&lt;Bewertung_Stammdaten!J$29,Bewertung_Stammdaten!I$29,IF(AN35&lt;Bewertung_Stammdaten!J$30,Bewertung_Stammdaten!I$30,IF(AN35&lt;Bewertung_Stammdaten!J$31,Bewertung_Stammdaten!I$31,IF(AN35&lt;Bewertung_Stammdaten!J$32,Bewertung_Stammdaten!I$32,Bewertung_Stammdaten!I$33)))))))))</f>
        <v>4.5</v>
      </c>
      <c r="AR35" s="47">
        <f>IF(AO35&lt;Bewertung_Stammdaten!L$24,Bewertung_Stammdaten!K$24,IF(AO35&lt;Bewertung_Stammdaten!L$25,Bewertung_Stammdaten!K$25,IF(AO35&lt;Bewertung_Stammdaten!L$26,Bewertung_Stammdaten!K$26,IF(AO35&lt;Bewertung_Stammdaten!L$27,Bewertung_Stammdaten!K$27,IF(AO35&lt;Bewertung_Stammdaten!L$28,Bewertung_Stammdaten!K$28,IF(AO35&lt;Bewertung_Stammdaten!L$29,Bewertung_Stammdaten!K$29,IF(AO35&lt;Bewertung_Stammdaten!L$30,Bewertung_Stammdaten!K$30,IF(AO35&lt;Bewertung_Stammdaten!L$31,Bewertung_Stammdaten!K$31,IF(AO35&lt;Bewertung_Stammdaten!L$32,Bewertung_Stammdaten!K$32,Bewertung_Stammdaten!K$33)))))))))</f>
        <v>2</v>
      </c>
      <c r="AS35" s="47">
        <f>IF(AP35&lt;Bewertung_Stammdaten!N$24,Bewertung_Stammdaten!M$24,IF(AP35&lt;Bewertung_Stammdaten!N$25,Bewertung_Stammdaten!M$25,IF(AP35&lt;Bewertung_Stammdaten!N$26,Bewertung_Stammdaten!M$26,IF(AP35&lt;Bewertung_Stammdaten!N$27,Bewertung_Stammdaten!M$27,IF(AP35&lt;Bewertung_Stammdaten!N$28,Bewertung_Stammdaten!M$28,IF(AP35&lt;Bewertung_Stammdaten!N$29,Bewertung_Stammdaten!M$29,IF(AP35&lt;Bewertung_Stammdaten!N$30,Bewertung_Stammdaten!M$30,IF(AP35&lt;Bewertung_Stammdaten!N$31,Bewertung_Stammdaten!M$31,IF(AP35&lt;Bewertung_Stammdaten!N$32,Bewertung_Stammdaten!M$32,Bewertung_Stammdaten!M$33)))))))))</f>
        <v>5</v>
      </c>
      <c r="AT35" s="49"/>
      <c r="AU35" s="13">
        <f ca="1">VLOOKUP(A35,Ausschüttungsquote!A3:S68,18,FALSE)</f>
        <v>0.52560304845844064</v>
      </c>
      <c r="AV35" s="13">
        <f>VLOOKUP(A35,Ausschüttungsquote!A3:S68,15,FALSE)</f>
        <v>0.55710570335075305</v>
      </c>
      <c r="AW35" s="13">
        <f ca="1">VLOOKUP(A35,Ausschüttungsquote!A3:S68,19,FALSE)</f>
        <v>-5.6546997639473795E-2</v>
      </c>
      <c r="AX35" s="36">
        <f ca="1">IF(AU35&lt;Bewertung_Stammdaten!H$11,Bewertung_Stammdaten!G$11,IF(AU35&lt;Bewertung_Stammdaten!H$12,Bewertung_Stammdaten!G$12,IF(AU35&lt;Bewertung_Stammdaten!H$13,Bewertung_Stammdaten!G$13,IF(AU35&lt;Bewertung_Stammdaten!H$14,Bewertung_Stammdaten!G$14,IF(AU35&lt;Bewertung_Stammdaten!H$15,Bewertung_Stammdaten!G$15,IF(AU35&lt;Bewertung_Stammdaten!H$16,Bewertung_Stammdaten!G$16,IF(AU35&lt;Bewertung_Stammdaten!H$17,Bewertung_Stammdaten!G$17,IF(AU35&lt;Bewertung_Stammdaten!H$18,Bewertung_Stammdaten!G$18,IF(AU35&lt;Bewertung_Stammdaten!H$19,Bewertung_Stammdaten!G$19,Bewertung_Stammdaten!G$20)))))))))</f>
        <v>3.5</v>
      </c>
      <c r="AY35" s="47">
        <f>IF(AV35&lt;Bewertung_Stammdaten!B$24,Bewertung_Stammdaten!A$24,IF(AV35&lt;Bewertung_Stammdaten!B$25,Bewertung_Stammdaten!A$25,IF(AV35&lt;Bewertung_Stammdaten!B$26,Bewertung_Stammdaten!A$26,IF(AV35&lt;Bewertung_Stammdaten!B$27,Bewertung_Stammdaten!A$27,IF(AV35&lt;Bewertung_Stammdaten!B$28,Bewertung_Stammdaten!A$28,IF(AV35&lt;Bewertung_Stammdaten!B$29,Bewertung_Stammdaten!A$29,IF(AV35&lt;Bewertung_Stammdaten!B$30,Bewertung_Stammdaten!A$30,IF(AV35&lt;Bewertung_Stammdaten!B$31,Bewertung_Stammdaten!A$31,IF(AV35&lt;Bewertung_Stammdaten!B$32,Bewertung_Stammdaten!A$32,Bewertung_Stammdaten!A$33)))))))))</f>
        <v>3</v>
      </c>
      <c r="AZ35" s="36">
        <f ca="1">IF(AW35&lt;Bewertung_Stammdaten!J$11,Bewertung_Stammdaten!I$11,IF(AW35&lt;Bewertung_Stammdaten!J$12,Bewertung_Stammdaten!I$12,IF(AW35&lt;Bewertung_Stammdaten!J$13,Bewertung_Stammdaten!I$13,IF(AW35&lt;Bewertung_Stammdaten!J$14,Bewertung_Stammdaten!I$14,IF(AW35&lt;Bewertung_Stammdaten!J$15,Bewertung_Stammdaten!I$15,IF(AW35&lt;Bewertung_Stammdaten!J$16,Bewertung_Stammdaten!I$16,IF(AW35&lt;Bewertung_Stammdaten!J$17,Bewertung_Stammdaten!I$17,IF(AW35&lt;Bewertung_Stammdaten!J$18,Bewertung_Stammdaten!I$18,IF(AW35&lt;Bewertung_Stammdaten!J$19,Bewertung_Stammdaten!I$19,Bewertung_Stammdaten!I$20)))))))))</f>
        <v>3.5</v>
      </c>
    </row>
    <row r="36" spans="1:52" x14ac:dyDescent="0.25">
      <c r="A36" s="44" t="s">
        <v>68</v>
      </c>
      <c r="B36" s="44" t="s">
        <v>69</v>
      </c>
      <c r="C36" s="36">
        <f t="shared" ca="1" si="7"/>
        <v>81.5</v>
      </c>
      <c r="D36" s="49"/>
      <c r="E36" s="12">
        <f ca="1">VLOOKUP(A36,KGV!A3:S68,18,FALSE)</f>
        <v>10.358888888888888</v>
      </c>
      <c r="F36" s="12">
        <f>VLOOKUP(A36,KGV!A3:S68,15,FALSE)</f>
        <v>10.9</v>
      </c>
      <c r="G36" s="13">
        <f ca="1">VLOOKUP(A36,KGV!A3:S68,19,FALSE)</f>
        <v>-4.964322120285436E-2</v>
      </c>
      <c r="H36" s="19">
        <f t="shared" ca="1" si="8"/>
        <v>57.309915485955734</v>
      </c>
      <c r="I36" s="13">
        <f t="shared" ca="1" si="9"/>
        <v>4.2577904115555718</v>
      </c>
      <c r="J36" s="36">
        <f ca="1">IF(G36&lt;Bewertung_Stammdaten!B$11,Bewertung_Stammdaten!A$11,IF(G36&lt;Bewertung_Stammdaten!B$12,Bewertung_Stammdaten!A$12,IF(G36&lt;Bewertung_Stammdaten!B$13,Bewertung_Stammdaten!A$13,IF(G36&lt;Bewertung_Stammdaten!B$14,Bewertung_Stammdaten!A$14,IF(G36&lt;Bewertung_Stammdaten!B$15,Bewertung_Stammdaten!A$15,IF(G36&lt;Bewertung_Stammdaten!B$16,Bewertung_Stammdaten!A$16,IF(G36&lt;Bewertung_Stammdaten!B$17,Bewertung_Stammdaten!A$17,IF(G36&lt;Bewertung_Stammdaten!B$18,Bewertung_Stammdaten!A$18,IF(G36&lt;Bewertung_Stammdaten!B$19,Bewertung_Stammdaten!A$19,Bewertung_Stammdaten!A$20)))))))))</f>
        <v>12</v>
      </c>
      <c r="K36" s="36">
        <f ca="1">IF(I36&lt;Bewertung_Stammdaten!N$11,Bewertung_Stammdaten!M$11,IF(I36&lt;Bewertung_Stammdaten!N$12,Bewertung_Stammdaten!M$12,IF(I36&lt;Bewertung_Stammdaten!N$13,Bewertung_Stammdaten!M$13,IF(I36&lt;Bewertung_Stammdaten!N$14,Bewertung_Stammdaten!M$14,IF(I36&lt;Bewertung_Stammdaten!N$15,Bewertung_Stammdaten!M$15,IF(I36&lt;Bewertung_Stammdaten!N$16,Bewertung_Stammdaten!M$16,IF(I36&lt;Bewertung_Stammdaten!N$17,Bewertung_Stammdaten!M$17,IF(I36&lt;Bewertung_Stammdaten!N$18,Bewertung_Stammdaten!M$18,IF(I36&lt;Bewertung_Stammdaten!N$19,Bewertung_Stammdaten!M$19,Bewertung_Stammdaten!M$20)))))))))</f>
        <v>1</v>
      </c>
      <c r="L36" s="49"/>
      <c r="M36" s="12">
        <f ca="1">VLOOKUP(A36,Buchwert_je_Aktie!A3:AC68,18,FALSE)</f>
        <v>170.02777777777777</v>
      </c>
      <c r="N36" s="12">
        <f>VLOOKUP(A36,Buchwert_je_Aktie!A3:AC68,15,FALSE)</f>
        <v>122.84700000000001</v>
      </c>
      <c r="O36" s="13">
        <f ca="1">VLOOKUP(A36,Buchwert_je_Aktie!A3:AC68,19,FALSE)</f>
        <v>0.38406129394920319</v>
      </c>
      <c r="P36" s="13">
        <f>VLOOKUP(A36,Buchwert_je_Aktie!A3:AC68,29,FALSE)</f>
        <v>-5.6300268096514783E-2</v>
      </c>
      <c r="Q36" s="19">
        <f t="shared" ca="1" si="6"/>
        <v>160.45516830503425</v>
      </c>
      <c r="R36" s="13">
        <f t="shared" ca="1" si="3"/>
        <v>0.30613827203785382</v>
      </c>
      <c r="S36" s="58">
        <f ca="1">IF(O36&lt;Bewertung_Stammdaten!D$24,Bewertung_Stammdaten!C$24,IF(O36&lt;Bewertung_Stammdaten!D$25,Bewertung_Stammdaten!C$25,IF(O36&lt;Bewertung_Stammdaten!D$26,Bewertung_Stammdaten!C$26,IF(O36&lt;Bewertung_Stammdaten!D$27,Bewertung_Stammdaten!C$27,IF(O36&lt;Bewertung_Stammdaten!D$28,Bewertung_Stammdaten!C$28,IF(O36&lt;Bewertung_Stammdaten!D$29,Bewertung_Stammdaten!C$29,IF(O36&lt;Bewertung_Stammdaten!D$30,Bewertung_Stammdaten!C$30,IF(O36&lt;Bewertung_Stammdaten!D$31,Bewertung_Stammdaten!C$31,IF(O36&lt;Bewertung_Stammdaten!D$32,Bewertung_Stammdaten!C$32,Bewertung_Stammdaten!C$33)))))))))</f>
        <v>10</v>
      </c>
      <c r="T36" s="58">
        <f>IF(P36&lt;Bewertung_Stammdaten!F$24,Bewertung_Stammdaten!E$24,IF(P36&lt;Bewertung_Stammdaten!F$25,Bewertung_Stammdaten!E$25,IF(P36&lt;Bewertung_Stammdaten!F$26,Bewertung_Stammdaten!E$26,IF(P36&lt;Bewertung_Stammdaten!F$27,Bewertung_Stammdaten!E$27,IF(P36&lt;Bewertung_Stammdaten!F$28,Bewertung_Stammdaten!E$28,IF(P36&lt;Bewertung_Stammdaten!F$29,Bewertung_Stammdaten!E$29,IF(P36&lt;Bewertung_Stammdaten!F$30,Bewertung_Stammdaten!E$30,IF(P36&lt;Bewertung_Stammdaten!F$31,Bewertung_Stammdaten!E$31,IF(P36&lt;Bewertung_Stammdaten!F$32,Bewertung_Stammdaten!E$32,Bewertung_Stammdaten!E$33)))))))))</f>
        <v>9</v>
      </c>
      <c r="U36" s="58">
        <f ca="1">IF(R36&lt;Bewertung_Stammdaten!H$24,Bewertung_Stammdaten!G$24,IF(R36&lt;Bewertung_Stammdaten!H$25,Bewertung_Stammdaten!G$25,IF(R36&lt;Bewertung_Stammdaten!H$26,Bewertung_Stammdaten!G$26,IF(R36&lt;Bewertung_Stammdaten!H$27,Bewertung_Stammdaten!G$27,IF(R36&lt;Bewertung_Stammdaten!H$28,Bewertung_Stammdaten!G$28,IF(R36&lt;Bewertung_Stammdaten!H$29,Bewertung_Stammdaten!G$29,IF(R36&lt;Bewertung_Stammdaten!H$30,Bewertung_Stammdaten!G$30,IF(R36&lt;Bewertung_Stammdaten!H$31,Bewertung_Stammdaten!G$31,IF(R36&lt;Bewertung_Stammdaten!H$32,Bewertung_Stammdaten!G$32,Bewertung_Stammdaten!G$33)))))))))</f>
        <v>5</v>
      </c>
      <c r="V36" s="49"/>
      <c r="W36" s="17">
        <f ca="1">VLOOKUP(A36,Ergebnis_je_Aktie_verwässert!A3:S68,18,FALSE)</f>
        <v>16.521944444444443</v>
      </c>
      <c r="X36" s="17">
        <f>VLOOKUP(A36,Ergebnis_je_Aktie_verwässert!A3:S68,15,FALSE)</f>
        <v>13.842999999999998</v>
      </c>
      <c r="Y36" s="13">
        <f ca="1">VLOOKUP(A36,Ergebnis_je_Aktie_verwässert!A3:S68,19,FALSE)</f>
        <v>0.19352340131795454</v>
      </c>
      <c r="Z36" s="46">
        <f>VLOOKUP(A36,Ergebnis_je_Aktie_verwässert!A3:AC68,29,FALSE)</f>
        <v>-0.81924787707238167</v>
      </c>
      <c r="AA36" s="19">
        <f t="shared" ca="1" si="10"/>
        <v>2.9863765332255028</v>
      </c>
      <c r="AB36" s="13">
        <f t="shared" ca="1" si="11"/>
        <v>-0.78426811144798791</v>
      </c>
      <c r="AC36" s="36">
        <f ca="1">IF(Y36&lt;Bewertung_Stammdaten!L$11,Bewertung_Stammdaten!K$11,IF(Y36&lt;Bewertung_Stammdaten!L$12,Bewertung_Stammdaten!K$12,IF(Y36&lt;Bewertung_Stammdaten!L$13,Bewertung_Stammdaten!K$13,IF(Y36&lt;Bewertung_Stammdaten!L$14,Bewertung_Stammdaten!K$14,IF(Y36&lt;Bewertung_Stammdaten!L$15,Bewertung_Stammdaten!K$15,IF(Y36&lt;Bewertung_Stammdaten!L$16,Bewertung_Stammdaten!K$16,IF(Y36&lt;Bewertung_Stammdaten!L$17,Bewertung_Stammdaten!K$17,IF(Y36&lt;Bewertung_Stammdaten!L$18,Bewertung_Stammdaten!K$18,IF(Y36&lt;Bewertung_Stammdaten!L$19,Bewertung_Stammdaten!K$19,Bewertung_Stammdaten!K$20)))))))))</f>
        <v>6</v>
      </c>
      <c r="AD36" s="36">
        <f>IF(Z36&lt;Bewertung_Stammdaten!R$11,Bewertung_Stammdaten!Q$11,IF(Z36&lt;Bewertung_Stammdaten!R$12,Bewertung_Stammdaten!Q$12,IF(Z36&lt;Bewertung_Stammdaten!R$13,Bewertung_Stammdaten!Q$13,IF(Z36&lt;Bewertung_Stammdaten!R$14,Bewertung_Stammdaten!Q$14,IF(Z36&lt;Bewertung_Stammdaten!R$15,Bewertung_Stammdaten!Q$15,IF(Z36&lt;Bewertung_Stammdaten!R$16,Bewertung_Stammdaten!Q$16,IF(Z36&lt;Bewertung_Stammdaten!R$17,Bewertung_Stammdaten!Q$17,IF(Z36&lt;Bewertung_Stammdaten!R$18,Bewertung_Stammdaten!Q$18,IF(Z36&lt;Bewertung_Stammdaten!R$19,Bewertung_Stammdaten!Q$19,Bewertung_Stammdaten!Q$20)))))))))</f>
        <v>1</v>
      </c>
      <c r="AE36" s="36">
        <f ca="1">IF(AB36&lt;Bewertung_Stammdaten!P$11,Bewertung_Stammdaten!O$11,IF(AB36&lt;Bewertung_Stammdaten!P$12,Bewertung_Stammdaten!O$12,IF(AB36&lt;Bewertung_Stammdaten!P$13,Bewertung_Stammdaten!O$13,IF(AB36&lt;Bewertung_Stammdaten!P$14,Bewertung_Stammdaten!O$14,IF(AB36&lt;Bewertung_Stammdaten!P$15,Bewertung_Stammdaten!O$15,IF(AB36&lt;Bewertung_Stammdaten!P$16,Bewertung_Stammdaten!O$16,IF(AB36&lt;Bewertung_Stammdaten!P$17,Bewertung_Stammdaten!O$17,IF(AB36&lt;Bewertung_Stammdaten!P$18,Bewertung_Stammdaten!O$18,IF(AB36&lt;Bewertung_Stammdaten!P$19,Bewertung_Stammdaten!O$19,Bewertung_Stammdaten!O$20)))))))))</f>
        <v>1</v>
      </c>
      <c r="AF36" s="49"/>
      <c r="AG36" s="13">
        <f ca="1">VLOOKUP(A36,Dividendenrendite!A3:S68,18,FALSE)</f>
        <v>1.3582222222222221E-2</v>
      </c>
      <c r="AH36" s="13">
        <f>VLOOKUP(A36,Dividendenrendite!A3:S68,15,FALSE)</f>
        <v>1.0339999999999998E-2</v>
      </c>
      <c r="AI36" s="13">
        <f ca="1">VLOOKUP(A36,Dividendenrendite!A3:S68,19,FALSE)</f>
        <v>0.31356114334837759</v>
      </c>
      <c r="AJ36" s="36">
        <f ca="1">IF(AG36&lt;Bewertung_Stammdaten!D$11,Bewertung_Stammdaten!C$11,IF(AG36&lt;Bewertung_Stammdaten!D$12,Bewertung_Stammdaten!C$12,IF(AG36&lt;Bewertung_Stammdaten!D$13,Bewertung_Stammdaten!C$13,IF(AG36&lt;Bewertung_Stammdaten!D$14,Bewertung_Stammdaten!C$14,IF(AG36&lt;Bewertung_Stammdaten!D$15,Bewertung_Stammdaten!C$15,IF(AG36&lt;Bewertung_Stammdaten!D$16,Bewertung_Stammdaten!C$16,IF(AG36&lt;Bewertung_Stammdaten!D$17,Bewertung_Stammdaten!C$17,IF(AG36&lt;Bewertung_Stammdaten!D$18,Bewertung_Stammdaten!C$18,IF(AG36&lt;Bewertung_Stammdaten!D$19,Bewertung_Stammdaten!C$19,Bewertung_Stammdaten!C$20)))))))))</f>
        <v>4.5</v>
      </c>
      <c r="AK36" s="36">
        <f>IF(AH36&lt;Bewertung_Stammdaten!T$11,Bewertung_Stammdaten!S$11,IF(AH36&lt;Bewertung_Stammdaten!T$12,Bewertung_Stammdaten!S$12,IF(AH36&lt;Bewertung_Stammdaten!T$13,Bewertung_Stammdaten!S$13,IF(AH36&lt;Bewertung_Stammdaten!T$14,Bewertung_Stammdaten!S$14,IF(AH36&lt;Bewertung_Stammdaten!T$15,Bewertung_Stammdaten!S$15,IF(AH36&lt;Bewertung_Stammdaten!T$16,Bewertung_Stammdaten!S$16,IF(AH36&lt;Bewertung_Stammdaten!T$17,Bewertung_Stammdaten!S$17,IF(AH36&lt;Bewertung_Stammdaten!T$18,Bewertung_Stammdaten!S$18,IF(AH36&lt;Bewertung_Stammdaten!T$19,Bewertung_Stammdaten!S$19,Bewertung_Stammdaten!S$20)))))))))</f>
        <v>3</v>
      </c>
      <c r="AL36" s="36">
        <f ca="1">IF(AI36&lt;Bewertung_Stammdaten!F$11,Bewertung_Stammdaten!E$11,IF(AI36&lt;Bewertung_Stammdaten!F$12,Bewertung_Stammdaten!E$12,IF(AI36&lt;Bewertung_Stammdaten!F$13,Bewertung_Stammdaten!E$13,IF(AI36&lt;Bewertung_Stammdaten!F$14,Bewertung_Stammdaten!E$14,IF(AI36&lt;Bewertung_Stammdaten!F$15,Bewertung_Stammdaten!E$15,IF(AI36&lt;Bewertung_Stammdaten!F$16,Bewertung_Stammdaten!E$16,IF(AI36&lt;Bewertung_Stammdaten!F$17,Bewertung_Stammdaten!E$17,IF(AI36&lt;Bewertung_Stammdaten!F$18,Bewertung_Stammdaten!E$18,IF(AI36&lt;Bewertung_Stammdaten!F$19,Bewertung_Stammdaten!E$19,Bewertung_Stammdaten!E$20)))))))))</f>
        <v>5</v>
      </c>
      <c r="AM36" s="49"/>
      <c r="AN36" s="13">
        <f>VLOOKUP(A36,Aktien_im_Umlauf_splitbereinigt!A3:W68,13,FALSE)</f>
        <v>-4.0395571321079182E-2</v>
      </c>
      <c r="AO36" s="13">
        <f>VLOOKUP(A36,Aktien_im_Umlauf_splitbereinigt!A3:W68,22,FALSE)</f>
        <v>-4.8209111025854477E-3</v>
      </c>
      <c r="AP36" s="13">
        <f>VLOOKUP(A36,Aktien_im_Umlauf_splitbereinigt!A3:W68,23,FALSE)</f>
        <v>7.3792400360618746</v>
      </c>
      <c r="AQ36" s="47">
        <f>IF(AN36&lt;Bewertung_Stammdaten!J$24,Bewertung_Stammdaten!I$24,IF(AN36&lt;Bewertung_Stammdaten!J$25,Bewertung_Stammdaten!I$25,IF(AN36&lt;Bewertung_Stammdaten!J$26,Bewertung_Stammdaten!I$26,IF(AN36&lt;Bewertung_Stammdaten!J$27,Bewertung_Stammdaten!I$27,IF(AN36&lt;Bewertung_Stammdaten!J$28,Bewertung_Stammdaten!I$28,IF(AN36&lt;Bewertung_Stammdaten!J$29,Bewertung_Stammdaten!I$29,IF(AN36&lt;Bewertung_Stammdaten!J$30,Bewertung_Stammdaten!I$30,IF(AN36&lt;Bewertung_Stammdaten!J$31,Bewertung_Stammdaten!I$31,IF(AN36&lt;Bewertung_Stammdaten!J$32,Bewertung_Stammdaten!I$32,Bewertung_Stammdaten!I$33)))))))))</f>
        <v>5</v>
      </c>
      <c r="AR36" s="47">
        <f>IF(AO36&lt;Bewertung_Stammdaten!L$24,Bewertung_Stammdaten!K$24,IF(AO36&lt;Bewertung_Stammdaten!L$25,Bewertung_Stammdaten!K$25,IF(AO36&lt;Bewertung_Stammdaten!L$26,Bewertung_Stammdaten!K$26,IF(AO36&lt;Bewertung_Stammdaten!L$27,Bewertung_Stammdaten!K$27,IF(AO36&lt;Bewertung_Stammdaten!L$28,Bewertung_Stammdaten!K$28,IF(AO36&lt;Bewertung_Stammdaten!L$29,Bewertung_Stammdaten!K$29,IF(AO36&lt;Bewertung_Stammdaten!L$30,Bewertung_Stammdaten!K$30,IF(AO36&lt;Bewertung_Stammdaten!L$31,Bewertung_Stammdaten!K$31,IF(AO36&lt;Bewertung_Stammdaten!L$32,Bewertung_Stammdaten!K$32,Bewertung_Stammdaten!K$33)))))))))</f>
        <v>1.5</v>
      </c>
      <c r="AS36" s="47">
        <f>IF(AP36&lt;Bewertung_Stammdaten!N$24,Bewertung_Stammdaten!M$24,IF(AP36&lt;Bewertung_Stammdaten!N$25,Bewertung_Stammdaten!M$25,IF(AP36&lt;Bewertung_Stammdaten!N$26,Bewertung_Stammdaten!M$26,IF(AP36&lt;Bewertung_Stammdaten!N$27,Bewertung_Stammdaten!M$27,IF(AP36&lt;Bewertung_Stammdaten!N$28,Bewertung_Stammdaten!M$28,IF(AP36&lt;Bewertung_Stammdaten!N$29,Bewertung_Stammdaten!M$29,IF(AP36&lt;Bewertung_Stammdaten!N$30,Bewertung_Stammdaten!M$30,IF(AP36&lt;Bewertung_Stammdaten!N$31,Bewertung_Stammdaten!M$31,IF(AP36&lt;Bewertung_Stammdaten!N$32,Bewertung_Stammdaten!M$32,Bewertung_Stammdaten!M$33)))))))))</f>
        <v>5</v>
      </c>
      <c r="AT36" s="49"/>
      <c r="AU36" s="13">
        <f ca="1">VLOOKUP(A36,Ausschüttungsquote!A3:S68,18,FALSE)</f>
        <v>0.14101801529790658</v>
      </c>
      <c r="AV36" s="13">
        <f>VLOOKUP(A36,Ausschüttungsquote!A3:S68,15,FALSE)</f>
        <v>0.13591029497416823</v>
      </c>
      <c r="AW36" s="13">
        <f ca="1">VLOOKUP(A36,Ausschüttungsquote!A3:S68,19,FALSE)</f>
        <v>3.7581555721802662E-2</v>
      </c>
      <c r="AX36" s="36">
        <f ca="1">IF(AU36&lt;Bewertung_Stammdaten!H$11,Bewertung_Stammdaten!G$11,IF(AU36&lt;Bewertung_Stammdaten!H$12,Bewertung_Stammdaten!G$12,IF(AU36&lt;Bewertung_Stammdaten!H$13,Bewertung_Stammdaten!G$13,IF(AU36&lt;Bewertung_Stammdaten!H$14,Bewertung_Stammdaten!G$14,IF(AU36&lt;Bewertung_Stammdaten!H$15,Bewertung_Stammdaten!G$15,IF(AU36&lt;Bewertung_Stammdaten!H$16,Bewertung_Stammdaten!G$16,IF(AU36&lt;Bewertung_Stammdaten!H$17,Bewertung_Stammdaten!G$17,IF(AU36&lt;Bewertung_Stammdaten!H$18,Bewertung_Stammdaten!G$18,IF(AU36&lt;Bewertung_Stammdaten!H$19,Bewertung_Stammdaten!G$19,Bewertung_Stammdaten!G$20)))))))))</f>
        <v>5</v>
      </c>
      <c r="AY36" s="47">
        <f>IF(AV36&lt;Bewertung_Stammdaten!B$24,Bewertung_Stammdaten!A$24,IF(AV36&lt;Bewertung_Stammdaten!B$25,Bewertung_Stammdaten!A$25,IF(AV36&lt;Bewertung_Stammdaten!B$26,Bewertung_Stammdaten!A$26,IF(AV36&lt;Bewertung_Stammdaten!B$27,Bewertung_Stammdaten!A$27,IF(AV36&lt;Bewertung_Stammdaten!B$28,Bewertung_Stammdaten!A$28,IF(AV36&lt;Bewertung_Stammdaten!B$29,Bewertung_Stammdaten!A$29,IF(AV36&lt;Bewertung_Stammdaten!B$30,Bewertung_Stammdaten!A$30,IF(AV36&lt;Bewertung_Stammdaten!B$31,Bewertung_Stammdaten!A$31,IF(AV36&lt;Bewertung_Stammdaten!B$32,Bewertung_Stammdaten!A$32,Bewertung_Stammdaten!A$33)))))))))</f>
        <v>5</v>
      </c>
      <c r="AZ36" s="36">
        <f ca="1">IF(AW36&lt;Bewertung_Stammdaten!J$11,Bewertung_Stammdaten!I$11,IF(AW36&lt;Bewertung_Stammdaten!J$12,Bewertung_Stammdaten!I$12,IF(AW36&lt;Bewertung_Stammdaten!J$13,Bewertung_Stammdaten!I$13,IF(AW36&lt;Bewertung_Stammdaten!J$14,Bewertung_Stammdaten!I$14,IF(AW36&lt;Bewertung_Stammdaten!J$15,Bewertung_Stammdaten!I$15,IF(AW36&lt;Bewertung_Stammdaten!J$16,Bewertung_Stammdaten!I$16,IF(AW36&lt;Bewertung_Stammdaten!J$17,Bewertung_Stammdaten!I$17,IF(AW36&lt;Bewertung_Stammdaten!J$18,Bewertung_Stammdaten!I$18,IF(AW36&lt;Bewertung_Stammdaten!J$19,Bewertung_Stammdaten!I$19,Bewertung_Stammdaten!I$20)))))))))</f>
        <v>2.5</v>
      </c>
    </row>
    <row r="37" spans="1:52" x14ac:dyDescent="0.25">
      <c r="A37" s="44" t="s">
        <v>70</v>
      </c>
      <c r="B37" s="44" t="s">
        <v>71</v>
      </c>
      <c r="C37" s="36">
        <f t="shared" ca="1" si="7"/>
        <v>127.5</v>
      </c>
      <c r="D37" s="49"/>
      <c r="E37" s="12">
        <f ca="1">VLOOKUP(A37,KGV!A3:S68,18,FALSE)</f>
        <v>10.676666666666666</v>
      </c>
      <c r="F37" s="12">
        <f>VLOOKUP(A37,KGV!A3:S68,15,FALSE)</f>
        <v>13.55</v>
      </c>
      <c r="G37" s="13">
        <f ca="1">VLOOKUP(A37,KGV!A3:S68,19,FALSE)</f>
        <v>-0.21205412054120554</v>
      </c>
      <c r="H37" s="19">
        <f t="shared" ca="1" si="8"/>
        <v>10.786058743169399</v>
      </c>
      <c r="I37" s="13">
        <f t="shared" ca="1" si="9"/>
        <v>-0.20398090456314411</v>
      </c>
      <c r="J37" s="36">
        <f ca="1">IF(G37&lt;Bewertung_Stammdaten!B$11,Bewertung_Stammdaten!A$11,IF(G37&lt;Bewertung_Stammdaten!B$12,Bewertung_Stammdaten!A$12,IF(G37&lt;Bewertung_Stammdaten!B$13,Bewertung_Stammdaten!A$13,IF(G37&lt;Bewertung_Stammdaten!B$14,Bewertung_Stammdaten!A$14,IF(G37&lt;Bewertung_Stammdaten!B$15,Bewertung_Stammdaten!A$15,IF(G37&lt;Bewertung_Stammdaten!B$16,Bewertung_Stammdaten!A$16,IF(G37&lt;Bewertung_Stammdaten!B$17,Bewertung_Stammdaten!A$17,IF(G37&lt;Bewertung_Stammdaten!B$18,Bewertung_Stammdaten!A$18,IF(G37&lt;Bewertung_Stammdaten!B$19,Bewertung_Stammdaten!A$19,Bewertung_Stammdaten!A$20)))))))))</f>
        <v>20</v>
      </c>
      <c r="K37" s="36">
        <f ca="1">IF(I37&lt;Bewertung_Stammdaten!N$11,Bewertung_Stammdaten!M$11,IF(I37&lt;Bewertung_Stammdaten!N$12,Bewertung_Stammdaten!M$12,IF(I37&lt;Bewertung_Stammdaten!N$13,Bewertung_Stammdaten!M$13,IF(I37&lt;Bewertung_Stammdaten!N$14,Bewertung_Stammdaten!M$14,IF(I37&lt;Bewertung_Stammdaten!N$15,Bewertung_Stammdaten!M$15,IF(I37&lt;Bewertung_Stammdaten!N$16,Bewertung_Stammdaten!M$16,IF(I37&lt;Bewertung_Stammdaten!N$17,Bewertung_Stammdaten!M$17,IF(I37&lt;Bewertung_Stammdaten!N$18,Bewertung_Stammdaten!M$18,IF(I37&lt;Bewertung_Stammdaten!N$19,Bewertung_Stammdaten!M$19,Bewertung_Stammdaten!M$20)))))))))</f>
        <v>10</v>
      </c>
      <c r="L37" s="49"/>
      <c r="M37" s="12">
        <f ca="1">VLOOKUP(A37,Buchwert_je_Aktie!A3:AC68,18,FALSE)</f>
        <v>25.253611111111113</v>
      </c>
      <c r="N37" s="12">
        <f>VLOOKUP(A37,Buchwert_je_Aktie!A3:AC68,15,FALSE)</f>
        <v>19.013999999999999</v>
      </c>
      <c r="O37" s="13">
        <f ca="1">VLOOKUP(A37,Buchwert_je_Aktie!A3:AC68,19,FALSE)</f>
        <v>0.3281587835863633</v>
      </c>
      <c r="P37" s="13">
        <f>VLOOKUP(A37,Buchwert_je_Aktie!A3:AC68,29,FALSE)</f>
        <v>-0.10033285782215884</v>
      </c>
      <c r="Q37" s="19">
        <f t="shared" ca="1" si="6"/>
        <v>22.719844138003911</v>
      </c>
      <c r="R37" s="13">
        <f t="shared" ca="1" si="3"/>
        <v>0.19490081718754126</v>
      </c>
      <c r="S37" s="58">
        <f ca="1">IF(O37&lt;Bewertung_Stammdaten!D$24,Bewertung_Stammdaten!C$24,IF(O37&lt;Bewertung_Stammdaten!D$25,Bewertung_Stammdaten!C$25,IF(O37&lt;Bewertung_Stammdaten!D$26,Bewertung_Stammdaten!C$26,IF(O37&lt;Bewertung_Stammdaten!D$27,Bewertung_Stammdaten!C$27,IF(O37&lt;Bewertung_Stammdaten!D$28,Bewertung_Stammdaten!C$28,IF(O37&lt;Bewertung_Stammdaten!D$29,Bewertung_Stammdaten!C$29,IF(O37&lt;Bewertung_Stammdaten!D$30,Bewertung_Stammdaten!C$30,IF(O37&lt;Bewertung_Stammdaten!D$31,Bewertung_Stammdaten!C$31,IF(O37&lt;Bewertung_Stammdaten!D$32,Bewertung_Stammdaten!C$32,Bewertung_Stammdaten!C$33)))))))))</f>
        <v>10</v>
      </c>
      <c r="T37" s="58">
        <f>IF(P37&lt;Bewertung_Stammdaten!F$24,Bewertung_Stammdaten!E$24,IF(P37&lt;Bewertung_Stammdaten!F$25,Bewertung_Stammdaten!E$25,IF(P37&lt;Bewertung_Stammdaten!F$26,Bewertung_Stammdaten!E$26,IF(P37&lt;Bewertung_Stammdaten!F$27,Bewertung_Stammdaten!E$27,IF(P37&lt;Bewertung_Stammdaten!F$28,Bewertung_Stammdaten!E$28,IF(P37&lt;Bewertung_Stammdaten!F$29,Bewertung_Stammdaten!E$29,IF(P37&lt;Bewertung_Stammdaten!F$30,Bewertung_Stammdaten!E$30,IF(P37&lt;Bewertung_Stammdaten!F$31,Bewertung_Stammdaten!E$31,IF(P37&lt;Bewertung_Stammdaten!F$32,Bewertung_Stammdaten!E$32,Bewertung_Stammdaten!E$33)))))))))</f>
        <v>7.5</v>
      </c>
      <c r="U37" s="58">
        <f ca="1">IF(R37&lt;Bewertung_Stammdaten!H$24,Bewertung_Stammdaten!G$24,IF(R37&lt;Bewertung_Stammdaten!H$25,Bewertung_Stammdaten!G$25,IF(R37&lt;Bewertung_Stammdaten!H$26,Bewertung_Stammdaten!G$26,IF(R37&lt;Bewertung_Stammdaten!H$27,Bewertung_Stammdaten!G$27,IF(R37&lt;Bewertung_Stammdaten!H$28,Bewertung_Stammdaten!G$28,IF(R37&lt;Bewertung_Stammdaten!H$29,Bewertung_Stammdaten!G$29,IF(R37&lt;Bewertung_Stammdaten!H$30,Bewertung_Stammdaten!G$30,IF(R37&lt;Bewertung_Stammdaten!H$31,Bewertung_Stammdaten!G$31,IF(R37&lt;Bewertung_Stammdaten!H$32,Bewertung_Stammdaten!G$32,Bewertung_Stammdaten!G$33)))))))))</f>
        <v>3</v>
      </c>
      <c r="V37" s="49"/>
      <c r="W37" s="17">
        <f ca="1">VLOOKUP(A37,Ergebnis_je_Aktie_verwässert!A3:S68,18,FALSE)</f>
        <v>18.105555555555554</v>
      </c>
      <c r="X37" s="17">
        <f>VLOOKUP(A37,Ergebnis_je_Aktie_verwässert!A3:S68,15,FALSE)</f>
        <v>9.5929999999999982</v>
      </c>
      <c r="Y37" s="13">
        <f ca="1">VLOOKUP(A37,Ergebnis_je_Aktie_verwässert!A3:S68,19,FALSE)</f>
        <v>0.88737157881325524</v>
      </c>
      <c r="Z37" s="46">
        <f>VLOOKUP(A37,Ergebnis_je_Aktie_verwässert!A3:AC68,29,FALSE)</f>
        <v>-1.0141987829614618E-2</v>
      </c>
      <c r="AA37" s="19">
        <f t="shared" ca="1" si="10"/>
        <v>17.921929231462698</v>
      </c>
      <c r="AB37" s="13">
        <f t="shared" ca="1" si="11"/>
        <v>0.86822987923097061</v>
      </c>
      <c r="AC37" s="36">
        <f ca="1">IF(Y37&lt;Bewertung_Stammdaten!L$11,Bewertung_Stammdaten!K$11,IF(Y37&lt;Bewertung_Stammdaten!L$12,Bewertung_Stammdaten!K$12,IF(Y37&lt;Bewertung_Stammdaten!L$13,Bewertung_Stammdaten!K$13,IF(Y37&lt;Bewertung_Stammdaten!L$14,Bewertung_Stammdaten!K$14,IF(Y37&lt;Bewertung_Stammdaten!L$15,Bewertung_Stammdaten!K$15,IF(Y37&lt;Bewertung_Stammdaten!L$16,Bewertung_Stammdaten!K$16,IF(Y37&lt;Bewertung_Stammdaten!L$17,Bewertung_Stammdaten!K$17,IF(Y37&lt;Bewertung_Stammdaten!L$18,Bewertung_Stammdaten!K$18,IF(Y37&lt;Bewertung_Stammdaten!L$19,Bewertung_Stammdaten!K$19,Bewertung_Stammdaten!K$20)))))))))</f>
        <v>20</v>
      </c>
      <c r="AD37" s="36">
        <f>IF(Z37&lt;Bewertung_Stammdaten!R$11,Bewertung_Stammdaten!Q$11,IF(Z37&lt;Bewertung_Stammdaten!R$12,Bewertung_Stammdaten!Q$12,IF(Z37&lt;Bewertung_Stammdaten!R$13,Bewertung_Stammdaten!Q$13,IF(Z37&lt;Bewertung_Stammdaten!R$14,Bewertung_Stammdaten!Q$14,IF(Z37&lt;Bewertung_Stammdaten!R$15,Bewertung_Stammdaten!Q$15,IF(Z37&lt;Bewertung_Stammdaten!R$16,Bewertung_Stammdaten!Q$16,IF(Z37&lt;Bewertung_Stammdaten!R$17,Bewertung_Stammdaten!Q$17,IF(Z37&lt;Bewertung_Stammdaten!R$18,Bewertung_Stammdaten!Q$18,IF(Z37&lt;Bewertung_Stammdaten!R$19,Bewertung_Stammdaten!Q$19,Bewertung_Stammdaten!Q$20)))))))))</f>
        <v>7</v>
      </c>
      <c r="AE37" s="36">
        <f ca="1">IF(AB37&lt;Bewertung_Stammdaten!P$11,Bewertung_Stammdaten!O$11,IF(AB37&lt;Bewertung_Stammdaten!P$12,Bewertung_Stammdaten!O$12,IF(AB37&lt;Bewertung_Stammdaten!P$13,Bewertung_Stammdaten!O$13,IF(AB37&lt;Bewertung_Stammdaten!P$14,Bewertung_Stammdaten!O$14,IF(AB37&lt;Bewertung_Stammdaten!P$15,Bewertung_Stammdaten!O$15,IF(AB37&lt;Bewertung_Stammdaten!P$16,Bewertung_Stammdaten!O$16,IF(AB37&lt;Bewertung_Stammdaten!P$17,Bewertung_Stammdaten!O$17,IF(AB37&lt;Bewertung_Stammdaten!P$18,Bewertung_Stammdaten!O$18,IF(AB37&lt;Bewertung_Stammdaten!P$19,Bewertung_Stammdaten!O$19,Bewertung_Stammdaten!O$20)))))))))</f>
        <v>10</v>
      </c>
      <c r="AF37" s="49"/>
      <c r="AG37" s="13">
        <f ca="1">VLOOKUP(A37,Dividendenrendite!A3:S68,18,FALSE)</f>
        <v>2.3026111111111108E-2</v>
      </c>
      <c r="AH37" s="13">
        <f>VLOOKUP(A37,Dividendenrendite!A3:S68,15,FALSE)</f>
        <v>1.5049999999999999E-2</v>
      </c>
      <c r="AI37" s="13">
        <f ca="1">VLOOKUP(A37,Dividendenrendite!A3:S68,19,FALSE)</f>
        <v>0.52997416020671828</v>
      </c>
      <c r="AJ37" s="36">
        <f ca="1">IF(AG37&lt;Bewertung_Stammdaten!D$11,Bewertung_Stammdaten!C$11,IF(AG37&lt;Bewertung_Stammdaten!D$12,Bewertung_Stammdaten!C$12,IF(AG37&lt;Bewertung_Stammdaten!D$13,Bewertung_Stammdaten!C$13,IF(AG37&lt;Bewertung_Stammdaten!D$14,Bewertung_Stammdaten!C$14,IF(AG37&lt;Bewertung_Stammdaten!D$15,Bewertung_Stammdaten!C$15,IF(AG37&lt;Bewertung_Stammdaten!D$16,Bewertung_Stammdaten!C$16,IF(AG37&lt;Bewertung_Stammdaten!D$17,Bewertung_Stammdaten!C$17,IF(AG37&lt;Bewertung_Stammdaten!D$18,Bewertung_Stammdaten!C$18,IF(AG37&lt;Bewertung_Stammdaten!D$19,Bewertung_Stammdaten!C$19,Bewertung_Stammdaten!C$20)))))))))</f>
        <v>7.5</v>
      </c>
      <c r="AK37" s="36">
        <f>IF(AH37&lt;Bewertung_Stammdaten!T$11,Bewertung_Stammdaten!S$11,IF(AH37&lt;Bewertung_Stammdaten!T$12,Bewertung_Stammdaten!S$12,IF(AH37&lt;Bewertung_Stammdaten!T$13,Bewertung_Stammdaten!S$13,IF(AH37&lt;Bewertung_Stammdaten!T$14,Bewertung_Stammdaten!S$14,IF(AH37&lt;Bewertung_Stammdaten!T$15,Bewertung_Stammdaten!S$15,IF(AH37&lt;Bewertung_Stammdaten!T$16,Bewertung_Stammdaten!S$16,IF(AH37&lt;Bewertung_Stammdaten!T$17,Bewertung_Stammdaten!S$17,IF(AH37&lt;Bewertung_Stammdaten!T$18,Bewertung_Stammdaten!S$18,IF(AH37&lt;Bewertung_Stammdaten!T$19,Bewertung_Stammdaten!S$19,Bewertung_Stammdaten!S$20)))))))))</f>
        <v>4</v>
      </c>
      <c r="AL37" s="36">
        <f ca="1">IF(AI37&lt;Bewertung_Stammdaten!F$11,Bewertung_Stammdaten!E$11,IF(AI37&lt;Bewertung_Stammdaten!F$12,Bewertung_Stammdaten!E$12,IF(AI37&lt;Bewertung_Stammdaten!F$13,Bewertung_Stammdaten!E$13,IF(AI37&lt;Bewertung_Stammdaten!F$14,Bewertung_Stammdaten!E$14,IF(AI37&lt;Bewertung_Stammdaten!F$15,Bewertung_Stammdaten!E$15,IF(AI37&lt;Bewertung_Stammdaten!F$16,Bewertung_Stammdaten!E$16,IF(AI37&lt;Bewertung_Stammdaten!F$17,Bewertung_Stammdaten!E$17,IF(AI37&lt;Bewertung_Stammdaten!F$18,Bewertung_Stammdaten!E$18,IF(AI37&lt;Bewertung_Stammdaten!F$19,Bewertung_Stammdaten!E$19,Bewertung_Stammdaten!E$20)))))))))</f>
        <v>5</v>
      </c>
      <c r="AM37" s="49"/>
      <c r="AN37" s="13">
        <f>VLOOKUP(A37,Aktien_im_Umlauf_splitbereinigt!A3:W68,13,FALSE)</f>
        <v>-5.6401074306177246E-2</v>
      </c>
      <c r="AO37" s="13">
        <f>VLOOKUP(A37,Aktien_im_Umlauf_splitbereinigt!A3:W68,22,FALSE)</f>
        <v>-4.8186566841982033E-2</v>
      </c>
      <c r="AP37" s="13">
        <f>VLOOKUP(A37,Aktien_im_Umlauf_splitbereinigt!A3:W68,23,FALSE)</f>
        <v>0.17047297623698743</v>
      </c>
      <c r="AQ37" s="47">
        <f>IF(AN37&lt;Bewertung_Stammdaten!J$24,Bewertung_Stammdaten!I$24,IF(AN37&lt;Bewertung_Stammdaten!J$25,Bewertung_Stammdaten!I$25,IF(AN37&lt;Bewertung_Stammdaten!J$26,Bewertung_Stammdaten!I$26,IF(AN37&lt;Bewertung_Stammdaten!J$27,Bewertung_Stammdaten!I$27,IF(AN37&lt;Bewertung_Stammdaten!J$28,Bewertung_Stammdaten!I$28,IF(AN37&lt;Bewertung_Stammdaten!J$29,Bewertung_Stammdaten!I$29,IF(AN37&lt;Bewertung_Stammdaten!J$30,Bewertung_Stammdaten!I$30,IF(AN37&lt;Bewertung_Stammdaten!J$31,Bewertung_Stammdaten!I$31,IF(AN37&lt;Bewertung_Stammdaten!J$32,Bewertung_Stammdaten!I$32,Bewertung_Stammdaten!I$33)))))))))</f>
        <v>5</v>
      </c>
      <c r="AR37" s="47">
        <f>IF(AO37&lt;Bewertung_Stammdaten!L$24,Bewertung_Stammdaten!K$24,IF(AO37&lt;Bewertung_Stammdaten!L$25,Bewertung_Stammdaten!K$25,IF(AO37&lt;Bewertung_Stammdaten!L$26,Bewertung_Stammdaten!K$26,IF(AO37&lt;Bewertung_Stammdaten!L$27,Bewertung_Stammdaten!K$27,IF(AO37&lt;Bewertung_Stammdaten!L$28,Bewertung_Stammdaten!K$28,IF(AO37&lt;Bewertung_Stammdaten!L$29,Bewertung_Stammdaten!K$29,IF(AO37&lt;Bewertung_Stammdaten!L$30,Bewertung_Stammdaten!K$30,IF(AO37&lt;Bewertung_Stammdaten!L$31,Bewertung_Stammdaten!K$31,IF(AO37&lt;Bewertung_Stammdaten!L$32,Bewertung_Stammdaten!K$32,Bewertung_Stammdaten!K$33)))))))))</f>
        <v>5</v>
      </c>
      <c r="AS37" s="47">
        <f>IF(AP37&lt;Bewertung_Stammdaten!N$24,Bewertung_Stammdaten!M$24,IF(AP37&lt;Bewertung_Stammdaten!N$25,Bewertung_Stammdaten!M$25,IF(AP37&lt;Bewertung_Stammdaten!N$26,Bewertung_Stammdaten!M$26,IF(AP37&lt;Bewertung_Stammdaten!N$27,Bewertung_Stammdaten!M$27,IF(AP37&lt;Bewertung_Stammdaten!N$28,Bewertung_Stammdaten!M$28,IF(AP37&lt;Bewertung_Stammdaten!N$29,Bewertung_Stammdaten!M$29,IF(AP37&lt;Bewertung_Stammdaten!N$30,Bewertung_Stammdaten!M$30,IF(AP37&lt;Bewertung_Stammdaten!N$31,Bewertung_Stammdaten!M$31,IF(AP37&lt;Bewertung_Stammdaten!N$32,Bewertung_Stammdaten!M$32,Bewertung_Stammdaten!M$33)))))))))</f>
        <v>3</v>
      </c>
      <c r="AT37" s="49"/>
      <c r="AU37" s="13">
        <f ca="1">VLOOKUP(A37,Ausschüttungsquote!A3:S68,18,FALSE)</f>
        <v>0.24463675213675212</v>
      </c>
      <c r="AV37" s="13">
        <f>VLOOKUP(A37,Ausschüttungsquote!A3:S68,15,FALSE)</f>
        <v>0.20346897957356838</v>
      </c>
      <c r="AW37" s="13">
        <f ca="1">VLOOKUP(A37,Ausschüttungsquote!A3:S68,19,FALSE)</f>
        <v>0.20232947867268725</v>
      </c>
      <c r="AX37" s="36">
        <f ca="1">IF(AU37&lt;Bewertung_Stammdaten!H$11,Bewertung_Stammdaten!G$11,IF(AU37&lt;Bewertung_Stammdaten!H$12,Bewertung_Stammdaten!G$12,IF(AU37&lt;Bewertung_Stammdaten!H$13,Bewertung_Stammdaten!G$13,IF(AU37&lt;Bewertung_Stammdaten!H$14,Bewertung_Stammdaten!G$14,IF(AU37&lt;Bewertung_Stammdaten!H$15,Bewertung_Stammdaten!G$15,IF(AU37&lt;Bewertung_Stammdaten!H$16,Bewertung_Stammdaten!G$16,IF(AU37&lt;Bewertung_Stammdaten!H$17,Bewertung_Stammdaten!G$17,IF(AU37&lt;Bewertung_Stammdaten!H$18,Bewertung_Stammdaten!G$18,IF(AU37&lt;Bewertung_Stammdaten!H$19,Bewertung_Stammdaten!G$19,Bewertung_Stammdaten!G$20)))))))))</f>
        <v>5</v>
      </c>
      <c r="AY37" s="47">
        <f>IF(AV37&lt;Bewertung_Stammdaten!B$24,Bewertung_Stammdaten!A$24,IF(AV37&lt;Bewertung_Stammdaten!B$25,Bewertung_Stammdaten!A$25,IF(AV37&lt;Bewertung_Stammdaten!B$26,Bewertung_Stammdaten!A$26,IF(AV37&lt;Bewertung_Stammdaten!B$27,Bewertung_Stammdaten!A$27,IF(AV37&lt;Bewertung_Stammdaten!B$28,Bewertung_Stammdaten!A$28,IF(AV37&lt;Bewertung_Stammdaten!B$29,Bewertung_Stammdaten!A$29,IF(AV37&lt;Bewertung_Stammdaten!B$30,Bewertung_Stammdaten!A$30,IF(AV37&lt;Bewertung_Stammdaten!B$31,Bewertung_Stammdaten!A$31,IF(AV37&lt;Bewertung_Stammdaten!B$32,Bewertung_Stammdaten!A$32,Bewertung_Stammdaten!A$33)))))))))</f>
        <v>5</v>
      </c>
      <c r="AZ37" s="36">
        <f ca="1">IF(AW37&lt;Bewertung_Stammdaten!J$11,Bewertung_Stammdaten!I$11,IF(AW37&lt;Bewertung_Stammdaten!J$12,Bewertung_Stammdaten!I$12,IF(AW37&lt;Bewertung_Stammdaten!J$13,Bewertung_Stammdaten!I$13,IF(AW37&lt;Bewertung_Stammdaten!J$14,Bewertung_Stammdaten!I$14,IF(AW37&lt;Bewertung_Stammdaten!J$15,Bewertung_Stammdaten!I$15,IF(AW37&lt;Bewertung_Stammdaten!J$16,Bewertung_Stammdaten!I$16,IF(AW37&lt;Bewertung_Stammdaten!J$17,Bewertung_Stammdaten!I$17,IF(AW37&lt;Bewertung_Stammdaten!J$18,Bewertung_Stammdaten!I$18,IF(AW37&lt;Bewertung_Stammdaten!J$19,Bewertung_Stammdaten!I$19,Bewertung_Stammdaten!I$20)))))))))</f>
        <v>0.5</v>
      </c>
    </row>
    <row r="38" spans="1:52" x14ac:dyDescent="0.25">
      <c r="A38" s="44" t="s">
        <v>72</v>
      </c>
      <c r="B38" s="44" t="s">
        <v>73</v>
      </c>
      <c r="C38" s="36">
        <f t="shared" ca="1" si="7"/>
        <v>103.5</v>
      </c>
      <c r="D38" s="49"/>
      <c r="E38" s="12">
        <f ca="1">VLOOKUP(A38,KGV!A3:S68,18,FALSE)</f>
        <v>10.157499999999999</v>
      </c>
      <c r="F38" s="12">
        <f>VLOOKUP(A38,KGV!A3:S68,15,FALSE)</f>
        <v>12.45</v>
      </c>
      <c r="G38" s="13">
        <f ca="1">VLOOKUP(A38,KGV!A3:S68,19,FALSE)</f>
        <v>-0.18413654618473896</v>
      </c>
      <c r="H38" s="19">
        <f t="shared" ca="1" si="8"/>
        <v>32.474343065693418</v>
      </c>
      <c r="I38" s="13">
        <f t="shared" ca="1" si="9"/>
        <v>1.6083809691320017</v>
      </c>
      <c r="J38" s="36">
        <f ca="1">IF(G38&lt;Bewertung_Stammdaten!B$11,Bewertung_Stammdaten!A$11,IF(G38&lt;Bewertung_Stammdaten!B$12,Bewertung_Stammdaten!A$12,IF(G38&lt;Bewertung_Stammdaten!B$13,Bewertung_Stammdaten!A$13,IF(G38&lt;Bewertung_Stammdaten!B$14,Bewertung_Stammdaten!A$14,IF(G38&lt;Bewertung_Stammdaten!B$15,Bewertung_Stammdaten!A$15,IF(G38&lt;Bewertung_Stammdaten!B$16,Bewertung_Stammdaten!A$16,IF(G38&lt;Bewertung_Stammdaten!B$17,Bewertung_Stammdaten!A$17,IF(G38&lt;Bewertung_Stammdaten!B$18,Bewertung_Stammdaten!A$18,IF(G38&lt;Bewertung_Stammdaten!B$19,Bewertung_Stammdaten!A$19,Bewertung_Stammdaten!A$20)))))))))</f>
        <v>18</v>
      </c>
      <c r="K38" s="36">
        <f ca="1">IF(I38&lt;Bewertung_Stammdaten!N$11,Bewertung_Stammdaten!M$11,IF(I38&lt;Bewertung_Stammdaten!N$12,Bewertung_Stammdaten!M$12,IF(I38&lt;Bewertung_Stammdaten!N$13,Bewertung_Stammdaten!M$13,IF(I38&lt;Bewertung_Stammdaten!N$14,Bewertung_Stammdaten!M$14,IF(I38&lt;Bewertung_Stammdaten!N$15,Bewertung_Stammdaten!M$15,IF(I38&lt;Bewertung_Stammdaten!N$16,Bewertung_Stammdaten!M$16,IF(I38&lt;Bewertung_Stammdaten!N$17,Bewertung_Stammdaten!M$17,IF(I38&lt;Bewertung_Stammdaten!N$18,Bewertung_Stammdaten!M$18,IF(I38&lt;Bewertung_Stammdaten!N$19,Bewertung_Stammdaten!M$19,Bewertung_Stammdaten!M$20)))))))))</f>
        <v>1</v>
      </c>
      <c r="L38" s="49"/>
      <c r="M38" s="12">
        <f ca="1">VLOOKUP(A38,Buchwert_je_Aktie!A3:AC68,18,FALSE)</f>
        <v>60.191944444444445</v>
      </c>
      <c r="N38" s="12">
        <f>VLOOKUP(A38,Buchwert_je_Aktie!A3:AC68,15,FALSE)</f>
        <v>42.072999999999993</v>
      </c>
      <c r="O38" s="13">
        <f ca="1">VLOOKUP(A38,Buchwert_je_Aktie!A3:AC68,19,FALSE)</f>
        <v>0.43065491988791993</v>
      </c>
      <c r="P38" s="13">
        <f>VLOOKUP(A38,Buchwert_je_Aktie!A3:AC68,29,FALSE)</f>
        <v>-6.1731156340863347E-2</v>
      </c>
      <c r="Q38" s="19">
        <f t="shared" ca="1" si="6"/>
        <v>56.476226111483882</v>
      </c>
      <c r="R38" s="13">
        <f t="shared" ca="1" si="3"/>
        <v>0.3423389373584933</v>
      </c>
      <c r="S38" s="58">
        <f ca="1">IF(O38&lt;Bewertung_Stammdaten!D$24,Bewertung_Stammdaten!C$24,IF(O38&lt;Bewertung_Stammdaten!D$25,Bewertung_Stammdaten!C$25,IF(O38&lt;Bewertung_Stammdaten!D$26,Bewertung_Stammdaten!C$26,IF(O38&lt;Bewertung_Stammdaten!D$27,Bewertung_Stammdaten!C$27,IF(O38&lt;Bewertung_Stammdaten!D$28,Bewertung_Stammdaten!C$28,IF(O38&lt;Bewertung_Stammdaten!D$29,Bewertung_Stammdaten!C$29,IF(O38&lt;Bewertung_Stammdaten!D$30,Bewertung_Stammdaten!C$30,IF(O38&lt;Bewertung_Stammdaten!D$31,Bewertung_Stammdaten!C$31,IF(O38&lt;Bewertung_Stammdaten!D$32,Bewertung_Stammdaten!C$32,Bewertung_Stammdaten!C$33)))))))))</f>
        <v>12</v>
      </c>
      <c r="T38" s="58">
        <f>IF(P38&lt;Bewertung_Stammdaten!F$24,Bewertung_Stammdaten!E$24,IF(P38&lt;Bewertung_Stammdaten!F$25,Bewertung_Stammdaten!E$25,IF(P38&lt;Bewertung_Stammdaten!F$26,Bewertung_Stammdaten!E$26,IF(P38&lt;Bewertung_Stammdaten!F$27,Bewertung_Stammdaten!E$27,IF(P38&lt;Bewertung_Stammdaten!F$28,Bewertung_Stammdaten!E$28,IF(P38&lt;Bewertung_Stammdaten!F$29,Bewertung_Stammdaten!E$29,IF(P38&lt;Bewertung_Stammdaten!F$30,Bewertung_Stammdaten!E$30,IF(P38&lt;Bewertung_Stammdaten!F$31,Bewertung_Stammdaten!E$31,IF(P38&lt;Bewertung_Stammdaten!F$32,Bewertung_Stammdaten!E$32,Bewertung_Stammdaten!E$33)))))))))</f>
        <v>9</v>
      </c>
      <c r="U38" s="58">
        <f ca="1">IF(R38&lt;Bewertung_Stammdaten!H$24,Bewertung_Stammdaten!G$24,IF(R38&lt;Bewertung_Stammdaten!H$25,Bewertung_Stammdaten!G$25,IF(R38&lt;Bewertung_Stammdaten!H$26,Bewertung_Stammdaten!G$26,IF(R38&lt;Bewertung_Stammdaten!H$27,Bewertung_Stammdaten!G$27,IF(R38&lt;Bewertung_Stammdaten!H$28,Bewertung_Stammdaten!G$28,IF(R38&lt;Bewertung_Stammdaten!H$29,Bewertung_Stammdaten!G$29,IF(R38&lt;Bewertung_Stammdaten!H$30,Bewertung_Stammdaten!G$30,IF(R38&lt;Bewertung_Stammdaten!H$31,Bewertung_Stammdaten!G$31,IF(R38&lt;Bewertung_Stammdaten!H$32,Bewertung_Stammdaten!G$32,Bewertung_Stammdaten!G$33)))))))))</f>
        <v>5</v>
      </c>
      <c r="V38" s="49"/>
      <c r="W38" s="17">
        <f ca="1">VLOOKUP(A38,Ergebnis_je_Aktie_verwässert!A3:S68,18,FALSE)</f>
        <v>5.7352222222222222</v>
      </c>
      <c r="X38" s="17">
        <f>VLOOKUP(A38,Ergebnis_je_Aktie_verwässert!A3:S68,15,FALSE)</f>
        <v>3.3969999999999998</v>
      </c>
      <c r="Y38" s="13">
        <f ca="1">VLOOKUP(A38,Ergebnis_je_Aktie_verwässert!A3:S68,19,FALSE)</f>
        <v>0.68831975926471078</v>
      </c>
      <c r="Z38" s="46">
        <f>VLOOKUP(A38,Ergebnis_je_Aktie_verwässert!A3:AC68,29,FALSE)</f>
        <v>-0.68721461187214605</v>
      </c>
      <c r="AA38" s="19">
        <f t="shared" ca="1" si="10"/>
        <v>1.7938937087772708</v>
      </c>
      <c r="AB38" s="13">
        <f t="shared" ca="1" si="11"/>
        <v>-0.47191824881446254</v>
      </c>
      <c r="AC38" s="36">
        <f ca="1">IF(Y38&lt;Bewertung_Stammdaten!L$11,Bewertung_Stammdaten!K$11,IF(Y38&lt;Bewertung_Stammdaten!L$12,Bewertung_Stammdaten!K$12,IF(Y38&lt;Bewertung_Stammdaten!L$13,Bewertung_Stammdaten!K$13,IF(Y38&lt;Bewertung_Stammdaten!L$14,Bewertung_Stammdaten!K$14,IF(Y38&lt;Bewertung_Stammdaten!L$15,Bewertung_Stammdaten!K$15,IF(Y38&lt;Bewertung_Stammdaten!L$16,Bewertung_Stammdaten!K$16,IF(Y38&lt;Bewertung_Stammdaten!L$17,Bewertung_Stammdaten!K$17,IF(Y38&lt;Bewertung_Stammdaten!L$18,Bewertung_Stammdaten!K$18,IF(Y38&lt;Bewertung_Stammdaten!L$19,Bewertung_Stammdaten!K$19,Bewertung_Stammdaten!K$20)))))))))</f>
        <v>16</v>
      </c>
      <c r="AD38" s="36">
        <f>IF(Z38&lt;Bewertung_Stammdaten!R$11,Bewertung_Stammdaten!Q$11,IF(Z38&lt;Bewertung_Stammdaten!R$12,Bewertung_Stammdaten!Q$12,IF(Z38&lt;Bewertung_Stammdaten!R$13,Bewertung_Stammdaten!Q$13,IF(Z38&lt;Bewertung_Stammdaten!R$14,Bewertung_Stammdaten!Q$14,IF(Z38&lt;Bewertung_Stammdaten!R$15,Bewertung_Stammdaten!Q$15,IF(Z38&lt;Bewertung_Stammdaten!R$16,Bewertung_Stammdaten!Q$16,IF(Z38&lt;Bewertung_Stammdaten!R$17,Bewertung_Stammdaten!Q$17,IF(Z38&lt;Bewertung_Stammdaten!R$18,Bewertung_Stammdaten!Q$18,IF(Z38&lt;Bewertung_Stammdaten!R$19,Bewertung_Stammdaten!Q$19,Bewertung_Stammdaten!Q$20)))))))))</f>
        <v>1</v>
      </c>
      <c r="AE38" s="36">
        <f ca="1">IF(AB38&lt;Bewertung_Stammdaten!P$11,Bewertung_Stammdaten!O$11,IF(AB38&lt;Bewertung_Stammdaten!P$12,Bewertung_Stammdaten!O$12,IF(AB38&lt;Bewertung_Stammdaten!P$13,Bewertung_Stammdaten!O$13,IF(AB38&lt;Bewertung_Stammdaten!P$14,Bewertung_Stammdaten!O$14,IF(AB38&lt;Bewertung_Stammdaten!P$15,Bewertung_Stammdaten!O$15,IF(AB38&lt;Bewertung_Stammdaten!P$16,Bewertung_Stammdaten!O$16,IF(AB38&lt;Bewertung_Stammdaten!P$17,Bewertung_Stammdaten!O$17,IF(AB38&lt;Bewertung_Stammdaten!P$18,Bewertung_Stammdaten!O$18,IF(AB38&lt;Bewertung_Stammdaten!P$19,Bewertung_Stammdaten!O$19,Bewertung_Stammdaten!O$20)))))))))</f>
        <v>1</v>
      </c>
      <c r="AF38" s="49"/>
      <c r="AG38" s="13">
        <f ca="1">VLOOKUP(A38,Dividendenrendite!A3:S68,18,FALSE)</f>
        <v>2.8286388888888889E-2</v>
      </c>
      <c r="AH38" s="13">
        <f>VLOOKUP(A38,Dividendenrendite!A3:S68,15,FALSE)</f>
        <v>2.7099999999999996E-2</v>
      </c>
      <c r="AI38" s="13">
        <f ca="1">VLOOKUP(A38,Dividendenrendite!A3:S68,19,FALSE)</f>
        <v>4.377818778187792E-2</v>
      </c>
      <c r="AJ38" s="36">
        <f ca="1">IF(AG38&lt;Bewertung_Stammdaten!D$11,Bewertung_Stammdaten!C$11,IF(AG38&lt;Bewertung_Stammdaten!D$12,Bewertung_Stammdaten!C$12,IF(AG38&lt;Bewertung_Stammdaten!D$13,Bewertung_Stammdaten!C$13,IF(AG38&lt;Bewertung_Stammdaten!D$14,Bewertung_Stammdaten!C$14,IF(AG38&lt;Bewertung_Stammdaten!D$15,Bewertung_Stammdaten!C$15,IF(AG38&lt;Bewertung_Stammdaten!D$16,Bewertung_Stammdaten!C$16,IF(AG38&lt;Bewertung_Stammdaten!D$17,Bewertung_Stammdaten!C$17,IF(AG38&lt;Bewertung_Stammdaten!D$18,Bewertung_Stammdaten!C$18,IF(AG38&lt;Bewertung_Stammdaten!D$19,Bewertung_Stammdaten!C$19,Bewertung_Stammdaten!C$20)))))))))</f>
        <v>9</v>
      </c>
      <c r="AK38" s="36">
        <f>IF(AH38&lt;Bewertung_Stammdaten!T$11,Bewertung_Stammdaten!S$11,IF(AH38&lt;Bewertung_Stammdaten!T$12,Bewertung_Stammdaten!S$12,IF(AH38&lt;Bewertung_Stammdaten!T$13,Bewertung_Stammdaten!S$13,IF(AH38&lt;Bewertung_Stammdaten!T$14,Bewertung_Stammdaten!S$14,IF(AH38&lt;Bewertung_Stammdaten!T$15,Bewertung_Stammdaten!S$15,IF(AH38&lt;Bewertung_Stammdaten!T$16,Bewertung_Stammdaten!S$16,IF(AH38&lt;Bewertung_Stammdaten!T$17,Bewertung_Stammdaten!S$17,IF(AH38&lt;Bewertung_Stammdaten!T$18,Bewertung_Stammdaten!S$18,IF(AH38&lt;Bewertung_Stammdaten!T$19,Bewertung_Stammdaten!S$19,Bewertung_Stammdaten!S$20)))))))))</f>
        <v>6</v>
      </c>
      <c r="AL38" s="36">
        <f ca="1">IF(AI38&lt;Bewertung_Stammdaten!F$11,Bewertung_Stammdaten!E$11,IF(AI38&lt;Bewertung_Stammdaten!F$12,Bewertung_Stammdaten!E$12,IF(AI38&lt;Bewertung_Stammdaten!F$13,Bewertung_Stammdaten!E$13,IF(AI38&lt;Bewertung_Stammdaten!F$14,Bewertung_Stammdaten!E$14,IF(AI38&lt;Bewertung_Stammdaten!F$15,Bewertung_Stammdaten!E$15,IF(AI38&lt;Bewertung_Stammdaten!F$16,Bewertung_Stammdaten!E$16,IF(AI38&lt;Bewertung_Stammdaten!F$17,Bewertung_Stammdaten!E$17,IF(AI38&lt;Bewertung_Stammdaten!F$18,Bewertung_Stammdaten!E$18,IF(AI38&lt;Bewertung_Stammdaten!F$19,Bewertung_Stammdaten!E$19,Bewertung_Stammdaten!E$20)))))))))</f>
        <v>3</v>
      </c>
      <c r="AM38" s="49"/>
      <c r="AN38" s="13">
        <f>VLOOKUP(A38,Aktien_im_Umlauf_splitbereinigt!A3:W68,13,FALSE)</f>
        <v>-1.2618296529968487E-2</v>
      </c>
      <c r="AO38" s="13">
        <f>VLOOKUP(A38,Aktien_im_Umlauf_splitbereinigt!A3:W68,22,FALSE)</f>
        <v>7.0130067360785935E-3</v>
      </c>
      <c r="AP38" s="13">
        <f>VLOOKUP(A38,Aktien_im_Umlauf_splitbereinigt!A3:W68,23,FALSE)</f>
        <v>2.7992705561016127</v>
      </c>
      <c r="AQ38" s="47">
        <f>IF(AN38&lt;Bewertung_Stammdaten!J$24,Bewertung_Stammdaten!I$24,IF(AN38&lt;Bewertung_Stammdaten!J$25,Bewertung_Stammdaten!I$25,IF(AN38&lt;Bewertung_Stammdaten!J$26,Bewertung_Stammdaten!I$26,IF(AN38&lt;Bewertung_Stammdaten!J$27,Bewertung_Stammdaten!I$27,IF(AN38&lt;Bewertung_Stammdaten!J$28,Bewertung_Stammdaten!I$28,IF(AN38&lt;Bewertung_Stammdaten!J$29,Bewertung_Stammdaten!I$29,IF(AN38&lt;Bewertung_Stammdaten!J$30,Bewertung_Stammdaten!I$30,IF(AN38&lt;Bewertung_Stammdaten!J$31,Bewertung_Stammdaten!I$31,IF(AN38&lt;Bewertung_Stammdaten!J$32,Bewertung_Stammdaten!I$32,Bewertung_Stammdaten!I$33)))))))))</f>
        <v>2.5</v>
      </c>
      <c r="AR38" s="47">
        <f>IF(AO38&lt;Bewertung_Stammdaten!L$24,Bewertung_Stammdaten!K$24,IF(AO38&lt;Bewertung_Stammdaten!L$25,Bewertung_Stammdaten!K$25,IF(AO38&lt;Bewertung_Stammdaten!L$26,Bewertung_Stammdaten!K$26,IF(AO38&lt;Bewertung_Stammdaten!L$27,Bewertung_Stammdaten!K$27,IF(AO38&lt;Bewertung_Stammdaten!L$28,Bewertung_Stammdaten!K$28,IF(AO38&lt;Bewertung_Stammdaten!L$29,Bewertung_Stammdaten!K$29,IF(AO38&lt;Bewertung_Stammdaten!L$30,Bewertung_Stammdaten!K$30,IF(AO38&lt;Bewertung_Stammdaten!L$31,Bewertung_Stammdaten!K$31,IF(AO38&lt;Bewertung_Stammdaten!L$32,Bewertung_Stammdaten!K$32,Bewertung_Stammdaten!K$33)))))))))</f>
        <v>0.5</v>
      </c>
      <c r="AS38" s="47">
        <f>IF(AP38&lt;Bewertung_Stammdaten!N$24,Bewertung_Stammdaten!M$24,IF(AP38&lt;Bewertung_Stammdaten!N$25,Bewertung_Stammdaten!M$25,IF(AP38&lt;Bewertung_Stammdaten!N$26,Bewertung_Stammdaten!M$26,IF(AP38&lt;Bewertung_Stammdaten!N$27,Bewertung_Stammdaten!M$27,IF(AP38&lt;Bewertung_Stammdaten!N$28,Bewertung_Stammdaten!M$28,IF(AP38&lt;Bewertung_Stammdaten!N$29,Bewertung_Stammdaten!M$29,IF(AP38&lt;Bewertung_Stammdaten!N$30,Bewertung_Stammdaten!M$30,IF(AP38&lt;Bewertung_Stammdaten!N$31,Bewertung_Stammdaten!M$31,IF(AP38&lt;Bewertung_Stammdaten!N$32,Bewertung_Stammdaten!M$32,Bewertung_Stammdaten!M$33)))))))))</f>
        <v>5</v>
      </c>
      <c r="AT38" s="49"/>
      <c r="AU38" s="13">
        <f ca="1">VLOOKUP(A38,Ausschüttungsquote!A3:S68,18,FALSE)</f>
        <v>0.28739862065315158</v>
      </c>
      <c r="AV38" s="13">
        <f>VLOOKUP(A38,Ausschüttungsquote!A3:S68,15,FALSE)</f>
        <v>0.41568888090759304</v>
      </c>
      <c r="AW38" s="13">
        <f ca="1">VLOOKUP(A38,Ausschüttungsquote!A3:S68,19,FALSE)</f>
        <v>-0.30862086080902451</v>
      </c>
      <c r="AX38" s="36">
        <f ca="1">IF(AU38&lt;Bewertung_Stammdaten!H$11,Bewertung_Stammdaten!G$11,IF(AU38&lt;Bewertung_Stammdaten!H$12,Bewertung_Stammdaten!G$12,IF(AU38&lt;Bewertung_Stammdaten!H$13,Bewertung_Stammdaten!G$13,IF(AU38&lt;Bewertung_Stammdaten!H$14,Bewertung_Stammdaten!G$14,IF(AU38&lt;Bewertung_Stammdaten!H$15,Bewertung_Stammdaten!G$15,IF(AU38&lt;Bewertung_Stammdaten!H$16,Bewertung_Stammdaten!G$16,IF(AU38&lt;Bewertung_Stammdaten!H$17,Bewertung_Stammdaten!G$17,IF(AU38&lt;Bewertung_Stammdaten!H$18,Bewertung_Stammdaten!G$18,IF(AU38&lt;Bewertung_Stammdaten!H$19,Bewertung_Stammdaten!G$19,Bewertung_Stammdaten!G$20)))))))))</f>
        <v>5</v>
      </c>
      <c r="AY38" s="47">
        <f>IF(AV38&lt;Bewertung_Stammdaten!B$24,Bewertung_Stammdaten!A$24,IF(AV38&lt;Bewertung_Stammdaten!B$25,Bewertung_Stammdaten!A$25,IF(AV38&lt;Bewertung_Stammdaten!B$26,Bewertung_Stammdaten!A$26,IF(AV38&lt;Bewertung_Stammdaten!B$27,Bewertung_Stammdaten!A$27,IF(AV38&lt;Bewertung_Stammdaten!B$28,Bewertung_Stammdaten!A$28,IF(AV38&lt;Bewertung_Stammdaten!B$29,Bewertung_Stammdaten!A$29,IF(AV38&lt;Bewertung_Stammdaten!B$30,Bewertung_Stammdaten!A$30,IF(AV38&lt;Bewertung_Stammdaten!B$31,Bewertung_Stammdaten!A$31,IF(AV38&lt;Bewertung_Stammdaten!B$32,Bewertung_Stammdaten!A$32,Bewertung_Stammdaten!A$33)))))))))</f>
        <v>4.5</v>
      </c>
      <c r="AZ38" s="36">
        <f ca="1">IF(AW38&lt;Bewertung_Stammdaten!J$11,Bewertung_Stammdaten!I$11,IF(AW38&lt;Bewertung_Stammdaten!J$12,Bewertung_Stammdaten!I$12,IF(AW38&lt;Bewertung_Stammdaten!J$13,Bewertung_Stammdaten!I$13,IF(AW38&lt;Bewertung_Stammdaten!J$14,Bewertung_Stammdaten!I$14,IF(AW38&lt;Bewertung_Stammdaten!J$15,Bewertung_Stammdaten!I$15,IF(AW38&lt;Bewertung_Stammdaten!J$16,Bewertung_Stammdaten!I$16,IF(AW38&lt;Bewertung_Stammdaten!J$17,Bewertung_Stammdaten!I$17,IF(AW38&lt;Bewertung_Stammdaten!J$18,Bewertung_Stammdaten!I$18,IF(AW38&lt;Bewertung_Stammdaten!J$19,Bewertung_Stammdaten!I$19,Bewertung_Stammdaten!I$20)))))))))</f>
        <v>5</v>
      </c>
    </row>
    <row r="39" spans="1:52" x14ac:dyDescent="0.25">
      <c r="A39" s="44" t="s">
        <v>74</v>
      </c>
      <c r="B39" s="44" t="s">
        <v>75</v>
      </c>
      <c r="C39" s="36">
        <f t="shared" ca="1" si="7"/>
        <v>106</v>
      </c>
      <c r="D39" s="49"/>
      <c r="E39" s="12">
        <f ca="1">VLOOKUP(A39,KGV!A3:S68,18,FALSE)</f>
        <v>16.835555555555555</v>
      </c>
      <c r="F39" s="12">
        <f>VLOOKUP(A39,KGV!A3:S68,15,FALSE)</f>
        <v>17.700000000000003</v>
      </c>
      <c r="G39" s="13">
        <f ca="1">VLOOKUP(A39,KGV!A3:S68,19,FALSE)</f>
        <v>-4.883866917765245E-2</v>
      </c>
      <c r="H39" s="19">
        <f t="shared" ca="1" si="8"/>
        <v>23.058439987265203</v>
      </c>
      <c r="I39" s="13">
        <f t="shared" ca="1" si="9"/>
        <v>0.30273672244436156</v>
      </c>
      <c r="J39" s="36">
        <f ca="1">IF(G39&lt;Bewertung_Stammdaten!B$11,Bewertung_Stammdaten!A$11,IF(G39&lt;Bewertung_Stammdaten!B$12,Bewertung_Stammdaten!A$12,IF(G39&lt;Bewertung_Stammdaten!B$13,Bewertung_Stammdaten!A$13,IF(G39&lt;Bewertung_Stammdaten!B$14,Bewertung_Stammdaten!A$14,IF(G39&lt;Bewertung_Stammdaten!B$15,Bewertung_Stammdaten!A$15,IF(G39&lt;Bewertung_Stammdaten!B$16,Bewertung_Stammdaten!A$16,IF(G39&lt;Bewertung_Stammdaten!B$17,Bewertung_Stammdaten!A$17,IF(G39&lt;Bewertung_Stammdaten!B$18,Bewertung_Stammdaten!A$18,IF(G39&lt;Bewertung_Stammdaten!B$19,Bewertung_Stammdaten!A$19,Bewertung_Stammdaten!A$20)))))))))</f>
        <v>12</v>
      </c>
      <c r="K39" s="36">
        <f ca="1">IF(I39&lt;Bewertung_Stammdaten!N$11,Bewertung_Stammdaten!M$11,IF(I39&lt;Bewertung_Stammdaten!N$12,Bewertung_Stammdaten!M$12,IF(I39&lt;Bewertung_Stammdaten!N$13,Bewertung_Stammdaten!M$13,IF(I39&lt;Bewertung_Stammdaten!N$14,Bewertung_Stammdaten!M$14,IF(I39&lt;Bewertung_Stammdaten!N$15,Bewertung_Stammdaten!M$15,IF(I39&lt;Bewertung_Stammdaten!N$16,Bewertung_Stammdaten!M$16,IF(I39&lt;Bewertung_Stammdaten!N$17,Bewertung_Stammdaten!M$17,IF(I39&lt;Bewertung_Stammdaten!N$18,Bewertung_Stammdaten!M$18,IF(I39&lt;Bewertung_Stammdaten!N$19,Bewertung_Stammdaten!M$19,Bewertung_Stammdaten!M$20)))))))))</f>
        <v>1</v>
      </c>
      <c r="L39" s="49"/>
      <c r="M39" s="12">
        <f ca="1">VLOOKUP(A39,Buchwert_je_Aktie!A3:AC68,18,FALSE)</f>
        <v>30.949444444444438</v>
      </c>
      <c r="N39" s="12">
        <f>VLOOKUP(A39,Buchwert_je_Aktie!A3:AC68,15,FALSE)</f>
        <v>17.719000000000001</v>
      </c>
      <c r="O39" s="13">
        <f ca="1">VLOOKUP(A39,Buchwert_je_Aktie!A3:AC68,19,FALSE)</f>
        <v>0.74668121476632066</v>
      </c>
      <c r="P39" s="13">
        <f>VLOOKUP(A39,Buchwert_je_Aktie!A3:AC68,29,FALSE)</f>
        <v>6.5573770491802463E-3</v>
      </c>
      <c r="Q39" s="19">
        <f t="shared" ca="1" si="6"/>
        <v>30.949444444444438</v>
      </c>
      <c r="R39" s="13">
        <f t="shared" ca="1" si="3"/>
        <v>0.74668121476632066</v>
      </c>
      <c r="S39" s="58">
        <f ca="1">IF(O39&lt;Bewertung_Stammdaten!D$24,Bewertung_Stammdaten!C$24,IF(O39&lt;Bewertung_Stammdaten!D$25,Bewertung_Stammdaten!C$25,IF(O39&lt;Bewertung_Stammdaten!D$26,Bewertung_Stammdaten!C$26,IF(O39&lt;Bewertung_Stammdaten!D$27,Bewertung_Stammdaten!C$27,IF(O39&lt;Bewertung_Stammdaten!D$28,Bewertung_Stammdaten!C$28,IF(O39&lt;Bewertung_Stammdaten!D$29,Bewertung_Stammdaten!C$29,IF(O39&lt;Bewertung_Stammdaten!D$30,Bewertung_Stammdaten!C$30,IF(O39&lt;Bewertung_Stammdaten!D$31,Bewertung_Stammdaten!C$31,IF(O39&lt;Bewertung_Stammdaten!D$32,Bewertung_Stammdaten!C$32,Bewertung_Stammdaten!C$33)))))))))</f>
        <v>18</v>
      </c>
      <c r="T39" s="58">
        <f>IF(P39&lt;Bewertung_Stammdaten!F$24,Bewertung_Stammdaten!E$24,IF(P39&lt;Bewertung_Stammdaten!F$25,Bewertung_Stammdaten!E$25,IF(P39&lt;Bewertung_Stammdaten!F$26,Bewertung_Stammdaten!E$26,IF(P39&lt;Bewertung_Stammdaten!F$27,Bewertung_Stammdaten!E$27,IF(P39&lt;Bewertung_Stammdaten!F$28,Bewertung_Stammdaten!E$28,IF(P39&lt;Bewertung_Stammdaten!F$29,Bewertung_Stammdaten!E$29,IF(P39&lt;Bewertung_Stammdaten!F$30,Bewertung_Stammdaten!E$30,IF(P39&lt;Bewertung_Stammdaten!F$31,Bewertung_Stammdaten!E$31,IF(P39&lt;Bewertung_Stammdaten!F$32,Bewertung_Stammdaten!E$32,Bewertung_Stammdaten!E$33)))))))))</f>
        <v>12</v>
      </c>
      <c r="U39" s="58">
        <f ca="1">IF(R39&lt;Bewertung_Stammdaten!H$24,Bewertung_Stammdaten!G$24,IF(R39&lt;Bewertung_Stammdaten!H$25,Bewertung_Stammdaten!G$25,IF(R39&lt;Bewertung_Stammdaten!H$26,Bewertung_Stammdaten!G$26,IF(R39&lt;Bewertung_Stammdaten!H$27,Bewertung_Stammdaten!G$27,IF(R39&lt;Bewertung_Stammdaten!H$28,Bewertung_Stammdaten!G$28,IF(R39&lt;Bewertung_Stammdaten!H$29,Bewertung_Stammdaten!G$29,IF(R39&lt;Bewertung_Stammdaten!H$30,Bewertung_Stammdaten!G$30,IF(R39&lt;Bewertung_Stammdaten!H$31,Bewertung_Stammdaten!G$31,IF(R39&lt;Bewertung_Stammdaten!H$32,Bewertung_Stammdaten!G$32,Bewertung_Stammdaten!G$33)))))))))</f>
        <v>9</v>
      </c>
      <c r="V39" s="49"/>
      <c r="W39" s="17">
        <f ca="1">VLOOKUP(A39,Ergebnis_je_Aktie_verwässert!A3:S68,18,FALSE)</f>
        <v>6.0555000000000003</v>
      </c>
      <c r="X39" s="17">
        <f>VLOOKUP(A39,Ergebnis_je_Aktie_verwässert!A3:S68,15,FALSE)</f>
        <v>3.9570000000000007</v>
      </c>
      <c r="Y39" s="13">
        <f ca="1">VLOOKUP(A39,Ergebnis_je_Aktie_verwässert!A3:S68,19,FALSE)</f>
        <v>0.53032600454890044</v>
      </c>
      <c r="Z39" s="46">
        <f>VLOOKUP(A39,Ergebnis_je_Aktie_verwässert!A3:AC68,29,FALSE)</f>
        <v>-0.26987447698744771</v>
      </c>
      <c r="AA39" s="19">
        <f t="shared" ca="1" si="10"/>
        <v>4.4212751046025103</v>
      </c>
      <c r="AB39" s="13">
        <f t="shared" ca="1" si="11"/>
        <v>0.11733007445097532</v>
      </c>
      <c r="AC39" s="36">
        <f ca="1">IF(Y39&lt;Bewertung_Stammdaten!L$11,Bewertung_Stammdaten!K$11,IF(Y39&lt;Bewertung_Stammdaten!L$12,Bewertung_Stammdaten!K$12,IF(Y39&lt;Bewertung_Stammdaten!L$13,Bewertung_Stammdaten!K$13,IF(Y39&lt;Bewertung_Stammdaten!L$14,Bewertung_Stammdaten!K$14,IF(Y39&lt;Bewertung_Stammdaten!L$15,Bewertung_Stammdaten!K$15,IF(Y39&lt;Bewertung_Stammdaten!L$16,Bewertung_Stammdaten!K$16,IF(Y39&lt;Bewertung_Stammdaten!L$17,Bewertung_Stammdaten!K$17,IF(Y39&lt;Bewertung_Stammdaten!L$18,Bewertung_Stammdaten!K$18,IF(Y39&lt;Bewertung_Stammdaten!L$19,Bewertung_Stammdaten!K$19,Bewertung_Stammdaten!K$20)))))))))</f>
        <v>14</v>
      </c>
      <c r="AD39" s="36">
        <f>IF(Z39&lt;Bewertung_Stammdaten!R$11,Bewertung_Stammdaten!Q$11,IF(Z39&lt;Bewertung_Stammdaten!R$12,Bewertung_Stammdaten!Q$12,IF(Z39&lt;Bewertung_Stammdaten!R$13,Bewertung_Stammdaten!Q$13,IF(Z39&lt;Bewertung_Stammdaten!R$14,Bewertung_Stammdaten!Q$14,IF(Z39&lt;Bewertung_Stammdaten!R$15,Bewertung_Stammdaten!Q$15,IF(Z39&lt;Bewertung_Stammdaten!R$16,Bewertung_Stammdaten!Q$16,IF(Z39&lt;Bewertung_Stammdaten!R$17,Bewertung_Stammdaten!Q$17,IF(Z39&lt;Bewertung_Stammdaten!R$18,Bewertung_Stammdaten!Q$18,IF(Z39&lt;Bewertung_Stammdaten!R$19,Bewertung_Stammdaten!Q$19,Bewertung_Stammdaten!Q$20)))))))))</f>
        <v>5</v>
      </c>
      <c r="AE39" s="36">
        <f ca="1">IF(AB39&lt;Bewertung_Stammdaten!P$11,Bewertung_Stammdaten!O$11,IF(AB39&lt;Bewertung_Stammdaten!P$12,Bewertung_Stammdaten!O$12,IF(AB39&lt;Bewertung_Stammdaten!P$13,Bewertung_Stammdaten!O$13,IF(AB39&lt;Bewertung_Stammdaten!P$14,Bewertung_Stammdaten!O$14,IF(AB39&lt;Bewertung_Stammdaten!P$15,Bewertung_Stammdaten!O$15,IF(AB39&lt;Bewertung_Stammdaten!P$16,Bewertung_Stammdaten!O$16,IF(AB39&lt;Bewertung_Stammdaten!P$17,Bewertung_Stammdaten!O$17,IF(AB39&lt;Bewertung_Stammdaten!P$18,Bewertung_Stammdaten!O$18,IF(AB39&lt;Bewertung_Stammdaten!P$19,Bewertung_Stammdaten!O$19,Bewertung_Stammdaten!O$20)))))))))</f>
        <v>3</v>
      </c>
      <c r="AF39" s="49"/>
      <c r="AG39" s="13">
        <f ca="1">VLOOKUP(A39,Dividendenrendite!A3:S68,18,FALSE)</f>
        <v>2.7424722222222218E-2</v>
      </c>
      <c r="AH39" s="13">
        <f>VLOOKUP(A39,Dividendenrendite!A3:S68,15,FALSE)</f>
        <v>2.7619999999999995E-2</v>
      </c>
      <c r="AI39" s="13">
        <f ca="1">VLOOKUP(A39,Dividendenrendite!A3:S68,19,FALSE)</f>
        <v>-7.070158500281587E-3</v>
      </c>
      <c r="AJ39" s="36">
        <f ca="1">IF(AG39&lt;Bewertung_Stammdaten!D$11,Bewertung_Stammdaten!C$11,IF(AG39&lt;Bewertung_Stammdaten!D$12,Bewertung_Stammdaten!C$12,IF(AG39&lt;Bewertung_Stammdaten!D$13,Bewertung_Stammdaten!C$13,IF(AG39&lt;Bewertung_Stammdaten!D$14,Bewertung_Stammdaten!C$14,IF(AG39&lt;Bewertung_Stammdaten!D$15,Bewertung_Stammdaten!C$15,IF(AG39&lt;Bewertung_Stammdaten!D$16,Bewertung_Stammdaten!C$16,IF(AG39&lt;Bewertung_Stammdaten!D$17,Bewertung_Stammdaten!C$17,IF(AG39&lt;Bewertung_Stammdaten!D$18,Bewertung_Stammdaten!C$18,IF(AG39&lt;Bewertung_Stammdaten!D$19,Bewertung_Stammdaten!C$19,Bewertung_Stammdaten!C$20)))))))))</f>
        <v>9</v>
      </c>
      <c r="AK39" s="36">
        <f>IF(AH39&lt;Bewertung_Stammdaten!T$11,Bewertung_Stammdaten!S$11,IF(AH39&lt;Bewertung_Stammdaten!T$12,Bewertung_Stammdaten!S$12,IF(AH39&lt;Bewertung_Stammdaten!T$13,Bewertung_Stammdaten!S$13,IF(AH39&lt;Bewertung_Stammdaten!T$14,Bewertung_Stammdaten!S$14,IF(AH39&lt;Bewertung_Stammdaten!T$15,Bewertung_Stammdaten!S$15,IF(AH39&lt;Bewertung_Stammdaten!T$16,Bewertung_Stammdaten!S$16,IF(AH39&lt;Bewertung_Stammdaten!T$17,Bewertung_Stammdaten!S$17,IF(AH39&lt;Bewertung_Stammdaten!T$18,Bewertung_Stammdaten!S$18,IF(AH39&lt;Bewertung_Stammdaten!T$19,Bewertung_Stammdaten!S$19,Bewertung_Stammdaten!S$20)))))))))</f>
        <v>6</v>
      </c>
      <c r="AL39" s="36">
        <f ca="1">IF(AI39&lt;Bewertung_Stammdaten!F$11,Bewertung_Stammdaten!E$11,IF(AI39&lt;Bewertung_Stammdaten!F$12,Bewertung_Stammdaten!E$12,IF(AI39&lt;Bewertung_Stammdaten!F$13,Bewertung_Stammdaten!E$13,IF(AI39&lt;Bewertung_Stammdaten!F$14,Bewertung_Stammdaten!E$14,IF(AI39&lt;Bewertung_Stammdaten!F$15,Bewertung_Stammdaten!E$15,IF(AI39&lt;Bewertung_Stammdaten!F$16,Bewertung_Stammdaten!E$16,IF(AI39&lt;Bewertung_Stammdaten!F$17,Bewertung_Stammdaten!E$17,IF(AI39&lt;Bewertung_Stammdaten!F$18,Bewertung_Stammdaten!E$18,IF(AI39&lt;Bewertung_Stammdaten!F$19,Bewertung_Stammdaten!E$19,Bewertung_Stammdaten!E$20)))))))))</f>
        <v>2.5</v>
      </c>
      <c r="AM39" s="49"/>
      <c r="AN39" s="13">
        <f>VLOOKUP(A39,Aktien_im_Umlauf_splitbereinigt!A3:W68,13,FALSE)</f>
        <v>1.5478761699064147E-2</v>
      </c>
      <c r="AO39" s="13">
        <f>VLOOKUP(A39,Aktien_im_Umlauf_splitbereinigt!A3:W68,22,FALSE)</f>
        <v>-5.6193645128004288E-3</v>
      </c>
      <c r="AP39" s="13">
        <f>VLOOKUP(A39,Aktien_im_Umlauf_splitbereinigt!A3:W68,23,FALSE)</f>
        <v>-3.7545395326828968</v>
      </c>
      <c r="AQ39" s="47">
        <f>IF(AN39&lt;Bewertung_Stammdaten!J$24,Bewertung_Stammdaten!I$24,IF(AN39&lt;Bewertung_Stammdaten!J$25,Bewertung_Stammdaten!I$25,IF(AN39&lt;Bewertung_Stammdaten!J$26,Bewertung_Stammdaten!I$26,IF(AN39&lt;Bewertung_Stammdaten!J$27,Bewertung_Stammdaten!I$27,IF(AN39&lt;Bewertung_Stammdaten!J$28,Bewertung_Stammdaten!I$28,IF(AN39&lt;Bewertung_Stammdaten!J$29,Bewertung_Stammdaten!I$29,IF(AN39&lt;Bewertung_Stammdaten!J$30,Bewertung_Stammdaten!I$30,IF(AN39&lt;Bewertung_Stammdaten!J$31,Bewertung_Stammdaten!I$31,IF(AN39&lt;Bewertung_Stammdaten!J$32,Bewertung_Stammdaten!I$32,Bewertung_Stammdaten!I$33)))))))))</f>
        <v>0.5</v>
      </c>
      <c r="AR39" s="47">
        <f>IF(AO39&lt;Bewertung_Stammdaten!L$24,Bewertung_Stammdaten!K$24,IF(AO39&lt;Bewertung_Stammdaten!L$25,Bewertung_Stammdaten!K$25,IF(AO39&lt;Bewertung_Stammdaten!L$26,Bewertung_Stammdaten!K$26,IF(AO39&lt;Bewertung_Stammdaten!L$27,Bewertung_Stammdaten!K$27,IF(AO39&lt;Bewertung_Stammdaten!L$28,Bewertung_Stammdaten!K$28,IF(AO39&lt;Bewertung_Stammdaten!L$29,Bewertung_Stammdaten!K$29,IF(AO39&lt;Bewertung_Stammdaten!L$30,Bewertung_Stammdaten!K$30,IF(AO39&lt;Bewertung_Stammdaten!L$31,Bewertung_Stammdaten!K$31,IF(AO39&lt;Bewertung_Stammdaten!L$32,Bewertung_Stammdaten!K$32,Bewertung_Stammdaten!K$33)))))))))</f>
        <v>2</v>
      </c>
      <c r="AS39" s="47">
        <f>IF(AP39&lt;Bewertung_Stammdaten!N$24,Bewertung_Stammdaten!M$24,IF(AP39&lt;Bewertung_Stammdaten!N$25,Bewertung_Stammdaten!M$25,IF(AP39&lt;Bewertung_Stammdaten!N$26,Bewertung_Stammdaten!M$26,IF(AP39&lt;Bewertung_Stammdaten!N$27,Bewertung_Stammdaten!M$27,IF(AP39&lt;Bewertung_Stammdaten!N$28,Bewertung_Stammdaten!M$28,IF(AP39&lt;Bewertung_Stammdaten!N$29,Bewertung_Stammdaten!M$29,IF(AP39&lt;Bewertung_Stammdaten!N$30,Bewertung_Stammdaten!M$30,IF(AP39&lt;Bewertung_Stammdaten!N$31,Bewertung_Stammdaten!M$31,IF(AP39&lt;Bewertung_Stammdaten!N$32,Bewertung_Stammdaten!M$32,Bewertung_Stammdaten!M$33)))))))))</f>
        <v>1</v>
      </c>
      <c r="AT39" s="49"/>
      <c r="AU39" s="13">
        <f ca="1">VLOOKUP(A39,Ausschüttungsquote!A3:S68,18,FALSE)</f>
        <v>0.46143080942612491</v>
      </c>
      <c r="AV39" s="13">
        <f>VLOOKUP(A39,Ausschüttungsquote!A3:S68,15,FALSE)</f>
        <v>0.46652229394906081</v>
      </c>
      <c r="AW39" s="13">
        <f ca="1">VLOOKUP(A39,Ausschüttungsquote!A3:S68,19,FALSE)</f>
        <v>-1.0913700350388522E-2</v>
      </c>
      <c r="AX39" s="36">
        <f ca="1">IF(AU39&lt;Bewertung_Stammdaten!H$11,Bewertung_Stammdaten!G$11,IF(AU39&lt;Bewertung_Stammdaten!H$12,Bewertung_Stammdaten!G$12,IF(AU39&lt;Bewertung_Stammdaten!H$13,Bewertung_Stammdaten!G$13,IF(AU39&lt;Bewertung_Stammdaten!H$14,Bewertung_Stammdaten!G$14,IF(AU39&lt;Bewertung_Stammdaten!H$15,Bewertung_Stammdaten!G$15,IF(AU39&lt;Bewertung_Stammdaten!H$16,Bewertung_Stammdaten!G$16,IF(AU39&lt;Bewertung_Stammdaten!H$17,Bewertung_Stammdaten!G$17,IF(AU39&lt;Bewertung_Stammdaten!H$18,Bewertung_Stammdaten!G$18,IF(AU39&lt;Bewertung_Stammdaten!H$19,Bewertung_Stammdaten!G$19,Bewertung_Stammdaten!G$20)))))))))</f>
        <v>4</v>
      </c>
      <c r="AY39" s="47">
        <f>IF(AV39&lt;Bewertung_Stammdaten!B$24,Bewertung_Stammdaten!A$24,IF(AV39&lt;Bewertung_Stammdaten!B$25,Bewertung_Stammdaten!A$25,IF(AV39&lt;Bewertung_Stammdaten!B$26,Bewertung_Stammdaten!A$26,IF(AV39&lt;Bewertung_Stammdaten!B$27,Bewertung_Stammdaten!A$27,IF(AV39&lt;Bewertung_Stammdaten!B$28,Bewertung_Stammdaten!A$28,IF(AV39&lt;Bewertung_Stammdaten!B$29,Bewertung_Stammdaten!A$29,IF(AV39&lt;Bewertung_Stammdaten!B$30,Bewertung_Stammdaten!A$30,IF(AV39&lt;Bewertung_Stammdaten!B$31,Bewertung_Stammdaten!A$31,IF(AV39&lt;Bewertung_Stammdaten!B$32,Bewertung_Stammdaten!A$32,Bewertung_Stammdaten!A$33)))))))))</f>
        <v>4</v>
      </c>
      <c r="AZ39" s="36">
        <f ca="1">IF(AW39&lt;Bewertung_Stammdaten!J$11,Bewertung_Stammdaten!I$11,IF(AW39&lt;Bewertung_Stammdaten!J$12,Bewertung_Stammdaten!I$12,IF(AW39&lt;Bewertung_Stammdaten!J$13,Bewertung_Stammdaten!I$13,IF(AW39&lt;Bewertung_Stammdaten!J$14,Bewertung_Stammdaten!I$14,IF(AW39&lt;Bewertung_Stammdaten!J$15,Bewertung_Stammdaten!I$15,IF(AW39&lt;Bewertung_Stammdaten!J$16,Bewertung_Stammdaten!I$16,IF(AW39&lt;Bewertung_Stammdaten!J$17,Bewertung_Stammdaten!I$17,IF(AW39&lt;Bewertung_Stammdaten!J$18,Bewertung_Stammdaten!I$18,IF(AW39&lt;Bewertung_Stammdaten!J$19,Bewertung_Stammdaten!I$19,Bewertung_Stammdaten!I$20)))))))))</f>
        <v>3</v>
      </c>
    </row>
    <row r="40" spans="1:52" x14ac:dyDescent="0.25">
      <c r="A40" s="44" t="s">
        <v>76</v>
      </c>
      <c r="B40" s="44" t="s">
        <v>77</v>
      </c>
      <c r="C40" s="36">
        <f t="shared" ca="1" si="7"/>
        <v>68</v>
      </c>
      <c r="D40" s="49"/>
      <c r="E40" s="12">
        <f ca="1">VLOOKUP(A40,KGV!A3:S68,18,FALSE)</f>
        <v>17.795833333333334</v>
      </c>
      <c r="F40" s="12">
        <f>VLOOKUP(A40,KGV!A3:S68,15,FALSE)</f>
        <v>12.125</v>
      </c>
      <c r="G40" s="13">
        <f ca="1">VLOOKUP(A40,KGV!A3:S68,19,FALSE)</f>
        <v>0.46769759450171833</v>
      </c>
      <c r="H40" s="19">
        <f t="shared" ca="1" si="8"/>
        <v>35.47302777777778</v>
      </c>
      <c r="I40" s="13">
        <f t="shared" ca="1" si="9"/>
        <v>1.9256105383734252</v>
      </c>
      <c r="J40" s="36">
        <f ca="1">IF(G40&lt;Bewertung_Stammdaten!B$11,Bewertung_Stammdaten!A$11,IF(G40&lt;Bewertung_Stammdaten!B$12,Bewertung_Stammdaten!A$12,IF(G40&lt;Bewertung_Stammdaten!B$13,Bewertung_Stammdaten!A$13,IF(G40&lt;Bewertung_Stammdaten!B$14,Bewertung_Stammdaten!A$14,IF(G40&lt;Bewertung_Stammdaten!B$15,Bewertung_Stammdaten!A$15,IF(G40&lt;Bewertung_Stammdaten!B$16,Bewertung_Stammdaten!A$16,IF(G40&lt;Bewertung_Stammdaten!B$17,Bewertung_Stammdaten!A$17,IF(G40&lt;Bewertung_Stammdaten!B$18,Bewertung_Stammdaten!A$18,IF(G40&lt;Bewertung_Stammdaten!B$19,Bewertung_Stammdaten!A$19,Bewertung_Stammdaten!A$20)))))))))</f>
        <v>2</v>
      </c>
      <c r="K40" s="36">
        <f ca="1">IF(I40&lt;Bewertung_Stammdaten!N$11,Bewertung_Stammdaten!M$11,IF(I40&lt;Bewertung_Stammdaten!N$12,Bewertung_Stammdaten!M$12,IF(I40&lt;Bewertung_Stammdaten!N$13,Bewertung_Stammdaten!M$13,IF(I40&lt;Bewertung_Stammdaten!N$14,Bewertung_Stammdaten!M$14,IF(I40&lt;Bewertung_Stammdaten!N$15,Bewertung_Stammdaten!M$15,IF(I40&lt;Bewertung_Stammdaten!N$16,Bewertung_Stammdaten!M$16,IF(I40&lt;Bewertung_Stammdaten!N$17,Bewertung_Stammdaten!M$17,IF(I40&lt;Bewertung_Stammdaten!N$18,Bewertung_Stammdaten!M$18,IF(I40&lt;Bewertung_Stammdaten!N$19,Bewertung_Stammdaten!M$19,Bewertung_Stammdaten!M$20)))))))))</f>
        <v>1</v>
      </c>
      <c r="L40" s="49"/>
      <c r="M40" s="12">
        <f ca="1">VLOOKUP(A40,Buchwert_je_Aktie!A3:AC68,18,FALSE)</f>
        <v>9.3330277777777777</v>
      </c>
      <c r="N40" s="12">
        <f>VLOOKUP(A40,Buchwert_je_Aktie!A3:AC68,15,FALSE)</f>
        <v>7.3599999999999994</v>
      </c>
      <c r="O40" s="13">
        <f ca="1">VLOOKUP(A40,Buchwert_je_Aktie!A3:AC68,19,FALSE)</f>
        <v>0.26807442632850242</v>
      </c>
      <c r="P40" s="13">
        <f>VLOOKUP(A40,Buchwert_je_Aktie!A3:AC68,29,FALSE)</f>
        <v>0.44518272425249172</v>
      </c>
      <c r="Q40" s="19">
        <f t="shared" ca="1" si="6"/>
        <v>9.3330277777777777</v>
      </c>
      <c r="R40" s="13">
        <f t="shared" ca="1" si="3"/>
        <v>0.26807442632850242</v>
      </c>
      <c r="S40" s="58">
        <f ca="1">IF(O40&lt;Bewertung_Stammdaten!D$24,Bewertung_Stammdaten!C$24,IF(O40&lt;Bewertung_Stammdaten!D$25,Bewertung_Stammdaten!C$25,IF(O40&lt;Bewertung_Stammdaten!D$26,Bewertung_Stammdaten!C$26,IF(O40&lt;Bewertung_Stammdaten!D$27,Bewertung_Stammdaten!C$27,IF(O40&lt;Bewertung_Stammdaten!D$28,Bewertung_Stammdaten!C$28,IF(O40&lt;Bewertung_Stammdaten!D$29,Bewertung_Stammdaten!C$29,IF(O40&lt;Bewertung_Stammdaten!D$30,Bewertung_Stammdaten!C$30,IF(O40&lt;Bewertung_Stammdaten!D$31,Bewertung_Stammdaten!C$31,IF(O40&lt;Bewertung_Stammdaten!D$32,Bewertung_Stammdaten!C$32,Bewertung_Stammdaten!C$33)))))))))</f>
        <v>8</v>
      </c>
      <c r="T40" s="58">
        <f>IF(P40&lt;Bewertung_Stammdaten!F$24,Bewertung_Stammdaten!E$24,IF(P40&lt;Bewertung_Stammdaten!F$25,Bewertung_Stammdaten!E$25,IF(P40&lt;Bewertung_Stammdaten!F$26,Bewertung_Stammdaten!E$26,IF(P40&lt;Bewertung_Stammdaten!F$27,Bewertung_Stammdaten!E$27,IF(P40&lt;Bewertung_Stammdaten!F$28,Bewertung_Stammdaten!E$28,IF(P40&lt;Bewertung_Stammdaten!F$29,Bewertung_Stammdaten!E$29,IF(P40&lt;Bewertung_Stammdaten!F$30,Bewertung_Stammdaten!E$30,IF(P40&lt;Bewertung_Stammdaten!F$31,Bewertung_Stammdaten!E$31,IF(P40&lt;Bewertung_Stammdaten!F$32,Bewertung_Stammdaten!E$32,Bewertung_Stammdaten!E$33)))))))))</f>
        <v>15</v>
      </c>
      <c r="U40" s="58">
        <f ca="1">IF(R40&lt;Bewertung_Stammdaten!H$24,Bewertung_Stammdaten!G$24,IF(R40&lt;Bewertung_Stammdaten!H$25,Bewertung_Stammdaten!G$25,IF(R40&lt;Bewertung_Stammdaten!H$26,Bewertung_Stammdaten!G$26,IF(R40&lt;Bewertung_Stammdaten!H$27,Bewertung_Stammdaten!G$27,IF(R40&lt;Bewertung_Stammdaten!H$28,Bewertung_Stammdaten!G$28,IF(R40&lt;Bewertung_Stammdaten!H$29,Bewertung_Stammdaten!G$29,IF(R40&lt;Bewertung_Stammdaten!H$30,Bewertung_Stammdaten!G$30,IF(R40&lt;Bewertung_Stammdaten!H$31,Bewertung_Stammdaten!G$31,IF(R40&lt;Bewertung_Stammdaten!H$32,Bewertung_Stammdaten!G$32,Bewertung_Stammdaten!G$33)))))))))</f>
        <v>4</v>
      </c>
      <c r="V40" s="49"/>
      <c r="W40" s="17">
        <f ca="1">VLOOKUP(A40,Ergebnis_je_Aktie_verwässert!A3:S68,18,FALSE)</f>
        <v>3.3267222222222221</v>
      </c>
      <c r="X40" s="17">
        <f>VLOOKUP(A40,Ergebnis_je_Aktie_verwässert!A3:S68,15,FALSE)</f>
        <v>4.0600000000000005</v>
      </c>
      <c r="Y40" s="13">
        <f ca="1">VLOOKUP(A40,Ergebnis_je_Aktie_verwässert!A3:S68,19,FALSE)</f>
        <v>-0.18061029009304885</v>
      </c>
      <c r="Z40" s="46">
        <f>VLOOKUP(A40,Ergebnis_je_Aktie_verwässert!A3:AC68,29,FALSE)</f>
        <v>-0.49832775919732442</v>
      </c>
      <c r="AA40" s="19">
        <f t="shared" ca="1" si="10"/>
        <v>1.6689241917502786</v>
      </c>
      <c r="AB40" s="13">
        <f t="shared" ca="1" si="11"/>
        <v>-0.58893492814032555</v>
      </c>
      <c r="AC40" s="36">
        <f ca="1">IF(Y40&lt;Bewertung_Stammdaten!L$11,Bewertung_Stammdaten!K$11,IF(Y40&lt;Bewertung_Stammdaten!L$12,Bewertung_Stammdaten!K$12,IF(Y40&lt;Bewertung_Stammdaten!L$13,Bewertung_Stammdaten!K$13,IF(Y40&lt;Bewertung_Stammdaten!L$14,Bewertung_Stammdaten!K$14,IF(Y40&lt;Bewertung_Stammdaten!L$15,Bewertung_Stammdaten!K$15,IF(Y40&lt;Bewertung_Stammdaten!L$16,Bewertung_Stammdaten!K$16,IF(Y40&lt;Bewertung_Stammdaten!L$17,Bewertung_Stammdaten!K$17,IF(Y40&lt;Bewertung_Stammdaten!L$18,Bewertung_Stammdaten!K$18,IF(Y40&lt;Bewertung_Stammdaten!L$19,Bewertung_Stammdaten!K$19,Bewertung_Stammdaten!K$20)))))))))</f>
        <v>2</v>
      </c>
      <c r="AD40" s="36">
        <f>IF(Z40&lt;Bewertung_Stammdaten!R$11,Bewertung_Stammdaten!Q$11,IF(Z40&lt;Bewertung_Stammdaten!R$12,Bewertung_Stammdaten!Q$12,IF(Z40&lt;Bewertung_Stammdaten!R$13,Bewertung_Stammdaten!Q$13,IF(Z40&lt;Bewertung_Stammdaten!R$14,Bewertung_Stammdaten!Q$14,IF(Z40&lt;Bewertung_Stammdaten!R$15,Bewertung_Stammdaten!Q$15,IF(Z40&lt;Bewertung_Stammdaten!R$16,Bewertung_Stammdaten!Q$16,IF(Z40&lt;Bewertung_Stammdaten!R$17,Bewertung_Stammdaten!Q$17,IF(Z40&lt;Bewertung_Stammdaten!R$18,Bewertung_Stammdaten!Q$18,IF(Z40&lt;Bewertung_Stammdaten!R$19,Bewertung_Stammdaten!Q$19,Bewertung_Stammdaten!Q$20)))))))))</f>
        <v>3</v>
      </c>
      <c r="AE40" s="36">
        <f ca="1">IF(AB40&lt;Bewertung_Stammdaten!P$11,Bewertung_Stammdaten!O$11,IF(AB40&lt;Bewertung_Stammdaten!P$12,Bewertung_Stammdaten!O$12,IF(AB40&lt;Bewertung_Stammdaten!P$13,Bewertung_Stammdaten!O$13,IF(AB40&lt;Bewertung_Stammdaten!P$14,Bewertung_Stammdaten!O$14,IF(AB40&lt;Bewertung_Stammdaten!P$15,Bewertung_Stammdaten!O$15,IF(AB40&lt;Bewertung_Stammdaten!P$16,Bewertung_Stammdaten!O$16,IF(AB40&lt;Bewertung_Stammdaten!P$17,Bewertung_Stammdaten!O$17,IF(AB40&lt;Bewertung_Stammdaten!P$18,Bewertung_Stammdaten!O$18,IF(AB40&lt;Bewertung_Stammdaten!P$19,Bewertung_Stammdaten!O$19,Bewertung_Stammdaten!O$20)))))))))</f>
        <v>1</v>
      </c>
      <c r="AF40" s="49"/>
      <c r="AG40" s="13">
        <f ca="1">VLOOKUP(A40,Dividendenrendite!A3:S68,18,FALSE)</f>
        <v>3.7265833333333331E-2</v>
      </c>
      <c r="AH40" s="13">
        <f>VLOOKUP(A40,Dividendenrendite!A3:S68,15,FALSE)</f>
        <v>2.4500000000000001E-2</v>
      </c>
      <c r="AI40" s="13">
        <f ca="1">VLOOKUP(A40,Dividendenrendite!A3:S68,19,FALSE)</f>
        <v>0.52105442176870742</v>
      </c>
      <c r="AJ40" s="36">
        <f ca="1">IF(AG40&lt;Bewertung_Stammdaten!D$11,Bewertung_Stammdaten!C$11,IF(AG40&lt;Bewertung_Stammdaten!D$12,Bewertung_Stammdaten!C$12,IF(AG40&lt;Bewertung_Stammdaten!D$13,Bewertung_Stammdaten!C$13,IF(AG40&lt;Bewertung_Stammdaten!D$14,Bewertung_Stammdaten!C$14,IF(AG40&lt;Bewertung_Stammdaten!D$15,Bewertung_Stammdaten!C$15,IF(AG40&lt;Bewertung_Stammdaten!D$16,Bewertung_Stammdaten!C$16,IF(AG40&lt;Bewertung_Stammdaten!D$17,Bewertung_Stammdaten!C$17,IF(AG40&lt;Bewertung_Stammdaten!D$18,Bewertung_Stammdaten!C$18,IF(AG40&lt;Bewertung_Stammdaten!D$19,Bewertung_Stammdaten!C$19,Bewertung_Stammdaten!C$20)))))))))</f>
        <v>12</v>
      </c>
      <c r="AK40" s="36">
        <f>IF(AH40&lt;Bewertung_Stammdaten!T$11,Bewertung_Stammdaten!S$11,IF(AH40&lt;Bewertung_Stammdaten!T$12,Bewertung_Stammdaten!S$12,IF(AH40&lt;Bewertung_Stammdaten!T$13,Bewertung_Stammdaten!S$13,IF(AH40&lt;Bewertung_Stammdaten!T$14,Bewertung_Stammdaten!S$14,IF(AH40&lt;Bewertung_Stammdaten!T$15,Bewertung_Stammdaten!S$15,IF(AH40&lt;Bewertung_Stammdaten!T$16,Bewertung_Stammdaten!S$16,IF(AH40&lt;Bewertung_Stammdaten!T$17,Bewertung_Stammdaten!S$17,IF(AH40&lt;Bewertung_Stammdaten!T$18,Bewertung_Stammdaten!S$18,IF(AH40&lt;Bewertung_Stammdaten!T$19,Bewertung_Stammdaten!S$19,Bewertung_Stammdaten!S$20)))))))))</f>
        <v>5</v>
      </c>
      <c r="AL40" s="36">
        <f ca="1">IF(AI40&lt;Bewertung_Stammdaten!F$11,Bewertung_Stammdaten!E$11,IF(AI40&lt;Bewertung_Stammdaten!F$12,Bewertung_Stammdaten!E$12,IF(AI40&lt;Bewertung_Stammdaten!F$13,Bewertung_Stammdaten!E$13,IF(AI40&lt;Bewertung_Stammdaten!F$14,Bewertung_Stammdaten!E$14,IF(AI40&lt;Bewertung_Stammdaten!F$15,Bewertung_Stammdaten!E$15,IF(AI40&lt;Bewertung_Stammdaten!F$16,Bewertung_Stammdaten!E$16,IF(AI40&lt;Bewertung_Stammdaten!F$17,Bewertung_Stammdaten!E$17,IF(AI40&lt;Bewertung_Stammdaten!F$18,Bewertung_Stammdaten!E$18,IF(AI40&lt;Bewertung_Stammdaten!F$19,Bewertung_Stammdaten!E$19,Bewertung_Stammdaten!E$20)))))))))</f>
        <v>5</v>
      </c>
      <c r="AM40" s="49"/>
      <c r="AN40" s="13">
        <f>VLOOKUP(A40,Aktien_im_Umlauf_splitbereinigt!A3:W68,13,FALSE)</f>
        <v>4.9547499873603407E-3</v>
      </c>
      <c r="AO40" s="13">
        <f>VLOOKUP(A40,Aktien_im_Umlauf_splitbereinigt!A3:W68,22,FALSE)</f>
        <v>5.5052777637337117E-4</v>
      </c>
      <c r="AP40" s="13">
        <f>VLOOKUP(A40,Aktien_im_Umlauf_splitbereinigt!A3:W68,23,FALSE)</f>
        <v>-99.999989999999997</v>
      </c>
      <c r="AQ40" s="47">
        <f>IF(AN40&lt;Bewertung_Stammdaten!J$24,Bewertung_Stammdaten!I$24,IF(AN40&lt;Bewertung_Stammdaten!J$25,Bewertung_Stammdaten!I$25,IF(AN40&lt;Bewertung_Stammdaten!J$26,Bewertung_Stammdaten!I$26,IF(AN40&lt;Bewertung_Stammdaten!J$27,Bewertung_Stammdaten!I$27,IF(AN40&lt;Bewertung_Stammdaten!J$28,Bewertung_Stammdaten!I$28,IF(AN40&lt;Bewertung_Stammdaten!J$29,Bewertung_Stammdaten!I$29,IF(AN40&lt;Bewertung_Stammdaten!J$30,Bewertung_Stammdaten!I$30,IF(AN40&lt;Bewertung_Stammdaten!J$31,Bewertung_Stammdaten!I$31,IF(AN40&lt;Bewertung_Stammdaten!J$32,Bewertung_Stammdaten!I$32,Bewertung_Stammdaten!I$33)))))))))</f>
        <v>1</v>
      </c>
      <c r="AR40" s="47">
        <f>IF(AO40&lt;Bewertung_Stammdaten!L$24,Bewertung_Stammdaten!K$24,IF(AO40&lt;Bewertung_Stammdaten!L$25,Bewertung_Stammdaten!K$25,IF(AO40&lt;Bewertung_Stammdaten!L$26,Bewertung_Stammdaten!K$26,IF(AO40&lt;Bewertung_Stammdaten!L$27,Bewertung_Stammdaten!K$27,IF(AO40&lt;Bewertung_Stammdaten!L$28,Bewertung_Stammdaten!K$28,IF(AO40&lt;Bewertung_Stammdaten!L$29,Bewertung_Stammdaten!K$29,IF(AO40&lt;Bewertung_Stammdaten!L$30,Bewertung_Stammdaten!K$30,IF(AO40&lt;Bewertung_Stammdaten!L$31,Bewertung_Stammdaten!K$31,IF(AO40&lt;Bewertung_Stammdaten!L$32,Bewertung_Stammdaten!K$32,Bewertung_Stammdaten!K$33)))))))))</f>
        <v>1</v>
      </c>
      <c r="AS40" s="47">
        <f>IF(AP40&lt;Bewertung_Stammdaten!N$24,Bewertung_Stammdaten!M$24,IF(AP40&lt;Bewertung_Stammdaten!N$25,Bewertung_Stammdaten!M$25,IF(AP40&lt;Bewertung_Stammdaten!N$26,Bewertung_Stammdaten!M$26,IF(AP40&lt;Bewertung_Stammdaten!N$27,Bewertung_Stammdaten!M$27,IF(AP40&lt;Bewertung_Stammdaten!N$28,Bewertung_Stammdaten!M$28,IF(AP40&lt;Bewertung_Stammdaten!N$29,Bewertung_Stammdaten!M$29,IF(AP40&lt;Bewertung_Stammdaten!N$30,Bewertung_Stammdaten!M$30,IF(AP40&lt;Bewertung_Stammdaten!N$31,Bewertung_Stammdaten!M$31,IF(AP40&lt;Bewertung_Stammdaten!N$32,Bewertung_Stammdaten!M$32,Bewertung_Stammdaten!M$33)))))))))</f>
        <v>0.5</v>
      </c>
      <c r="AT40" s="49"/>
      <c r="AU40" s="13">
        <f ca="1">VLOOKUP(A40,Ausschüttungsquote!A3:S68,18,FALSE)</f>
        <v>0.66231142299190959</v>
      </c>
      <c r="AV40" s="13">
        <f>VLOOKUP(A40,Ausschüttungsquote!A3:S68,15,FALSE)</f>
        <v>0.31818181818181818</v>
      </c>
      <c r="AW40" s="13">
        <f ca="1">VLOOKUP(A40,Ausschüttungsquote!A3:S68,19,FALSE)</f>
        <v>1.0815501865460018</v>
      </c>
      <c r="AX40" s="36">
        <f ca="1">IF(AU40&lt;Bewertung_Stammdaten!H$11,Bewertung_Stammdaten!G$11,IF(AU40&lt;Bewertung_Stammdaten!H$12,Bewertung_Stammdaten!G$12,IF(AU40&lt;Bewertung_Stammdaten!H$13,Bewertung_Stammdaten!G$13,IF(AU40&lt;Bewertung_Stammdaten!H$14,Bewertung_Stammdaten!G$14,IF(AU40&lt;Bewertung_Stammdaten!H$15,Bewertung_Stammdaten!G$15,IF(AU40&lt;Bewertung_Stammdaten!H$16,Bewertung_Stammdaten!G$16,IF(AU40&lt;Bewertung_Stammdaten!H$17,Bewertung_Stammdaten!G$17,IF(AU40&lt;Bewertung_Stammdaten!H$18,Bewertung_Stammdaten!G$18,IF(AU40&lt;Bewertung_Stammdaten!H$19,Bewertung_Stammdaten!G$19,Bewertung_Stammdaten!G$20)))))))))</f>
        <v>2</v>
      </c>
      <c r="AY40" s="47">
        <f>IF(AV40&lt;Bewertung_Stammdaten!B$24,Bewertung_Stammdaten!A$24,IF(AV40&lt;Bewertung_Stammdaten!B$25,Bewertung_Stammdaten!A$25,IF(AV40&lt;Bewertung_Stammdaten!B$26,Bewertung_Stammdaten!A$26,IF(AV40&lt;Bewertung_Stammdaten!B$27,Bewertung_Stammdaten!A$27,IF(AV40&lt;Bewertung_Stammdaten!B$28,Bewertung_Stammdaten!A$28,IF(AV40&lt;Bewertung_Stammdaten!B$29,Bewertung_Stammdaten!A$29,IF(AV40&lt;Bewertung_Stammdaten!B$30,Bewertung_Stammdaten!A$30,IF(AV40&lt;Bewertung_Stammdaten!B$31,Bewertung_Stammdaten!A$31,IF(AV40&lt;Bewertung_Stammdaten!B$32,Bewertung_Stammdaten!A$32,Bewertung_Stammdaten!A$33)))))))))</f>
        <v>5</v>
      </c>
      <c r="AZ40" s="36">
        <f ca="1">IF(AW40&lt;Bewertung_Stammdaten!J$11,Bewertung_Stammdaten!I$11,IF(AW40&lt;Bewertung_Stammdaten!J$12,Bewertung_Stammdaten!I$12,IF(AW40&lt;Bewertung_Stammdaten!J$13,Bewertung_Stammdaten!I$13,IF(AW40&lt;Bewertung_Stammdaten!J$14,Bewertung_Stammdaten!I$14,IF(AW40&lt;Bewertung_Stammdaten!J$15,Bewertung_Stammdaten!I$15,IF(AW40&lt;Bewertung_Stammdaten!J$16,Bewertung_Stammdaten!I$16,IF(AW40&lt;Bewertung_Stammdaten!J$17,Bewertung_Stammdaten!I$17,IF(AW40&lt;Bewertung_Stammdaten!J$18,Bewertung_Stammdaten!I$18,IF(AW40&lt;Bewertung_Stammdaten!J$19,Bewertung_Stammdaten!I$19,Bewertung_Stammdaten!I$20)))))))))</f>
        <v>0.5</v>
      </c>
    </row>
    <row r="41" spans="1:52" x14ac:dyDescent="0.25">
      <c r="A41" s="44" t="s">
        <v>78</v>
      </c>
      <c r="B41" s="44" t="s">
        <v>79</v>
      </c>
      <c r="C41" s="36">
        <f t="shared" ca="1" si="7"/>
        <v>93</v>
      </c>
      <c r="D41" s="49"/>
      <c r="E41" s="12">
        <f ca="1">VLOOKUP(A41,KGV!A3:S68,18,FALSE)</f>
        <v>16.356111111111112</v>
      </c>
      <c r="F41" s="12">
        <f>VLOOKUP(A41,KGV!A3:S68,15,FALSE)</f>
        <v>16.45</v>
      </c>
      <c r="G41" s="13">
        <f ca="1">VLOOKUP(A41,KGV!A3:S68,19,FALSE)</f>
        <v>-5.7075312394460065E-3</v>
      </c>
      <c r="H41" s="19">
        <f t="shared" ca="1" si="8"/>
        <v>23.377673961840632</v>
      </c>
      <c r="I41" s="13">
        <f t="shared" ca="1" si="9"/>
        <v>0.4211351952486706</v>
      </c>
      <c r="J41" s="36">
        <f ca="1">IF(G41&lt;Bewertung_Stammdaten!B$11,Bewertung_Stammdaten!A$11,IF(G41&lt;Bewertung_Stammdaten!B$12,Bewertung_Stammdaten!A$12,IF(G41&lt;Bewertung_Stammdaten!B$13,Bewertung_Stammdaten!A$13,IF(G41&lt;Bewertung_Stammdaten!B$14,Bewertung_Stammdaten!A$14,IF(G41&lt;Bewertung_Stammdaten!B$15,Bewertung_Stammdaten!A$15,IF(G41&lt;Bewertung_Stammdaten!B$16,Bewertung_Stammdaten!A$16,IF(G41&lt;Bewertung_Stammdaten!B$17,Bewertung_Stammdaten!A$17,IF(G41&lt;Bewertung_Stammdaten!B$18,Bewertung_Stammdaten!A$18,IF(G41&lt;Bewertung_Stammdaten!B$19,Bewertung_Stammdaten!A$19,Bewertung_Stammdaten!A$20)))))))))</f>
        <v>12</v>
      </c>
      <c r="K41" s="36">
        <f ca="1">IF(I41&lt;Bewertung_Stammdaten!N$11,Bewertung_Stammdaten!M$11,IF(I41&lt;Bewertung_Stammdaten!N$12,Bewertung_Stammdaten!M$12,IF(I41&lt;Bewertung_Stammdaten!N$13,Bewertung_Stammdaten!M$13,IF(I41&lt;Bewertung_Stammdaten!N$14,Bewertung_Stammdaten!M$14,IF(I41&lt;Bewertung_Stammdaten!N$15,Bewertung_Stammdaten!M$15,IF(I41&lt;Bewertung_Stammdaten!N$16,Bewertung_Stammdaten!M$16,IF(I41&lt;Bewertung_Stammdaten!N$17,Bewertung_Stammdaten!M$17,IF(I41&lt;Bewertung_Stammdaten!N$18,Bewertung_Stammdaten!M$18,IF(I41&lt;Bewertung_Stammdaten!N$19,Bewertung_Stammdaten!M$19,Bewertung_Stammdaten!M$20)))))))))</f>
        <v>1</v>
      </c>
      <c r="L41" s="49"/>
      <c r="M41" s="12">
        <f ca="1">VLOOKUP(A41,Buchwert_je_Aktie!A3:AC68,18,FALSE)</f>
        <v>16.380833333333332</v>
      </c>
      <c r="N41" s="12">
        <f>VLOOKUP(A41,Buchwert_je_Aktie!A3:AC68,15,FALSE)</f>
        <v>13.330000000000002</v>
      </c>
      <c r="O41" s="13">
        <f ca="1">VLOOKUP(A41,Buchwert_je_Aktie!A3:AC68,19,FALSE)</f>
        <v>0.22886971742935702</v>
      </c>
      <c r="P41" s="13">
        <f>VLOOKUP(A41,Buchwert_je_Aktie!A3:AC68,29,FALSE)</f>
        <v>-8.4668192219679583E-2</v>
      </c>
      <c r="Q41" s="19">
        <f t="shared" ca="1" si="6"/>
        <v>14.99389778794813</v>
      </c>
      <c r="R41" s="13">
        <f t="shared" ca="1" si="3"/>
        <v>0.12482353998110485</v>
      </c>
      <c r="S41" s="58">
        <f ca="1">IF(O41&lt;Bewertung_Stammdaten!D$24,Bewertung_Stammdaten!C$24,IF(O41&lt;Bewertung_Stammdaten!D$25,Bewertung_Stammdaten!C$25,IF(O41&lt;Bewertung_Stammdaten!D$26,Bewertung_Stammdaten!C$26,IF(O41&lt;Bewertung_Stammdaten!D$27,Bewertung_Stammdaten!C$27,IF(O41&lt;Bewertung_Stammdaten!D$28,Bewertung_Stammdaten!C$28,IF(O41&lt;Bewertung_Stammdaten!D$29,Bewertung_Stammdaten!C$29,IF(O41&lt;Bewertung_Stammdaten!D$30,Bewertung_Stammdaten!C$30,IF(O41&lt;Bewertung_Stammdaten!D$31,Bewertung_Stammdaten!C$31,IF(O41&lt;Bewertung_Stammdaten!D$32,Bewertung_Stammdaten!C$32,Bewertung_Stammdaten!C$33)))))))))</f>
        <v>8</v>
      </c>
      <c r="T41" s="58">
        <f>IF(P41&lt;Bewertung_Stammdaten!F$24,Bewertung_Stammdaten!E$24,IF(P41&lt;Bewertung_Stammdaten!F$25,Bewertung_Stammdaten!E$25,IF(P41&lt;Bewertung_Stammdaten!F$26,Bewertung_Stammdaten!E$26,IF(P41&lt;Bewertung_Stammdaten!F$27,Bewertung_Stammdaten!E$27,IF(P41&lt;Bewertung_Stammdaten!F$28,Bewertung_Stammdaten!E$28,IF(P41&lt;Bewertung_Stammdaten!F$29,Bewertung_Stammdaten!E$29,IF(P41&lt;Bewertung_Stammdaten!F$30,Bewertung_Stammdaten!E$30,IF(P41&lt;Bewertung_Stammdaten!F$31,Bewertung_Stammdaten!E$31,IF(P41&lt;Bewertung_Stammdaten!F$32,Bewertung_Stammdaten!E$32,Bewertung_Stammdaten!E$33)))))))))</f>
        <v>9</v>
      </c>
      <c r="U41" s="58">
        <f ca="1">IF(R41&lt;Bewertung_Stammdaten!H$24,Bewertung_Stammdaten!G$24,IF(R41&lt;Bewertung_Stammdaten!H$25,Bewertung_Stammdaten!G$25,IF(R41&lt;Bewertung_Stammdaten!H$26,Bewertung_Stammdaten!G$26,IF(R41&lt;Bewertung_Stammdaten!H$27,Bewertung_Stammdaten!G$27,IF(R41&lt;Bewertung_Stammdaten!H$28,Bewertung_Stammdaten!G$28,IF(R41&lt;Bewertung_Stammdaten!H$29,Bewertung_Stammdaten!G$29,IF(R41&lt;Bewertung_Stammdaten!H$30,Bewertung_Stammdaten!G$30,IF(R41&lt;Bewertung_Stammdaten!H$31,Bewertung_Stammdaten!G$31,IF(R41&lt;Bewertung_Stammdaten!H$32,Bewertung_Stammdaten!G$32,Bewertung_Stammdaten!G$33)))))))))</f>
        <v>3</v>
      </c>
      <c r="V41" s="49"/>
      <c r="W41" s="17">
        <f ca="1">VLOOKUP(A41,Ergebnis_je_Aktie_verwässert!A3:S68,18,FALSE)</f>
        <v>6.0534444444444446</v>
      </c>
      <c r="X41" s="17">
        <f>VLOOKUP(A41,Ergebnis_je_Aktie_verwässert!A3:S68,15,FALSE)</f>
        <v>3.7269999999999994</v>
      </c>
      <c r="Y41" s="13">
        <f ca="1">VLOOKUP(A41,Ergebnis_je_Aktie_verwässert!A3:S68,19,FALSE)</f>
        <v>0.62421369585308439</v>
      </c>
      <c r="Z41" s="46">
        <f>VLOOKUP(A41,Ergebnis_je_Aktie_verwässert!A3:AC68,29,FALSE)</f>
        <v>-0.30035335689045939</v>
      </c>
      <c r="AA41" s="19">
        <f t="shared" ca="1" si="10"/>
        <v>4.2352720848056533</v>
      </c>
      <c r="AB41" s="13">
        <f t="shared" ca="1" si="11"/>
        <v>0.13637565999615076</v>
      </c>
      <c r="AC41" s="36">
        <f ca="1">IF(Y41&lt;Bewertung_Stammdaten!L$11,Bewertung_Stammdaten!K$11,IF(Y41&lt;Bewertung_Stammdaten!L$12,Bewertung_Stammdaten!K$12,IF(Y41&lt;Bewertung_Stammdaten!L$13,Bewertung_Stammdaten!K$13,IF(Y41&lt;Bewertung_Stammdaten!L$14,Bewertung_Stammdaten!K$14,IF(Y41&lt;Bewertung_Stammdaten!L$15,Bewertung_Stammdaten!K$15,IF(Y41&lt;Bewertung_Stammdaten!L$16,Bewertung_Stammdaten!K$16,IF(Y41&lt;Bewertung_Stammdaten!L$17,Bewertung_Stammdaten!K$17,IF(Y41&lt;Bewertung_Stammdaten!L$18,Bewertung_Stammdaten!K$18,IF(Y41&lt;Bewertung_Stammdaten!L$19,Bewertung_Stammdaten!K$19,Bewertung_Stammdaten!K$20)))))))))</f>
        <v>16</v>
      </c>
      <c r="AD41" s="36">
        <f>IF(Z41&lt;Bewertung_Stammdaten!R$11,Bewertung_Stammdaten!Q$11,IF(Z41&lt;Bewertung_Stammdaten!R$12,Bewertung_Stammdaten!Q$12,IF(Z41&lt;Bewertung_Stammdaten!R$13,Bewertung_Stammdaten!Q$13,IF(Z41&lt;Bewertung_Stammdaten!R$14,Bewertung_Stammdaten!Q$14,IF(Z41&lt;Bewertung_Stammdaten!R$15,Bewertung_Stammdaten!Q$15,IF(Z41&lt;Bewertung_Stammdaten!R$16,Bewertung_Stammdaten!Q$16,IF(Z41&lt;Bewertung_Stammdaten!R$17,Bewertung_Stammdaten!Q$17,IF(Z41&lt;Bewertung_Stammdaten!R$18,Bewertung_Stammdaten!Q$18,IF(Z41&lt;Bewertung_Stammdaten!R$19,Bewertung_Stammdaten!Q$19,Bewertung_Stammdaten!Q$20)))))))))</f>
        <v>4</v>
      </c>
      <c r="AE41" s="36">
        <f ca="1">IF(AB41&lt;Bewertung_Stammdaten!P$11,Bewertung_Stammdaten!O$11,IF(AB41&lt;Bewertung_Stammdaten!P$12,Bewertung_Stammdaten!O$12,IF(AB41&lt;Bewertung_Stammdaten!P$13,Bewertung_Stammdaten!O$13,IF(AB41&lt;Bewertung_Stammdaten!P$14,Bewertung_Stammdaten!O$14,IF(AB41&lt;Bewertung_Stammdaten!P$15,Bewertung_Stammdaten!O$15,IF(AB41&lt;Bewertung_Stammdaten!P$16,Bewertung_Stammdaten!O$16,IF(AB41&lt;Bewertung_Stammdaten!P$17,Bewertung_Stammdaten!O$17,IF(AB41&lt;Bewertung_Stammdaten!P$18,Bewertung_Stammdaten!O$18,IF(AB41&lt;Bewertung_Stammdaten!P$19,Bewertung_Stammdaten!O$19,Bewertung_Stammdaten!O$20)))))))))</f>
        <v>3</v>
      </c>
      <c r="AF41" s="49"/>
      <c r="AG41" s="13">
        <f ca="1">VLOOKUP(A41,Dividendenrendite!A3:S68,18,FALSE)</f>
        <v>3.4906944444444449E-2</v>
      </c>
      <c r="AH41" s="13">
        <f>VLOOKUP(A41,Dividendenrendite!A3:S68,15,FALSE)</f>
        <v>2.6350000000000002E-2</v>
      </c>
      <c r="AI41" s="13">
        <f ca="1">VLOOKUP(A41,Dividendenrendite!A3:S68,19,FALSE)</f>
        <v>0.32474172464684803</v>
      </c>
      <c r="AJ41" s="36">
        <f ca="1">IF(AG41&lt;Bewertung_Stammdaten!D$11,Bewertung_Stammdaten!C$11,IF(AG41&lt;Bewertung_Stammdaten!D$12,Bewertung_Stammdaten!C$12,IF(AG41&lt;Bewertung_Stammdaten!D$13,Bewertung_Stammdaten!C$13,IF(AG41&lt;Bewertung_Stammdaten!D$14,Bewertung_Stammdaten!C$14,IF(AG41&lt;Bewertung_Stammdaten!D$15,Bewertung_Stammdaten!C$15,IF(AG41&lt;Bewertung_Stammdaten!D$16,Bewertung_Stammdaten!C$16,IF(AG41&lt;Bewertung_Stammdaten!D$17,Bewertung_Stammdaten!C$17,IF(AG41&lt;Bewertung_Stammdaten!D$18,Bewertung_Stammdaten!C$18,IF(AG41&lt;Bewertung_Stammdaten!D$19,Bewertung_Stammdaten!C$19,Bewertung_Stammdaten!C$20)))))))))</f>
        <v>10.5</v>
      </c>
      <c r="AK41" s="36">
        <f>IF(AH41&lt;Bewertung_Stammdaten!T$11,Bewertung_Stammdaten!S$11,IF(AH41&lt;Bewertung_Stammdaten!T$12,Bewertung_Stammdaten!S$12,IF(AH41&lt;Bewertung_Stammdaten!T$13,Bewertung_Stammdaten!S$13,IF(AH41&lt;Bewertung_Stammdaten!T$14,Bewertung_Stammdaten!S$14,IF(AH41&lt;Bewertung_Stammdaten!T$15,Bewertung_Stammdaten!S$15,IF(AH41&lt;Bewertung_Stammdaten!T$16,Bewertung_Stammdaten!S$16,IF(AH41&lt;Bewertung_Stammdaten!T$17,Bewertung_Stammdaten!S$17,IF(AH41&lt;Bewertung_Stammdaten!T$18,Bewertung_Stammdaten!S$18,IF(AH41&lt;Bewertung_Stammdaten!T$19,Bewertung_Stammdaten!S$19,Bewertung_Stammdaten!S$20)))))))))</f>
        <v>6</v>
      </c>
      <c r="AL41" s="36">
        <f ca="1">IF(AI41&lt;Bewertung_Stammdaten!F$11,Bewertung_Stammdaten!E$11,IF(AI41&lt;Bewertung_Stammdaten!F$12,Bewertung_Stammdaten!E$12,IF(AI41&lt;Bewertung_Stammdaten!F$13,Bewertung_Stammdaten!E$13,IF(AI41&lt;Bewertung_Stammdaten!F$14,Bewertung_Stammdaten!E$14,IF(AI41&lt;Bewertung_Stammdaten!F$15,Bewertung_Stammdaten!E$15,IF(AI41&lt;Bewertung_Stammdaten!F$16,Bewertung_Stammdaten!E$16,IF(AI41&lt;Bewertung_Stammdaten!F$17,Bewertung_Stammdaten!E$17,IF(AI41&lt;Bewertung_Stammdaten!F$18,Bewertung_Stammdaten!E$18,IF(AI41&lt;Bewertung_Stammdaten!F$19,Bewertung_Stammdaten!E$19,Bewertung_Stammdaten!E$20)))))))))</f>
        <v>5</v>
      </c>
      <c r="AM41" s="49"/>
      <c r="AN41" s="13">
        <f>VLOOKUP(A41,Aktien_im_Umlauf_splitbereinigt!A3:W68,13,FALSE)</f>
        <v>-1.2562313060817565E-2</v>
      </c>
      <c r="AO41" s="13">
        <f>VLOOKUP(A41,Aktien_im_Umlauf_splitbereinigt!A3:W68,22,FALSE)</f>
        <v>-2.5978311495950177E-2</v>
      </c>
      <c r="AP41" s="13">
        <f>VLOOKUP(A41,Aktien_im_Umlauf_splitbereinigt!A3:W68,23,FALSE)</f>
        <v>-0.51643073250638571</v>
      </c>
      <c r="AQ41" s="47">
        <f>IF(AN41&lt;Bewertung_Stammdaten!J$24,Bewertung_Stammdaten!I$24,IF(AN41&lt;Bewertung_Stammdaten!J$25,Bewertung_Stammdaten!I$25,IF(AN41&lt;Bewertung_Stammdaten!J$26,Bewertung_Stammdaten!I$26,IF(AN41&lt;Bewertung_Stammdaten!J$27,Bewertung_Stammdaten!I$27,IF(AN41&lt;Bewertung_Stammdaten!J$28,Bewertung_Stammdaten!I$28,IF(AN41&lt;Bewertung_Stammdaten!J$29,Bewertung_Stammdaten!I$29,IF(AN41&lt;Bewertung_Stammdaten!J$30,Bewertung_Stammdaten!I$30,IF(AN41&lt;Bewertung_Stammdaten!J$31,Bewertung_Stammdaten!I$31,IF(AN41&lt;Bewertung_Stammdaten!J$32,Bewertung_Stammdaten!I$32,Bewertung_Stammdaten!I$33)))))))))</f>
        <v>2.5</v>
      </c>
      <c r="AR41" s="47">
        <f>IF(AO41&lt;Bewertung_Stammdaten!L$24,Bewertung_Stammdaten!K$24,IF(AO41&lt;Bewertung_Stammdaten!L$25,Bewertung_Stammdaten!K$25,IF(AO41&lt;Bewertung_Stammdaten!L$26,Bewertung_Stammdaten!K$26,IF(AO41&lt;Bewertung_Stammdaten!L$27,Bewertung_Stammdaten!K$27,IF(AO41&lt;Bewertung_Stammdaten!L$28,Bewertung_Stammdaten!K$28,IF(AO41&lt;Bewertung_Stammdaten!L$29,Bewertung_Stammdaten!K$29,IF(AO41&lt;Bewertung_Stammdaten!L$30,Bewertung_Stammdaten!K$30,IF(AO41&lt;Bewertung_Stammdaten!L$31,Bewertung_Stammdaten!K$31,IF(AO41&lt;Bewertung_Stammdaten!L$32,Bewertung_Stammdaten!K$32,Bewertung_Stammdaten!K$33)))))))))</f>
        <v>4</v>
      </c>
      <c r="AS41" s="47">
        <f>IF(AP41&lt;Bewertung_Stammdaten!N$24,Bewertung_Stammdaten!M$24,IF(AP41&lt;Bewertung_Stammdaten!N$25,Bewertung_Stammdaten!M$25,IF(AP41&lt;Bewertung_Stammdaten!N$26,Bewertung_Stammdaten!M$26,IF(AP41&lt;Bewertung_Stammdaten!N$27,Bewertung_Stammdaten!M$27,IF(AP41&lt;Bewertung_Stammdaten!N$28,Bewertung_Stammdaten!M$28,IF(AP41&lt;Bewertung_Stammdaten!N$29,Bewertung_Stammdaten!M$29,IF(AP41&lt;Bewertung_Stammdaten!N$30,Bewertung_Stammdaten!M$30,IF(AP41&lt;Bewertung_Stammdaten!N$31,Bewertung_Stammdaten!M$31,IF(AP41&lt;Bewertung_Stammdaten!N$32,Bewertung_Stammdaten!M$32,Bewertung_Stammdaten!M$33)))))))))</f>
        <v>1.5</v>
      </c>
      <c r="AT41" s="49"/>
      <c r="AU41" s="13">
        <f ca="1">VLOOKUP(A41,Ausschüttungsquote!A3:S68,18,FALSE)</f>
        <v>0.57019902495921349</v>
      </c>
      <c r="AV41" s="13">
        <f>VLOOKUP(A41,Ausschüttungsquote!A3:S68,15,FALSE)</f>
        <v>0.47500562900461041</v>
      </c>
      <c r="AW41" s="13">
        <f ca="1">VLOOKUP(A41,Ausschüttungsquote!A3:S68,19,FALSE)</f>
        <v>0.20040477447411287</v>
      </c>
      <c r="AX41" s="36">
        <f ca="1">IF(AU41&lt;Bewertung_Stammdaten!H$11,Bewertung_Stammdaten!G$11,IF(AU41&lt;Bewertung_Stammdaten!H$12,Bewertung_Stammdaten!G$12,IF(AU41&lt;Bewertung_Stammdaten!H$13,Bewertung_Stammdaten!G$13,IF(AU41&lt;Bewertung_Stammdaten!H$14,Bewertung_Stammdaten!G$14,IF(AU41&lt;Bewertung_Stammdaten!H$15,Bewertung_Stammdaten!G$15,IF(AU41&lt;Bewertung_Stammdaten!H$16,Bewertung_Stammdaten!G$16,IF(AU41&lt;Bewertung_Stammdaten!H$17,Bewertung_Stammdaten!G$17,IF(AU41&lt;Bewertung_Stammdaten!H$18,Bewertung_Stammdaten!G$18,IF(AU41&lt;Bewertung_Stammdaten!H$19,Bewertung_Stammdaten!G$19,Bewertung_Stammdaten!G$20)))))))))</f>
        <v>3</v>
      </c>
      <c r="AY41" s="47">
        <f>IF(AV41&lt;Bewertung_Stammdaten!B$24,Bewertung_Stammdaten!A$24,IF(AV41&lt;Bewertung_Stammdaten!B$25,Bewertung_Stammdaten!A$25,IF(AV41&lt;Bewertung_Stammdaten!B$26,Bewertung_Stammdaten!A$26,IF(AV41&lt;Bewertung_Stammdaten!B$27,Bewertung_Stammdaten!A$27,IF(AV41&lt;Bewertung_Stammdaten!B$28,Bewertung_Stammdaten!A$28,IF(AV41&lt;Bewertung_Stammdaten!B$29,Bewertung_Stammdaten!A$29,IF(AV41&lt;Bewertung_Stammdaten!B$30,Bewertung_Stammdaten!A$30,IF(AV41&lt;Bewertung_Stammdaten!B$31,Bewertung_Stammdaten!A$31,IF(AV41&lt;Bewertung_Stammdaten!B$32,Bewertung_Stammdaten!A$32,Bewertung_Stammdaten!A$33)))))))))</f>
        <v>4</v>
      </c>
      <c r="AZ41" s="36">
        <f ca="1">IF(AW41&lt;Bewertung_Stammdaten!J$11,Bewertung_Stammdaten!I$11,IF(AW41&lt;Bewertung_Stammdaten!J$12,Bewertung_Stammdaten!I$12,IF(AW41&lt;Bewertung_Stammdaten!J$13,Bewertung_Stammdaten!I$13,IF(AW41&lt;Bewertung_Stammdaten!J$14,Bewertung_Stammdaten!I$14,IF(AW41&lt;Bewertung_Stammdaten!J$15,Bewertung_Stammdaten!I$15,IF(AW41&lt;Bewertung_Stammdaten!J$16,Bewertung_Stammdaten!I$16,IF(AW41&lt;Bewertung_Stammdaten!J$17,Bewertung_Stammdaten!I$17,IF(AW41&lt;Bewertung_Stammdaten!J$18,Bewertung_Stammdaten!I$18,IF(AW41&lt;Bewertung_Stammdaten!J$19,Bewertung_Stammdaten!I$19,Bewertung_Stammdaten!I$20)))))))))</f>
        <v>0.5</v>
      </c>
    </row>
    <row r="42" spans="1:52" x14ac:dyDescent="0.25">
      <c r="A42" s="44" t="s">
        <v>80</v>
      </c>
      <c r="B42" s="44" t="s">
        <v>81</v>
      </c>
      <c r="C42" s="36">
        <f t="shared" ca="1" si="7"/>
        <v>55.5</v>
      </c>
      <c r="D42" s="49"/>
      <c r="E42" s="12">
        <f ca="1">VLOOKUP(A42,KGV!A3:S68,18,FALSE)</f>
        <v>25.43416666666667</v>
      </c>
      <c r="F42" s="12">
        <f>VLOOKUP(A42,KGV!A3:S68,15,FALSE)</f>
        <v>16.8</v>
      </c>
      <c r="G42" s="13">
        <f ca="1">VLOOKUP(A42,KGV!A3:S68,19,FALSE)</f>
        <v>0.51393849206349218</v>
      </c>
      <c r="H42" s="19">
        <f t="shared" ca="1" si="8"/>
        <v>43.061806930693074</v>
      </c>
      <c r="I42" s="13">
        <f t="shared" ca="1" si="9"/>
        <v>1.5632027934936352</v>
      </c>
      <c r="J42" s="36">
        <f ca="1">IF(G42&lt;Bewertung_Stammdaten!B$11,Bewertung_Stammdaten!A$11,IF(G42&lt;Bewertung_Stammdaten!B$12,Bewertung_Stammdaten!A$12,IF(G42&lt;Bewertung_Stammdaten!B$13,Bewertung_Stammdaten!A$13,IF(G42&lt;Bewertung_Stammdaten!B$14,Bewertung_Stammdaten!A$14,IF(G42&lt;Bewertung_Stammdaten!B$15,Bewertung_Stammdaten!A$15,IF(G42&lt;Bewertung_Stammdaten!B$16,Bewertung_Stammdaten!A$16,IF(G42&lt;Bewertung_Stammdaten!B$17,Bewertung_Stammdaten!A$17,IF(G42&lt;Bewertung_Stammdaten!B$18,Bewertung_Stammdaten!A$18,IF(G42&lt;Bewertung_Stammdaten!B$19,Bewertung_Stammdaten!A$19,Bewertung_Stammdaten!A$20)))))))))</f>
        <v>2</v>
      </c>
      <c r="K42" s="36">
        <f ca="1">IF(I42&lt;Bewertung_Stammdaten!N$11,Bewertung_Stammdaten!M$11,IF(I42&lt;Bewertung_Stammdaten!N$12,Bewertung_Stammdaten!M$12,IF(I42&lt;Bewertung_Stammdaten!N$13,Bewertung_Stammdaten!M$13,IF(I42&lt;Bewertung_Stammdaten!N$14,Bewertung_Stammdaten!M$14,IF(I42&lt;Bewertung_Stammdaten!N$15,Bewertung_Stammdaten!M$15,IF(I42&lt;Bewertung_Stammdaten!N$16,Bewertung_Stammdaten!M$16,IF(I42&lt;Bewertung_Stammdaten!N$17,Bewertung_Stammdaten!M$17,IF(I42&lt;Bewertung_Stammdaten!N$18,Bewertung_Stammdaten!M$18,IF(I42&lt;Bewertung_Stammdaten!N$19,Bewertung_Stammdaten!M$19,Bewertung_Stammdaten!M$20)))))))))</f>
        <v>1</v>
      </c>
      <c r="L42" s="49"/>
      <c r="M42" s="12">
        <f ca="1">VLOOKUP(A42,Buchwert_je_Aktie!A3:AC68,18,FALSE)</f>
        <v>16.806944444444447</v>
      </c>
      <c r="N42" s="12">
        <f>VLOOKUP(A42,Buchwert_je_Aktie!A3:AC68,15,FALSE)</f>
        <v>17.818000000000001</v>
      </c>
      <c r="O42" s="13">
        <f ca="1">VLOOKUP(A42,Buchwert_je_Aktie!A3:AC68,19,FALSE)</f>
        <v>-5.6743492847432631E-2</v>
      </c>
      <c r="P42" s="13">
        <f>VLOOKUP(A42,Buchwert_je_Aktie!A3:AC68,29,FALSE)</f>
        <v>-7.1578947368421075E-2</v>
      </c>
      <c r="Q42" s="19">
        <f t="shared" ca="1" si="6"/>
        <v>15.603921052631581</v>
      </c>
      <c r="R42" s="13">
        <f t="shared" ca="1" si="3"/>
        <v>-0.12426080072782697</v>
      </c>
      <c r="S42" s="58">
        <f ca="1">IF(O42&lt;Bewertung_Stammdaten!D$24,Bewertung_Stammdaten!C$24,IF(O42&lt;Bewertung_Stammdaten!D$25,Bewertung_Stammdaten!C$25,IF(O42&lt;Bewertung_Stammdaten!D$26,Bewertung_Stammdaten!C$26,IF(O42&lt;Bewertung_Stammdaten!D$27,Bewertung_Stammdaten!C$27,IF(O42&lt;Bewertung_Stammdaten!D$28,Bewertung_Stammdaten!C$28,IF(O42&lt;Bewertung_Stammdaten!D$29,Bewertung_Stammdaten!C$29,IF(O42&lt;Bewertung_Stammdaten!D$30,Bewertung_Stammdaten!C$30,IF(O42&lt;Bewertung_Stammdaten!D$31,Bewertung_Stammdaten!C$31,IF(O42&lt;Bewertung_Stammdaten!D$32,Bewertung_Stammdaten!C$32,Bewertung_Stammdaten!C$33)))))))))</f>
        <v>2</v>
      </c>
      <c r="T42" s="58">
        <f>IF(P42&lt;Bewertung_Stammdaten!F$24,Bewertung_Stammdaten!E$24,IF(P42&lt;Bewertung_Stammdaten!F$25,Bewertung_Stammdaten!E$25,IF(P42&lt;Bewertung_Stammdaten!F$26,Bewertung_Stammdaten!E$26,IF(P42&lt;Bewertung_Stammdaten!F$27,Bewertung_Stammdaten!E$27,IF(P42&lt;Bewertung_Stammdaten!F$28,Bewertung_Stammdaten!E$28,IF(P42&lt;Bewertung_Stammdaten!F$29,Bewertung_Stammdaten!E$29,IF(P42&lt;Bewertung_Stammdaten!F$30,Bewertung_Stammdaten!E$30,IF(P42&lt;Bewertung_Stammdaten!F$31,Bewertung_Stammdaten!E$31,IF(P42&lt;Bewertung_Stammdaten!F$32,Bewertung_Stammdaten!E$32,Bewertung_Stammdaten!E$33)))))))))</f>
        <v>9</v>
      </c>
      <c r="U42" s="58">
        <f ca="1">IF(R42&lt;Bewertung_Stammdaten!H$24,Bewertung_Stammdaten!G$24,IF(R42&lt;Bewertung_Stammdaten!H$25,Bewertung_Stammdaten!G$25,IF(R42&lt;Bewertung_Stammdaten!H$26,Bewertung_Stammdaten!G$26,IF(R42&lt;Bewertung_Stammdaten!H$27,Bewertung_Stammdaten!G$27,IF(R42&lt;Bewertung_Stammdaten!H$28,Bewertung_Stammdaten!G$28,IF(R42&lt;Bewertung_Stammdaten!H$29,Bewertung_Stammdaten!G$29,IF(R42&lt;Bewertung_Stammdaten!H$30,Bewertung_Stammdaten!G$30,IF(R42&lt;Bewertung_Stammdaten!H$31,Bewertung_Stammdaten!G$31,IF(R42&lt;Bewertung_Stammdaten!H$32,Bewertung_Stammdaten!G$32,Bewertung_Stammdaten!G$33)))))))))</f>
        <v>1</v>
      </c>
      <c r="V42" s="49"/>
      <c r="W42" s="17">
        <f ca="1">VLOOKUP(A42,Ergebnis_je_Aktie_verwässert!A3:S68,18,FALSE)</f>
        <v>2.2984999999999998</v>
      </c>
      <c r="X42" s="17">
        <f>VLOOKUP(A42,Ergebnis_je_Aktie_verwässert!A3:S68,15,FALSE)</f>
        <v>2.6429999999999998</v>
      </c>
      <c r="Y42" s="13">
        <f ca="1">VLOOKUP(A42,Ergebnis_je_Aktie_verwässert!A3:S68,19,FALSE)</f>
        <v>-0.13034430571320477</v>
      </c>
      <c r="Z42" s="46">
        <f>VLOOKUP(A42,Ergebnis_je_Aktie_verwässert!A3:AC68,29,FALSE)</f>
        <v>-0.40935672514619881</v>
      </c>
      <c r="AA42" s="19">
        <f t="shared" ca="1" si="10"/>
        <v>1.3575935672514619</v>
      </c>
      <c r="AB42" s="13">
        <f t="shared" ca="1" si="11"/>
        <v>-0.48634371273119104</v>
      </c>
      <c r="AC42" s="36">
        <f ca="1">IF(Y42&lt;Bewertung_Stammdaten!L$11,Bewertung_Stammdaten!K$11,IF(Y42&lt;Bewertung_Stammdaten!L$12,Bewertung_Stammdaten!K$12,IF(Y42&lt;Bewertung_Stammdaten!L$13,Bewertung_Stammdaten!K$13,IF(Y42&lt;Bewertung_Stammdaten!L$14,Bewertung_Stammdaten!K$14,IF(Y42&lt;Bewertung_Stammdaten!L$15,Bewertung_Stammdaten!K$15,IF(Y42&lt;Bewertung_Stammdaten!L$16,Bewertung_Stammdaten!K$16,IF(Y42&lt;Bewertung_Stammdaten!L$17,Bewertung_Stammdaten!K$17,IF(Y42&lt;Bewertung_Stammdaten!L$18,Bewertung_Stammdaten!K$18,IF(Y42&lt;Bewertung_Stammdaten!L$19,Bewertung_Stammdaten!K$19,Bewertung_Stammdaten!K$20)))))))))</f>
        <v>2</v>
      </c>
      <c r="AD42" s="36">
        <f>IF(Z42&lt;Bewertung_Stammdaten!R$11,Bewertung_Stammdaten!Q$11,IF(Z42&lt;Bewertung_Stammdaten!R$12,Bewertung_Stammdaten!Q$12,IF(Z42&lt;Bewertung_Stammdaten!R$13,Bewertung_Stammdaten!Q$13,IF(Z42&lt;Bewertung_Stammdaten!R$14,Bewertung_Stammdaten!Q$14,IF(Z42&lt;Bewertung_Stammdaten!R$15,Bewertung_Stammdaten!Q$15,IF(Z42&lt;Bewertung_Stammdaten!R$16,Bewertung_Stammdaten!Q$16,IF(Z42&lt;Bewertung_Stammdaten!R$17,Bewertung_Stammdaten!Q$17,IF(Z42&lt;Bewertung_Stammdaten!R$18,Bewertung_Stammdaten!Q$18,IF(Z42&lt;Bewertung_Stammdaten!R$19,Bewertung_Stammdaten!Q$19,Bewertung_Stammdaten!Q$20)))))))))</f>
        <v>3</v>
      </c>
      <c r="AE42" s="36">
        <f ca="1">IF(AB42&lt;Bewertung_Stammdaten!P$11,Bewertung_Stammdaten!O$11,IF(AB42&lt;Bewertung_Stammdaten!P$12,Bewertung_Stammdaten!O$12,IF(AB42&lt;Bewertung_Stammdaten!P$13,Bewertung_Stammdaten!O$13,IF(AB42&lt;Bewertung_Stammdaten!P$14,Bewertung_Stammdaten!O$14,IF(AB42&lt;Bewertung_Stammdaten!P$15,Bewertung_Stammdaten!O$15,IF(AB42&lt;Bewertung_Stammdaten!P$16,Bewertung_Stammdaten!O$16,IF(AB42&lt;Bewertung_Stammdaten!P$17,Bewertung_Stammdaten!O$17,IF(AB42&lt;Bewertung_Stammdaten!P$18,Bewertung_Stammdaten!O$18,IF(AB42&lt;Bewertung_Stammdaten!P$19,Bewertung_Stammdaten!O$19,Bewertung_Stammdaten!O$20)))))))))</f>
        <v>1</v>
      </c>
      <c r="AF42" s="49"/>
      <c r="AG42" s="13">
        <f ca="1">VLOOKUP(A42,Dividendenrendite!A3:S68,18,FALSE)</f>
        <v>3.0582222222222226E-2</v>
      </c>
      <c r="AH42" s="13">
        <f>VLOOKUP(A42,Dividendenrendite!A3:S68,15,FALSE)</f>
        <v>4.0500000000000001E-2</v>
      </c>
      <c r="AI42" s="13">
        <f ca="1">VLOOKUP(A42,Dividendenrendite!A3:S68,19,FALSE)</f>
        <v>-0.24488340192043889</v>
      </c>
      <c r="AJ42" s="36">
        <f ca="1">IF(AG42&lt;Bewertung_Stammdaten!D$11,Bewertung_Stammdaten!C$11,IF(AG42&lt;Bewertung_Stammdaten!D$12,Bewertung_Stammdaten!C$12,IF(AG42&lt;Bewertung_Stammdaten!D$13,Bewertung_Stammdaten!C$13,IF(AG42&lt;Bewertung_Stammdaten!D$14,Bewertung_Stammdaten!C$14,IF(AG42&lt;Bewertung_Stammdaten!D$15,Bewertung_Stammdaten!C$15,IF(AG42&lt;Bewertung_Stammdaten!D$16,Bewertung_Stammdaten!C$16,IF(AG42&lt;Bewertung_Stammdaten!D$17,Bewertung_Stammdaten!C$17,IF(AG42&lt;Bewertung_Stammdaten!D$18,Bewertung_Stammdaten!C$18,IF(AG42&lt;Bewertung_Stammdaten!D$19,Bewertung_Stammdaten!C$19,Bewertung_Stammdaten!C$20)))))))))</f>
        <v>10.5</v>
      </c>
      <c r="AK42" s="36">
        <f>IF(AH42&lt;Bewertung_Stammdaten!T$11,Bewertung_Stammdaten!S$11,IF(AH42&lt;Bewertung_Stammdaten!T$12,Bewertung_Stammdaten!S$12,IF(AH42&lt;Bewertung_Stammdaten!T$13,Bewertung_Stammdaten!S$13,IF(AH42&lt;Bewertung_Stammdaten!T$14,Bewertung_Stammdaten!S$14,IF(AH42&lt;Bewertung_Stammdaten!T$15,Bewertung_Stammdaten!S$15,IF(AH42&lt;Bewertung_Stammdaten!T$16,Bewertung_Stammdaten!S$16,IF(AH42&lt;Bewertung_Stammdaten!T$17,Bewertung_Stammdaten!S$17,IF(AH42&lt;Bewertung_Stammdaten!T$18,Bewertung_Stammdaten!S$18,IF(AH42&lt;Bewertung_Stammdaten!T$19,Bewertung_Stammdaten!S$19,Bewertung_Stammdaten!S$20)))))))))</f>
        <v>9</v>
      </c>
      <c r="AL42" s="36">
        <f ca="1">IF(AI42&lt;Bewertung_Stammdaten!F$11,Bewertung_Stammdaten!E$11,IF(AI42&lt;Bewertung_Stammdaten!F$12,Bewertung_Stammdaten!E$12,IF(AI42&lt;Bewertung_Stammdaten!F$13,Bewertung_Stammdaten!E$13,IF(AI42&lt;Bewertung_Stammdaten!F$14,Bewertung_Stammdaten!E$14,IF(AI42&lt;Bewertung_Stammdaten!F$15,Bewertung_Stammdaten!E$15,IF(AI42&lt;Bewertung_Stammdaten!F$16,Bewertung_Stammdaten!E$16,IF(AI42&lt;Bewertung_Stammdaten!F$17,Bewertung_Stammdaten!E$17,IF(AI42&lt;Bewertung_Stammdaten!F$18,Bewertung_Stammdaten!E$18,IF(AI42&lt;Bewertung_Stammdaten!F$19,Bewertung_Stammdaten!E$19,Bewertung_Stammdaten!E$20)))))))))</f>
        <v>0.5</v>
      </c>
      <c r="AM42" s="49"/>
      <c r="AN42" s="13">
        <f>VLOOKUP(A42,Aktien_im_Umlauf_splitbereinigt!A3:W68,13,FALSE)</f>
        <v>-3.2705649157581784E-2</v>
      </c>
      <c r="AO42" s="13">
        <f>VLOOKUP(A42,Aktien_im_Umlauf_splitbereinigt!A3:W68,22,FALSE)</f>
        <v>4.1017799781378587E-2</v>
      </c>
      <c r="AP42" s="13">
        <f>VLOOKUP(A42,Aktien_im_Umlauf_splitbereinigt!A3:W68,23,FALSE)</f>
        <v>1.7973525964800681</v>
      </c>
      <c r="AQ42" s="47">
        <f>IF(AN42&lt;Bewertung_Stammdaten!J$24,Bewertung_Stammdaten!I$24,IF(AN42&lt;Bewertung_Stammdaten!J$25,Bewertung_Stammdaten!I$25,IF(AN42&lt;Bewertung_Stammdaten!J$26,Bewertung_Stammdaten!I$26,IF(AN42&lt;Bewertung_Stammdaten!J$27,Bewertung_Stammdaten!I$27,IF(AN42&lt;Bewertung_Stammdaten!J$28,Bewertung_Stammdaten!I$28,IF(AN42&lt;Bewertung_Stammdaten!J$29,Bewertung_Stammdaten!I$29,IF(AN42&lt;Bewertung_Stammdaten!J$30,Bewertung_Stammdaten!I$30,IF(AN42&lt;Bewertung_Stammdaten!J$31,Bewertung_Stammdaten!I$31,IF(AN42&lt;Bewertung_Stammdaten!J$32,Bewertung_Stammdaten!I$32,Bewertung_Stammdaten!I$33)))))))))</f>
        <v>4.5</v>
      </c>
      <c r="AR42" s="47">
        <f>IF(AO42&lt;Bewertung_Stammdaten!L$24,Bewertung_Stammdaten!K$24,IF(AO42&lt;Bewertung_Stammdaten!L$25,Bewertung_Stammdaten!K$25,IF(AO42&lt;Bewertung_Stammdaten!L$26,Bewertung_Stammdaten!K$26,IF(AO42&lt;Bewertung_Stammdaten!L$27,Bewertung_Stammdaten!K$27,IF(AO42&lt;Bewertung_Stammdaten!L$28,Bewertung_Stammdaten!K$28,IF(AO42&lt;Bewertung_Stammdaten!L$29,Bewertung_Stammdaten!K$29,IF(AO42&lt;Bewertung_Stammdaten!L$30,Bewertung_Stammdaten!K$30,IF(AO42&lt;Bewertung_Stammdaten!L$31,Bewertung_Stammdaten!K$31,IF(AO42&lt;Bewertung_Stammdaten!L$32,Bewertung_Stammdaten!K$32,Bewertung_Stammdaten!K$33)))))))))</f>
        <v>0.5</v>
      </c>
      <c r="AS42" s="47">
        <f>IF(AP42&lt;Bewertung_Stammdaten!N$24,Bewertung_Stammdaten!M$24,IF(AP42&lt;Bewertung_Stammdaten!N$25,Bewertung_Stammdaten!M$25,IF(AP42&lt;Bewertung_Stammdaten!N$26,Bewertung_Stammdaten!M$26,IF(AP42&lt;Bewertung_Stammdaten!N$27,Bewertung_Stammdaten!M$27,IF(AP42&lt;Bewertung_Stammdaten!N$28,Bewertung_Stammdaten!M$28,IF(AP42&lt;Bewertung_Stammdaten!N$29,Bewertung_Stammdaten!M$29,IF(AP42&lt;Bewertung_Stammdaten!N$30,Bewertung_Stammdaten!M$30,IF(AP42&lt;Bewertung_Stammdaten!N$31,Bewertung_Stammdaten!M$31,IF(AP42&lt;Bewertung_Stammdaten!N$32,Bewertung_Stammdaten!M$32,Bewertung_Stammdaten!M$33)))))))))</f>
        <v>5</v>
      </c>
      <c r="AT42" s="49"/>
      <c r="AU42" s="13">
        <f ca="1">VLOOKUP(A42,Ausschüttungsquote!A3:S68,18,FALSE)</f>
        <v>0.77522092493047923</v>
      </c>
      <c r="AV42" s="13">
        <f>VLOOKUP(A42,Ausschüttungsquote!A3:S68,15,FALSE)</f>
        <v>0.69639928574809873</v>
      </c>
      <c r="AW42" s="13">
        <f ca="1">VLOOKUP(A42,Ausschüttungsquote!A3:S68,19,FALSE)</f>
        <v>0.11318454914511755</v>
      </c>
      <c r="AX42" s="36">
        <f ca="1">IF(AU42&lt;Bewertung_Stammdaten!H$11,Bewertung_Stammdaten!G$11,IF(AU42&lt;Bewertung_Stammdaten!H$12,Bewertung_Stammdaten!G$12,IF(AU42&lt;Bewertung_Stammdaten!H$13,Bewertung_Stammdaten!G$13,IF(AU42&lt;Bewertung_Stammdaten!H$14,Bewertung_Stammdaten!G$14,IF(AU42&lt;Bewertung_Stammdaten!H$15,Bewertung_Stammdaten!G$15,IF(AU42&lt;Bewertung_Stammdaten!H$16,Bewertung_Stammdaten!G$16,IF(AU42&lt;Bewertung_Stammdaten!H$17,Bewertung_Stammdaten!G$17,IF(AU42&lt;Bewertung_Stammdaten!H$18,Bewertung_Stammdaten!G$18,IF(AU42&lt;Bewertung_Stammdaten!H$19,Bewertung_Stammdaten!G$19,Bewertung_Stammdaten!G$20)))))))))</f>
        <v>1</v>
      </c>
      <c r="AY42" s="47">
        <f>IF(AV42&lt;Bewertung_Stammdaten!B$24,Bewertung_Stammdaten!A$24,IF(AV42&lt;Bewertung_Stammdaten!B$25,Bewertung_Stammdaten!A$25,IF(AV42&lt;Bewertung_Stammdaten!B$26,Bewertung_Stammdaten!A$26,IF(AV42&lt;Bewertung_Stammdaten!B$27,Bewertung_Stammdaten!A$27,IF(AV42&lt;Bewertung_Stammdaten!B$28,Bewertung_Stammdaten!A$28,IF(AV42&lt;Bewertung_Stammdaten!B$29,Bewertung_Stammdaten!A$29,IF(AV42&lt;Bewertung_Stammdaten!B$30,Bewertung_Stammdaten!A$30,IF(AV42&lt;Bewertung_Stammdaten!B$31,Bewertung_Stammdaten!A$31,IF(AV42&lt;Bewertung_Stammdaten!B$32,Bewertung_Stammdaten!A$32,Bewertung_Stammdaten!A$33)))))))))</f>
        <v>2</v>
      </c>
      <c r="AZ42" s="36">
        <f ca="1">IF(AW42&lt;Bewertung_Stammdaten!J$11,Bewertung_Stammdaten!I$11,IF(AW42&lt;Bewertung_Stammdaten!J$12,Bewertung_Stammdaten!I$12,IF(AW42&lt;Bewertung_Stammdaten!J$13,Bewertung_Stammdaten!I$13,IF(AW42&lt;Bewertung_Stammdaten!J$14,Bewertung_Stammdaten!I$14,IF(AW42&lt;Bewertung_Stammdaten!J$15,Bewertung_Stammdaten!I$15,IF(AW42&lt;Bewertung_Stammdaten!J$16,Bewertung_Stammdaten!I$16,IF(AW42&lt;Bewertung_Stammdaten!J$17,Bewertung_Stammdaten!I$17,IF(AW42&lt;Bewertung_Stammdaten!J$18,Bewertung_Stammdaten!I$18,IF(AW42&lt;Bewertung_Stammdaten!J$19,Bewertung_Stammdaten!I$19,Bewertung_Stammdaten!I$20)))))))))</f>
        <v>1.5</v>
      </c>
    </row>
    <row r="43" spans="1:52" x14ac:dyDescent="0.25">
      <c r="A43" s="44" t="s">
        <v>82</v>
      </c>
      <c r="B43" s="44" t="s">
        <v>83</v>
      </c>
      <c r="C43" s="36">
        <f t="shared" ca="1" si="7"/>
        <v>95</v>
      </c>
      <c r="D43" s="49"/>
      <c r="E43" s="12">
        <f ca="1">VLOOKUP(A43,KGV!A3:S68,18,FALSE)</f>
        <v>16.036944444444444</v>
      </c>
      <c r="F43" s="12">
        <f>VLOOKUP(A43,KGV!A3:S68,15,FALSE)</f>
        <v>14.85</v>
      </c>
      <c r="G43" s="13">
        <f ca="1">VLOOKUP(A43,KGV!A3:S68,19,FALSE)</f>
        <v>7.9928918817807615E-2</v>
      </c>
      <c r="H43" s="19">
        <f t="shared" ca="1" si="8"/>
        <v>21.569690277777774</v>
      </c>
      <c r="I43" s="13">
        <f t="shared" ca="1" si="9"/>
        <v>0.45250439580995105</v>
      </c>
      <c r="J43" s="36">
        <f ca="1">IF(G43&lt;Bewertung_Stammdaten!B$11,Bewertung_Stammdaten!A$11,IF(G43&lt;Bewertung_Stammdaten!B$12,Bewertung_Stammdaten!A$12,IF(G43&lt;Bewertung_Stammdaten!B$13,Bewertung_Stammdaten!A$13,IF(G43&lt;Bewertung_Stammdaten!B$14,Bewertung_Stammdaten!A$14,IF(G43&lt;Bewertung_Stammdaten!B$15,Bewertung_Stammdaten!A$15,IF(G43&lt;Bewertung_Stammdaten!B$16,Bewertung_Stammdaten!A$16,IF(G43&lt;Bewertung_Stammdaten!B$17,Bewertung_Stammdaten!A$17,IF(G43&lt;Bewertung_Stammdaten!B$18,Bewertung_Stammdaten!A$18,IF(G43&lt;Bewertung_Stammdaten!B$19,Bewertung_Stammdaten!A$19,Bewertung_Stammdaten!A$20)))))))))</f>
        <v>8</v>
      </c>
      <c r="K43" s="36">
        <f ca="1">IF(I43&lt;Bewertung_Stammdaten!N$11,Bewertung_Stammdaten!M$11,IF(I43&lt;Bewertung_Stammdaten!N$12,Bewertung_Stammdaten!M$12,IF(I43&lt;Bewertung_Stammdaten!N$13,Bewertung_Stammdaten!M$13,IF(I43&lt;Bewertung_Stammdaten!N$14,Bewertung_Stammdaten!M$14,IF(I43&lt;Bewertung_Stammdaten!N$15,Bewertung_Stammdaten!M$15,IF(I43&lt;Bewertung_Stammdaten!N$16,Bewertung_Stammdaten!M$16,IF(I43&lt;Bewertung_Stammdaten!N$17,Bewertung_Stammdaten!M$17,IF(I43&lt;Bewertung_Stammdaten!N$18,Bewertung_Stammdaten!M$18,IF(I43&lt;Bewertung_Stammdaten!N$19,Bewertung_Stammdaten!M$19,Bewertung_Stammdaten!M$20)))))))))</f>
        <v>1</v>
      </c>
      <c r="L43" s="49"/>
      <c r="M43" s="12">
        <f ca="1">VLOOKUP(A43,Buchwert_je_Aktie!A3:AC68,18,FALSE)</f>
        <v>12.045277777777777</v>
      </c>
      <c r="N43" s="12">
        <f>VLOOKUP(A43,Buchwert_je_Aktie!A3:AC68,15,FALSE)</f>
        <v>5.665</v>
      </c>
      <c r="O43" s="13">
        <f ca="1">VLOOKUP(A43,Buchwert_je_Aktie!A3:AC68,19,FALSE)</f>
        <v>1.1262626262626263</v>
      </c>
      <c r="P43" s="13">
        <f>VLOOKUP(A43,Buchwert_je_Aktie!A3:AC68,29,FALSE)</f>
        <v>-0.34833091436865016</v>
      </c>
      <c r="Q43" s="19">
        <f t="shared" ca="1" si="6"/>
        <v>7.8495351556200612</v>
      </c>
      <c r="R43" s="13">
        <f t="shared" ca="1" si="3"/>
        <v>0.38561962146867801</v>
      </c>
      <c r="S43" s="58">
        <f ca="1">IF(O43&lt;Bewertung_Stammdaten!D$24,Bewertung_Stammdaten!C$24,IF(O43&lt;Bewertung_Stammdaten!D$25,Bewertung_Stammdaten!C$25,IF(O43&lt;Bewertung_Stammdaten!D$26,Bewertung_Stammdaten!C$26,IF(O43&lt;Bewertung_Stammdaten!D$27,Bewertung_Stammdaten!C$27,IF(O43&lt;Bewertung_Stammdaten!D$28,Bewertung_Stammdaten!C$28,IF(O43&lt;Bewertung_Stammdaten!D$29,Bewertung_Stammdaten!C$29,IF(O43&lt;Bewertung_Stammdaten!D$30,Bewertung_Stammdaten!C$30,IF(O43&lt;Bewertung_Stammdaten!D$31,Bewertung_Stammdaten!C$31,IF(O43&lt;Bewertung_Stammdaten!D$32,Bewertung_Stammdaten!C$32,Bewertung_Stammdaten!C$33)))))))))</f>
        <v>20</v>
      </c>
      <c r="T43" s="58">
        <f>IF(P43&lt;Bewertung_Stammdaten!F$24,Bewertung_Stammdaten!E$24,IF(P43&lt;Bewertung_Stammdaten!F$25,Bewertung_Stammdaten!E$25,IF(P43&lt;Bewertung_Stammdaten!F$26,Bewertung_Stammdaten!E$26,IF(P43&lt;Bewertung_Stammdaten!F$27,Bewertung_Stammdaten!E$27,IF(P43&lt;Bewertung_Stammdaten!F$28,Bewertung_Stammdaten!E$28,IF(P43&lt;Bewertung_Stammdaten!F$29,Bewertung_Stammdaten!E$29,IF(P43&lt;Bewertung_Stammdaten!F$30,Bewertung_Stammdaten!E$30,IF(P43&lt;Bewertung_Stammdaten!F$31,Bewertung_Stammdaten!E$31,IF(P43&lt;Bewertung_Stammdaten!F$32,Bewertung_Stammdaten!E$32,Bewertung_Stammdaten!E$33)))))))))</f>
        <v>1.5</v>
      </c>
      <c r="U43" s="58">
        <f ca="1">IF(R43&lt;Bewertung_Stammdaten!H$24,Bewertung_Stammdaten!G$24,IF(R43&lt;Bewertung_Stammdaten!H$25,Bewertung_Stammdaten!G$25,IF(R43&lt;Bewertung_Stammdaten!H$26,Bewertung_Stammdaten!G$26,IF(R43&lt;Bewertung_Stammdaten!H$27,Bewertung_Stammdaten!G$27,IF(R43&lt;Bewertung_Stammdaten!H$28,Bewertung_Stammdaten!G$28,IF(R43&lt;Bewertung_Stammdaten!H$29,Bewertung_Stammdaten!G$29,IF(R43&lt;Bewertung_Stammdaten!H$30,Bewertung_Stammdaten!G$30,IF(R43&lt;Bewertung_Stammdaten!H$31,Bewertung_Stammdaten!G$31,IF(R43&lt;Bewertung_Stammdaten!H$32,Bewertung_Stammdaten!G$32,Bewertung_Stammdaten!G$33)))))))))</f>
        <v>5</v>
      </c>
      <c r="V43" s="49"/>
      <c r="W43" s="17">
        <f ca="1">VLOOKUP(A43,Ergebnis_je_Aktie_verwässert!A3:S68,18,FALSE)</f>
        <v>2.7945277777777777</v>
      </c>
      <c r="X43" s="17">
        <f>VLOOKUP(A43,Ergebnis_je_Aktie_verwässert!A3:S68,15,FALSE)</f>
        <v>1.7349999999999999</v>
      </c>
      <c r="Y43" s="13">
        <f ca="1">VLOOKUP(A43,Ergebnis_je_Aktie_verwässert!A3:S68,19,FALSE)</f>
        <v>0.61067883445405058</v>
      </c>
      <c r="Z43" s="46">
        <f>VLOOKUP(A43,Ergebnis_je_Aktie_verwässert!A3:AC68,29,FALSE)</f>
        <v>-0.25650557620817838</v>
      </c>
      <c r="AA43" s="19">
        <f t="shared" ca="1" si="10"/>
        <v>2.0777158199091286</v>
      </c>
      <c r="AB43" s="13">
        <f t="shared" ca="1" si="11"/>
        <v>0.19753073193609727</v>
      </c>
      <c r="AC43" s="36">
        <f ca="1">IF(Y43&lt;Bewertung_Stammdaten!L$11,Bewertung_Stammdaten!K$11,IF(Y43&lt;Bewertung_Stammdaten!L$12,Bewertung_Stammdaten!K$12,IF(Y43&lt;Bewertung_Stammdaten!L$13,Bewertung_Stammdaten!K$13,IF(Y43&lt;Bewertung_Stammdaten!L$14,Bewertung_Stammdaten!K$14,IF(Y43&lt;Bewertung_Stammdaten!L$15,Bewertung_Stammdaten!K$15,IF(Y43&lt;Bewertung_Stammdaten!L$16,Bewertung_Stammdaten!K$16,IF(Y43&lt;Bewertung_Stammdaten!L$17,Bewertung_Stammdaten!K$17,IF(Y43&lt;Bewertung_Stammdaten!L$18,Bewertung_Stammdaten!K$18,IF(Y43&lt;Bewertung_Stammdaten!L$19,Bewertung_Stammdaten!K$19,Bewertung_Stammdaten!K$20)))))))))</f>
        <v>16</v>
      </c>
      <c r="AD43" s="36">
        <f>IF(Z43&lt;Bewertung_Stammdaten!R$11,Bewertung_Stammdaten!Q$11,IF(Z43&lt;Bewertung_Stammdaten!R$12,Bewertung_Stammdaten!Q$12,IF(Z43&lt;Bewertung_Stammdaten!R$13,Bewertung_Stammdaten!Q$13,IF(Z43&lt;Bewertung_Stammdaten!R$14,Bewertung_Stammdaten!Q$14,IF(Z43&lt;Bewertung_Stammdaten!R$15,Bewertung_Stammdaten!Q$15,IF(Z43&lt;Bewertung_Stammdaten!R$16,Bewertung_Stammdaten!Q$16,IF(Z43&lt;Bewertung_Stammdaten!R$17,Bewertung_Stammdaten!Q$17,IF(Z43&lt;Bewertung_Stammdaten!R$18,Bewertung_Stammdaten!Q$18,IF(Z43&lt;Bewertung_Stammdaten!R$19,Bewertung_Stammdaten!Q$19,Bewertung_Stammdaten!Q$20)))))))))</f>
        <v>5</v>
      </c>
      <c r="AE43" s="36">
        <f ca="1">IF(AB43&lt;Bewertung_Stammdaten!P$11,Bewertung_Stammdaten!O$11,IF(AB43&lt;Bewertung_Stammdaten!P$12,Bewertung_Stammdaten!O$12,IF(AB43&lt;Bewertung_Stammdaten!P$13,Bewertung_Stammdaten!O$13,IF(AB43&lt;Bewertung_Stammdaten!P$14,Bewertung_Stammdaten!O$14,IF(AB43&lt;Bewertung_Stammdaten!P$15,Bewertung_Stammdaten!O$15,IF(AB43&lt;Bewertung_Stammdaten!P$16,Bewertung_Stammdaten!O$16,IF(AB43&lt;Bewertung_Stammdaten!P$17,Bewertung_Stammdaten!O$17,IF(AB43&lt;Bewertung_Stammdaten!P$18,Bewertung_Stammdaten!O$18,IF(AB43&lt;Bewertung_Stammdaten!P$19,Bewertung_Stammdaten!O$19,Bewertung_Stammdaten!O$20)))))))))</f>
        <v>3</v>
      </c>
      <c r="AF43" s="49"/>
      <c r="AG43" s="13">
        <f ca="1">VLOOKUP(A43,Dividendenrendite!A3:S68,18,FALSE)</f>
        <v>2.3882222222222221E-2</v>
      </c>
      <c r="AH43" s="13">
        <f>VLOOKUP(A43,Dividendenrendite!A3:S68,15,FALSE)</f>
        <v>3.09E-2</v>
      </c>
      <c r="AI43" s="13">
        <f ca="1">VLOOKUP(A43,Dividendenrendite!A3:S68,19,FALSE)</f>
        <v>-0.22711254944264658</v>
      </c>
      <c r="AJ43" s="36">
        <f ca="1">IF(AG43&lt;Bewertung_Stammdaten!D$11,Bewertung_Stammdaten!C$11,IF(AG43&lt;Bewertung_Stammdaten!D$12,Bewertung_Stammdaten!C$12,IF(AG43&lt;Bewertung_Stammdaten!D$13,Bewertung_Stammdaten!C$13,IF(AG43&lt;Bewertung_Stammdaten!D$14,Bewertung_Stammdaten!C$14,IF(AG43&lt;Bewertung_Stammdaten!D$15,Bewertung_Stammdaten!C$15,IF(AG43&lt;Bewertung_Stammdaten!D$16,Bewertung_Stammdaten!C$16,IF(AG43&lt;Bewertung_Stammdaten!D$17,Bewertung_Stammdaten!C$17,IF(AG43&lt;Bewertung_Stammdaten!D$18,Bewertung_Stammdaten!C$18,IF(AG43&lt;Bewertung_Stammdaten!D$19,Bewertung_Stammdaten!C$19,Bewertung_Stammdaten!C$20)))))))))</f>
        <v>7.5</v>
      </c>
      <c r="AK43" s="36">
        <f>IF(AH43&lt;Bewertung_Stammdaten!T$11,Bewertung_Stammdaten!S$11,IF(AH43&lt;Bewertung_Stammdaten!T$12,Bewertung_Stammdaten!S$12,IF(AH43&lt;Bewertung_Stammdaten!T$13,Bewertung_Stammdaten!S$13,IF(AH43&lt;Bewertung_Stammdaten!T$14,Bewertung_Stammdaten!S$14,IF(AH43&lt;Bewertung_Stammdaten!T$15,Bewertung_Stammdaten!S$15,IF(AH43&lt;Bewertung_Stammdaten!T$16,Bewertung_Stammdaten!S$16,IF(AH43&lt;Bewertung_Stammdaten!T$17,Bewertung_Stammdaten!S$17,IF(AH43&lt;Bewertung_Stammdaten!T$18,Bewertung_Stammdaten!S$18,IF(AH43&lt;Bewertung_Stammdaten!T$19,Bewertung_Stammdaten!S$19,Bewertung_Stammdaten!S$20)))))))))</f>
        <v>7</v>
      </c>
      <c r="AL43" s="36">
        <f ca="1">IF(AI43&lt;Bewertung_Stammdaten!F$11,Bewertung_Stammdaten!E$11,IF(AI43&lt;Bewertung_Stammdaten!F$12,Bewertung_Stammdaten!E$12,IF(AI43&lt;Bewertung_Stammdaten!F$13,Bewertung_Stammdaten!E$13,IF(AI43&lt;Bewertung_Stammdaten!F$14,Bewertung_Stammdaten!E$14,IF(AI43&lt;Bewertung_Stammdaten!F$15,Bewertung_Stammdaten!E$15,IF(AI43&lt;Bewertung_Stammdaten!F$16,Bewertung_Stammdaten!E$16,IF(AI43&lt;Bewertung_Stammdaten!F$17,Bewertung_Stammdaten!E$17,IF(AI43&lt;Bewertung_Stammdaten!F$18,Bewertung_Stammdaten!E$18,IF(AI43&lt;Bewertung_Stammdaten!F$19,Bewertung_Stammdaten!E$19,Bewertung_Stammdaten!E$20)))))))))</f>
        <v>0.5</v>
      </c>
      <c r="AM43" s="49"/>
      <c r="AN43" s="13">
        <f>VLOOKUP(A43,Aktien_im_Umlauf_splitbereinigt!A3:W68,13,FALSE)</f>
        <v>-6.3238277055244208E-3</v>
      </c>
      <c r="AO43" s="13">
        <f>VLOOKUP(A43,Aktien_im_Umlauf_splitbereinigt!A3:W68,22,FALSE)</f>
        <v>-2.8844656823142918E-2</v>
      </c>
      <c r="AP43" s="13">
        <f>VLOOKUP(A43,Aktien_im_Umlauf_splitbereinigt!A3:W68,23,FALSE)</f>
        <v>-0.78076259515590329</v>
      </c>
      <c r="AQ43" s="47">
        <f>IF(AN43&lt;Bewertung_Stammdaten!J$24,Bewertung_Stammdaten!I$24,IF(AN43&lt;Bewertung_Stammdaten!J$25,Bewertung_Stammdaten!I$25,IF(AN43&lt;Bewertung_Stammdaten!J$26,Bewertung_Stammdaten!I$26,IF(AN43&lt;Bewertung_Stammdaten!J$27,Bewertung_Stammdaten!I$27,IF(AN43&lt;Bewertung_Stammdaten!J$28,Bewertung_Stammdaten!I$28,IF(AN43&lt;Bewertung_Stammdaten!J$29,Bewertung_Stammdaten!I$29,IF(AN43&lt;Bewertung_Stammdaten!J$30,Bewertung_Stammdaten!I$30,IF(AN43&lt;Bewertung_Stammdaten!J$31,Bewertung_Stammdaten!I$31,IF(AN43&lt;Bewertung_Stammdaten!J$32,Bewertung_Stammdaten!I$32,Bewertung_Stammdaten!I$33)))))))))</f>
        <v>2</v>
      </c>
      <c r="AR43" s="47">
        <f>IF(AO43&lt;Bewertung_Stammdaten!L$24,Bewertung_Stammdaten!K$24,IF(AO43&lt;Bewertung_Stammdaten!L$25,Bewertung_Stammdaten!K$25,IF(AO43&lt;Bewertung_Stammdaten!L$26,Bewertung_Stammdaten!K$26,IF(AO43&lt;Bewertung_Stammdaten!L$27,Bewertung_Stammdaten!K$27,IF(AO43&lt;Bewertung_Stammdaten!L$28,Bewertung_Stammdaten!K$28,IF(AO43&lt;Bewertung_Stammdaten!L$29,Bewertung_Stammdaten!K$29,IF(AO43&lt;Bewertung_Stammdaten!L$30,Bewertung_Stammdaten!K$30,IF(AO43&lt;Bewertung_Stammdaten!L$31,Bewertung_Stammdaten!K$31,IF(AO43&lt;Bewertung_Stammdaten!L$32,Bewertung_Stammdaten!K$32,Bewertung_Stammdaten!K$33)))))))))</f>
        <v>4</v>
      </c>
      <c r="AS43" s="47">
        <f>IF(AP43&lt;Bewertung_Stammdaten!N$24,Bewertung_Stammdaten!M$24,IF(AP43&lt;Bewertung_Stammdaten!N$25,Bewertung_Stammdaten!M$25,IF(AP43&lt;Bewertung_Stammdaten!N$26,Bewertung_Stammdaten!M$26,IF(AP43&lt;Bewertung_Stammdaten!N$27,Bewertung_Stammdaten!M$27,IF(AP43&lt;Bewertung_Stammdaten!N$28,Bewertung_Stammdaten!M$28,IF(AP43&lt;Bewertung_Stammdaten!N$29,Bewertung_Stammdaten!M$29,IF(AP43&lt;Bewertung_Stammdaten!N$30,Bewertung_Stammdaten!M$30,IF(AP43&lt;Bewertung_Stammdaten!N$31,Bewertung_Stammdaten!M$31,IF(AP43&lt;Bewertung_Stammdaten!N$32,Bewertung_Stammdaten!M$32,Bewertung_Stammdaten!M$33)))))))))</f>
        <v>1.5</v>
      </c>
      <c r="AT43" s="49"/>
      <c r="AU43" s="13">
        <f ca="1">VLOOKUP(A43,Ausschüttungsquote!A3:S68,18,FALSE)</f>
        <v>0.38245737774541927</v>
      </c>
      <c r="AV43" s="13">
        <f>VLOOKUP(A43,Ausschüttungsquote!A3:S68,15,FALSE)</f>
        <v>0.56208126090466537</v>
      </c>
      <c r="AW43" s="13">
        <f ca="1">VLOOKUP(A43,Ausschüttungsquote!A3:S68,19,FALSE)</f>
        <v>-0.31956924319117641</v>
      </c>
      <c r="AX43" s="36">
        <f ca="1">IF(AU43&lt;Bewertung_Stammdaten!H$11,Bewertung_Stammdaten!G$11,IF(AU43&lt;Bewertung_Stammdaten!H$12,Bewertung_Stammdaten!G$12,IF(AU43&lt;Bewertung_Stammdaten!H$13,Bewertung_Stammdaten!G$13,IF(AU43&lt;Bewertung_Stammdaten!H$14,Bewertung_Stammdaten!G$14,IF(AU43&lt;Bewertung_Stammdaten!H$15,Bewertung_Stammdaten!G$15,IF(AU43&lt;Bewertung_Stammdaten!H$16,Bewertung_Stammdaten!G$16,IF(AU43&lt;Bewertung_Stammdaten!H$17,Bewertung_Stammdaten!G$17,IF(AU43&lt;Bewertung_Stammdaten!H$18,Bewertung_Stammdaten!G$18,IF(AU43&lt;Bewertung_Stammdaten!H$19,Bewertung_Stammdaten!G$19,Bewertung_Stammdaten!G$20)))))))))</f>
        <v>5</v>
      </c>
      <c r="AY43" s="47">
        <f>IF(AV43&lt;Bewertung_Stammdaten!B$24,Bewertung_Stammdaten!A$24,IF(AV43&lt;Bewertung_Stammdaten!B$25,Bewertung_Stammdaten!A$25,IF(AV43&lt;Bewertung_Stammdaten!B$26,Bewertung_Stammdaten!A$26,IF(AV43&lt;Bewertung_Stammdaten!B$27,Bewertung_Stammdaten!A$27,IF(AV43&lt;Bewertung_Stammdaten!B$28,Bewertung_Stammdaten!A$28,IF(AV43&lt;Bewertung_Stammdaten!B$29,Bewertung_Stammdaten!A$29,IF(AV43&lt;Bewertung_Stammdaten!B$30,Bewertung_Stammdaten!A$30,IF(AV43&lt;Bewertung_Stammdaten!B$31,Bewertung_Stammdaten!A$31,IF(AV43&lt;Bewertung_Stammdaten!B$32,Bewertung_Stammdaten!A$32,Bewertung_Stammdaten!A$33)))))))))</f>
        <v>3</v>
      </c>
      <c r="AZ43" s="36">
        <f ca="1">IF(AW43&lt;Bewertung_Stammdaten!J$11,Bewertung_Stammdaten!I$11,IF(AW43&lt;Bewertung_Stammdaten!J$12,Bewertung_Stammdaten!I$12,IF(AW43&lt;Bewertung_Stammdaten!J$13,Bewertung_Stammdaten!I$13,IF(AW43&lt;Bewertung_Stammdaten!J$14,Bewertung_Stammdaten!I$14,IF(AW43&lt;Bewertung_Stammdaten!J$15,Bewertung_Stammdaten!I$15,IF(AW43&lt;Bewertung_Stammdaten!J$16,Bewertung_Stammdaten!I$16,IF(AW43&lt;Bewertung_Stammdaten!J$17,Bewertung_Stammdaten!I$17,IF(AW43&lt;Bewertung_Stammdaten!J$18,Bewertung_Stammdaten!I$18,IF(AW43&lt;Bewertung_Stammdaten!J$19,Bewertung_Stammdaten!I$19,Bewertung_Stammdaten!I$20)))))))))</f>
        <v>5</v>
      </c>
    </row>
    <row r="44" spans="1:52" x14ac:dyDescent="0.25">
      <c r="A44" s="44" t="s">
        <v>84</v>
      </c>
      <c r="B44" s="44" t="s">
        <v>85</v>
      </c>
      <c r="C44" s="36">
        <f t="shared" ca="1" si="7"/>
        <v>61</v>
      </c>
      <c r="D44" s="49"/>
      <c r="E44" s="12">
        <f ca="1">VLOOKUP(A44,KGV!A3:S68,18,FALSE)</f>
        <v>22.208055555555553</v>
      </c>
      <c r="F44" s="12">
        <f>VLOOKUP(A44,KGV!A3:S68,15,FALSE)</f>
        <v>16</v>
      </c>
      <c r="G44" s="13">
        <f ca="1">VLOOKUP(A44,KGV!A3:S68,19,FALSE)</f>
        <v>0.38800347222222209</v>
      </c>
      <c r="H44" s="19">
        <f t="shared" ca="1" si="8"/>
        <v>26.671986320491342</v>
      </c>
      <c r="I44" s="13">
        <f t="shared" ca="1" si="9"/>
        <v>0.6669991450307089</v>
      </c>
      <c r="J44" s="36">
        <f ca="1">IF(G44&lt;Bewertung_Stammdaten!B$11,Bewertung_Stammdaten!A$11,IF(G44&lt;Bewertung_Stammdaten!B$12,Bewertung_Stammdaten!A$12,IF(G44&lt;Bewertung_Stammdaten!B$13,Bewertung_Stammdaten!A$13,IF(G44&lt;Bewertung_Stammdaten!B$14,Bewertung_Stammdaten!A$14,IF(G44&lt;Bewertung_Stammdaten!B$15,Bewertung_Stammdaten!A$15,IF(G44&lt;Bewertung_Stammdaten!B$16,Bewertung_Stammdaten!A$16,IF(G44&lt;Bewertung_Stammdaten!B$17,Bewertung_Stammdaten!A$17,IF(G44&lt;Bewertung_Stammdaten!B$18,Bewertung_Stammdaten!A$18,IF(G44&lt;Bewertung_Stammdaten!B$19,Bewertung_Stammdaten!A$19,Bewertung_Stammdaten!A$20)))))))))</f>
        <v>2</v>
      </c>
      <c r="K44" s="36">
        <f ca="1">IF(I44&lt;Bewertung_Stammdaten!N$11,Bewertung_Stammdaten!M$11,IF(I44&lt;Bewertung_Stammdaten!N$12,Bewertung_Stammdaten!M$12,IF(I44&lt;Bewertung_Stammdaten!N$13,Bewertung_Stammdaten!M$13,IF(I44&lt;Bewertung_Stammdaten!N$14,Bewertung_Stammdaten!M$14,IF(I44&lt;Bewertung_Stammdaten!N$15,Bewertung_Stammdaten!M$15,IF(I44&lt;Bewertung_Stammdaten!N$16,Bewertung_Stammdaten!M$16,IF(I44&lt;Bewertung_Stammdaten!N$17,Bewertung_Stammdaten!M$17,IF(I44&lt;Bewertung_Stammdaten!N$18,Bewertung_Stammdaten!M$18,IF(I44&lt;Bewertung_Stammdaten!N$19,Bewertung_Stammdaten!M$19,Bewertung_Stammdaten!M$20)))))))))</f>
        <v>1</v>
      </c>
      <c r="L44" s="49"/>
      <c r="M44" s="12">
        <f ca="1">VLOOKUP(A44,Buchwert_je_Aktie!A3:AC68,18,FALSE)</f>
        <v>19.820555555555554</v>
      </c>
      <c r="N44" s="12">
        <f>VLOOKUP(A44,Buchwert_je_Aktie!A3:AC68,15,FALSE)</f>
        <v>18.121111111111112</v>
      </c>
      <c r="O44" s="13">
        <f ca="1">VLOOKUP(A44,Buchwert_je_Aktie!A3:AC68,19,FALSE)</f>
        <v>9.3782574038874023E-2</v>
      </c>
      <c r="P44" s="13">
        <f>VLOOKUP(A44,Buchwert_je_Aktie!A3:AC68,29,FALSE)</f>
        <v>-0.15064643057897698</v>
      </c>
      <c r="Q44" s="19">
        <f t="shared" ca="1" si="6"/>
        <v>16.834659609018797</v>
      </c>
      <c r="R44" s="13">
        <f t="shared" ca="1" si="3"/>
        <v>-7.0991866569568018E-2</v>
      </c>
      <c r="S44" s="58">
        <f ca="1">IF(O44&lt;Bewertung_Stammdaten!D$24,Bewertung_Stammdaten!C$24,IF(O44&lt;Bewertung_Stammdaten!D$25,Bewertung_Stammdaten!C$25,IF(O44&lt;Bewertung_Stammdaten!D$26,Bewertung_Stammdaten!C$26,IF(O44&lt;Bewertung_Stammdaten!D$27,Bewertung_Stammdaten!C$27,IF(O44&lt;Bewertung_Stammdaten!D$28,Bewertung_Stammdaten!C$28,IF(O44&lt;Bewertung_Stammdaten!D$29,Bewertung_Stammdaten!C$29,IF(O44&lt;Bewertung_Stammdaten!D$30,Bewertung_Stammdaten!C$30,IF(O44&lt;Bewertung_Stammdaten!D$31,Bewertung_Stammdaten!C$31,IF(O44&lt;Bewertung_Stammdaten!D$32,Bewertung_Stammdaten!C$32,Bewertung_Stammdaten!C$33)))))))))</f>
        <v>4</v>
      </c>
      <c r="T44" s="58">
        <f>IF(P44&lt;Bewertung_Stammdaten!F$24,Bewertung_Stammdaten!E$24,IF(P44&lt;Bewertung_Stammdaten!F$25,Bewertung_Stammdaten!E$25,IF(P44&lt;Bewertung_Stammdaten!F$26,Bewertung_Stammdaten!E$26,IF(P44&lt;Bewertung_Stammdaten!F$27,Bewertung_Stammdaten!E$27,IF(P44&lt;Bewertung_Stammdaten!F$28,Bewertung_Stammdaten!E$28,IF(P44&lt;Bewertung_Stammdaten!F$29,Bewertung_Stammdaten!E$29,IF(P44&lt;Bewertung_Stammdaten!F$30,Bewertung_Stammdaten!E$30,IF(P44&lt;Bewertung_Stammdaten!F$31,Bewertung_Stammdaten!E$31,IF(P44&lt;Bewertung_Stammdaten!F$32,Bewertung_Stammdaten!E$32,Bewertung_Stammdaten!E$33)))))))))</f>
        <v>6</v>
      </c>
      <c r="U44" s="58">
        <f ca="1">IF(R44&lt;Bewertung_Stammdaten!H$24,Bewertung_Stammdaten!G$24,IF(R44&lt;Bewertung_Stammdaten!H$25,Bewertung_Stammdaten!G$25,IF(R44&lt;Bewertung_Stammdaten!H$26,Bewertung_Stammdaten!G$26,IF(R44&lt;Bewertung_Stammdaten!H$27,Bewertung_Stammdaten!G$27,IF(R44&lt;Bewertung_Stammdaten!H$28,Bewertung_Stammdaten!G$28,IF(R44&lt;Bewertung_Stammdaten!H$29,Bewertung_Stammdaten!G$29,IF(R44&lt;Bewertung_Stammdaten!H$30,Bewertung_Stammdaten!G$30,IF(R44&lt;Bewertung_Stammdaten!H$31,Bewertung_Stammdaten!G$31,IF(R44&lt;Bewertung_Stammdaten!H$32,Bewertung_Stammdaten!G$32,Bewertung_Stammdaten!G$33)))))))))</f>
        <v>1</v>
      </c>
      <c r="V44" s="49"/>
      <c r="W44" s="17">
        <f ca="1">VLOOKUP(A44,Ergebnis_je_Aktie_verwässert!A3:S68,18,FALSE)</f>
        <v>1.7489166666666667</v>
      </c>
      <c r="X44" s="17">
        <f>VLOOKUP(A44,Ergebnis_je_Aktie_verwässert!A3:S68,15,FALSE)</f>
        <v>1.9144444444444442</v>
      </c>
      <c r="Y44" s="13">
        <f ca="1">VLOOKUP(A44,Ergebnis_je_Aktie_verwässert!A3:S68,19,FALSE)</f>
        <v>-8.6462565293093263E-2</v>
      </c>
      <c r="Z44" s="46">
        <f>VLOOKUP(A44,Ergebnis_je_Aktie_verwässert!A3:AC68,29,FALSE)</f>
        <v>-0.16736401673640167</v>
      </c>
      <c r="AA44" s="19">
        <f t="shared" ca="1" si="10"/>
        <v>1.4562109483960948</v>
      </c>
      <c r="AB44" s="13">
        <f t="shared" ca="1" si="11"/>
        <v>-0.23935585980470953</v>
      </c>
      <c r="AC44" s="36">
        <f ca="1">IF(Y44&lt;Bewertung_Stammdaten!L$11,Bewertung_Stammdaten!K$11,IF(Y44&lt;Bewertung_Stammdaten!L$12,Bewertung_Stammdaten!K$12,IF(Y44&lt;Bewertung_Stammdaten!L$13,Bewertung_Stammdaten!K$13,IF(Y44&lt;Bewertung_Stammdaten!L$14,Bewertung_Stammdaten!K$14,IF(Y44&lt;Bewertung_Stammdaten!L$15,Bewertung_Stammdaten!K$15,IF(Y44&lt;Bewertung_Stammdaten!L$16,Bewertung_Stammdaten!K$16,IF(Y44&lt;Bewertung_Stammdaten!L$17,Bewertung_Stammdaten!K$17,IF(Y44&lt;Bewertung_Stammdaten!L$18,Bewertung_Stammdaten!K$18,IF(Y44&lt;Bewertung_Stammdaten!L$19,Bewertung_Stammdaten!K$19,Bewertung_Stammdaten!K$20)))))))))</f>
        <v>2</v>
      </c>
      <c r="AD44" s="36">
        <f>IF(Z44&lt;Bewertung_Stammdaten!R$11,Bewertung_Stammdaten!Q$11,IF(Z44&lt;Bewertung_Stammdaten!R$12,Bewertung_Stammdaten!Q$12,IF(Z44&lt;Bewertung_Stammdaten!R$13,Bewertung_Stammdaten!Q$13,IF(Z44&lt;Bewertung_Stammdaten!R$14,Bewertung_Stammdaten!Q$14,IF(Z44&lt;Bewertung_Stammdaten!R$15,Bewertung_Stammdaten!Q$15,IF(Z44&lt;Bewertung_Stammdaten!R$16,Bewertung_Stammdaten!Q$16,IF(Z44&lt;Bewertung_Stammdaten!R$17,Bewertung_Stammdaten!Q$17,IF(Z44&lt;Bewertung_Stammdaten!R$18,Bewertung_Stammdaten!Q$18,IF(Z44&lt;Bewertung_Stammdaten!R$19,Bewertung_Stammdaten!Q$19,Bewertung_Stammdaten!Q$20)))))))))</f>
        <v>6</v>
      </c>
      <c r="AE44" s="36">
        <f ca="1">IF(AB44&lt;Bewertung_Stammdaten!P$11,Bewertung_Stammdaten!O$11,IF(AB44&lt;Bewertung_Stammdaten!P$12,Bewertung_Stammdaten!O$12,IF(AB44&lt;Bewertung_Stammdaten!P$13,Bewertung_Stammdaten!O$13,IF(AB44&lt;Bewertung_Stammdaten!P$14,Bewertung_Stammdaten!O$14,IF(AB44&lt;Bewertung_Stammdaten!P$15,Bewertung_Stammdaten!O$15,IF(AB44&lt;Bewertung_Stammdaten!P$16,Bewertung_Stammdaten!O$16,IF(AB44&lt;Bewertung_Stammdaten!P$17,Bewertung_Stammdaten!O$17,IF(AB44&lt;Bewertung_Stammdaten!P$18,Bewertung_Stammdaten!O$18,IF(AB44&lt;Bewertung_Stammdaten!P$19,Bewertung_Stammdaten!O$19,Bewertung_Stammdaten!O$20)))))))))</f>
        <v>1</v>
      </c>
      <c r="AF44" s="49"/>
      <c r="AG44" s="13">
        <f ca="1">VLOOKUP(A44,Dividendenrendite!A3:S68,18,FALSE)</f>
        <v>1.5783611111111109E-2</v>
      </c>
      <c r="AH44" s="13">
        <f>VLOOKUP(A44,Dividendenrendite!A3:S68,15,FALSE)</f>
        <v>3.2944444444444443E-2</v>
      </c>
      <c r="AI44" s="13">
        <f ca="1">VLOOKUP(A44,Dividendenrendite!A3:S68,19,FALSE)</f>
        <v>-0.52090219224283307</v>
      </c>
      <c r="AJ44" s="36">
        <f ca="1">IF(AG44&lt;Bewertung_Stammdaten!D$11,Bewertung_Stammdaten!C$11,IF(AG44&lt;Bewertung_Stammdaten!D$12,Bewertung_Stammdaten!C$12,IF(AG44&lt;Bewertung_Stammdaten!D$13,Bewertung_Stammdaten!C$13,IF(AG44&lt;Bewertung_Stammdaten!D$14,Bewertung_Stammdaten!C$14,IF(AG44&lt;Bewertung_Stammdaten!D$15,Bewertung_Stammdaten!C$15,IF(AG44&lt;Bewertung_Stammdaten!D$16,Bewertung_Stammdaten!C$16,IF(AG44&lt;Bewertung_Stammdaten!D$17,Bewertung_Stammdaten!C$17,IF(AG44&lt;Bewertung_Stammdaten!D$18,Bewertung_Stammdaten!C$18,IF(AG44&lt;Bewertung_Stammdaten!D$19,Bewertung_Stammdaten!C$19,Bewertung_Stammdaten!C$20)))))))))</f>
        <v>6</v>
      </c>
      <c r="AK44" s="36">
        <f>IF(AH44&lt;Bewertung_Stammdaten!T$11,Bewertung_Stammdaten!S$11,IF(AH44&lt;Bewertung_Stammdaten!T$12,Bewertung_Stammdaten!S$12,IF(AH44&lt;Bewertung_Stammdaten!T$13,Bewertung_Stammdaten!S$13,IF(AH44&lt;Bewertung_Stammdaten!T$14,Bewertung_Stammdaten!S$14,IF(AH44&lt;Bewertung_Stammdaten!T$15,Bewertung_Stammdaten!S$15,IF(AH44&lt;Bewertung_Stammdaten!T$16,Bewertung_Stammdaten!S$16,IF(AH44&lt;Bewertung_Stammdaten!T$17,Bewertung_Stammdaten!S$17,IF(AH44&lt;Bewertung_Stammdaten!T$18,Bewertung_Stammdaten!S$18,IF(AH44&lt;Bewertung_Stammdaten!T$19,Bewertung_Stammdaten!S$19,Bewertung_Stammdaten!S$20)))))))))</f>
        <v>7</v>
      </c>
      <c r="AL44" s="36">
        <f ca="1">IF(AI44&lt;Bewertung_Stammdaten!F$11,Bewertung_Stammdaten!E$11,IF(AI44&lt;Bewertung_Stammdaten!F$12,Bewertung_Stammdaten!E$12,IF(AI44&lt;Bewertung_Stammdaten!F$13,Bewertung_Stammdaten!E$13,IF(AI44&lt;Bewertung_Stammdaten!F$14,Bewertung_Stammdaten!E$14,IF(AI44&lt;Bewertung_Stammdaten!F$15,Bewertung_Stammdaten!E$15,IF(AI44&lt;Bewertung_Stammdaten!F$16,Bewertung_Stammdaten!E$16,IF(AI44&lt;Bewertung_Stammdaten!F$17,Bewertung_Stammdaten!E$17,IF(AI44&lt;Bewertung_Stammdaten!F$18,Bewertung_Stammdaten!E$18,IF(AI44&lt;Bewertung_Stammdaten!F$19,Bewertung_Stammdaten!E$19,Bewertung_Stammdaten!E$20)))))))))</f>
        <v>0.5</v>
      </c>
      <c r="AM44" s="49"/>
      <c r="AN44" s="13">
        <f>VLOOKUP(A44,Aktien_im_Umlauf_splitbereinigt!A3:W68,13,FALSE)</f>
        <v>-4.1057367829021363E-2</v>
      </c>
      <c r="AO44" s="13">
        <f>VLOOKUP(A44,Aktien_im_Umlauf_splitbereinigt!A3:W68,22,FALSE)</f>
        <v>4.4294714751230329E-3</v>
      </c>
      <c r="AP44" s="13">
        <f>VLOOKUP(A44,Aktien_im_Umlauf_splitbereinigt!A3:W68,23,FALSE)</f>
        <v>10.269134717225141</v>
      </c>
      <c r="AQ44" s="47">
        <f>IF(AN44&lt;Bewertung_Stammdaten!J$24,Bewertung_Stammdaten!I$24,IF(AN44&lt;Bewertung_Stammdaten!J$25,Bewertung_Stammdaten!I$25,IF(AN44&lt;Bewertung_Stammdaten!J$26,Bewertung_Stammdaten!I$26,IF(AN44&lt;Bewertung_Stammdaten!J$27,Bewertung_Stammdaten!I$27,IF(AN44&lt;Bewertung_Stammdaten!J$28,Bewertung_Stammdaten!I$28,IF(AN44&lt;Bewertung_Stammdaten!J$29,Bewertung_Stammdaten!I$29,IF(AN44&lt;Bewertung_Stammdaten!J$30,Bewertung_Stammdaten!I$30,IF(AN44&lt;Bewertung_Stammdaten!J$31,Bewertung_Stammdaten!I$31,IF(AN44&lt;Bewertung_Stammdaten!J$32,Bewertung_Stammdaten!I$32,Bewertung_Stammdaten!I$33)))))))))</f>
        <v>5</v>
      </c>
      <c r="AR44" s="47">
        <f>IF(AO44&lt;Bewertung_Stammdaten!L$24,Bewertung_Stammdaten!K$24,IF(AO44&lt;Bewertung_Stammdaten!L$25,Bewertung_Stammdaten!K$25,IF(AO44&lt;Bewertung_Stammdaten!L$26,Bewertung_Stammdaten!K$26,IF(AO44&lt;Bewertung_Stammdaten!L$27,Bewertung_Stammdaten!K$27,IF(AO44&lt;Bewertung_Stammdaten!L$28,Bewertung_Stammdaten!K$28,IF(AO44&lt;Bewertung_Stammdaten!L$29,Bewertung_Stammdaten!K$29,IF(AO44&lt;Bewertung_Stammdaten!L$30,Bewertung_Stammdaten!K$30,IF(AO44&lt;Bewertung_Stammdaten!L$31,Bewertung_Stammdaten!K$31,IF(AO44&lt;Bewertung_Stammdaten!L$32,Bewertung_Stammdaten!K$32,Bewertung_Stammdaten!K$33)))))))))</f>
        <v>1</v>
      </c>
      <c r="AS44" s="47">
        <f>IF(AP44&lt;Bewertung_Stammdaten!N$24,Bewertung_Stammdaten!M$24,IF(AP44&lt;Bewertung_Stammdaten!N$25,Bewertung_Stammdaten!M$25,IF(AP44&lt;Bewertung_Stammdaten!N$26,Bewertung_Stammdaten!M$26,IF(AP44&lt;Bewertung_Stammdaten!N$27,Bewertung_Stammdaten!M$27,IF(AP44&lt;Bewertung_Stammdaten!N$28,Bewertung_Stammdaten!M$28,IF(AP44&lt;Bewertung_Stammdaten!N$29,Bewertung_Stammdaten!M$29,IF(AP44&lt;Bewertung_Stammdaten!N$30,Bewertung_Stammdaten!M$30,IF(AP44&lt;Bewertung_Stammdaten!N$31,Bewertung_Stammdaten!M$31,IF(AP44&lt;Bewertung_Stammdaten!N$32,Bewertung_Stammdaten!M$32,Bewertung_Stammdaten!M$33)))))))))</f>
        <v>5</v>
      </c>
      <c r="AT44" s="49"/>
      <c r="AU44" s="13">
        <f ca="1">VLOOKUP(A44,Ausschüttungsquote!A3:S68,18,FALSE)</f>
        <v>0.35063267368260503</v>
      </c>
      <c r="AV44" s="13">
        <f>VLOOKUP(A44,Ausschüttungsquote!A3:S68,15,FALSE)</f>
        <v>0.53150088834449383</v>
      </c>
      <c r="AW44" s="13">
        <f ca="1">VLOOKUP(A44,Ausschüttungsquote!A3:S68,19,FALSE)</f>
        <v>-0.3402971069818016</v>
      </c>
      <c r="AX44" s="36">
        <f ca="1">IF(AU44&lt;Bewertung_Stammdaten!H$11,Bewertung_Stammdaten!G$11,IF(AU44&lt;Bewertung_Stammdaten!H$12,Bewertung_Stammdaten!G$12,IF(AU44&lt;Bewertung_Stammdaten!H$13,Bewertung_Stammdaten!G$13,IF(AU44&lt;Bewertung_Stammdaten!H$14,Bewertung_Stammdaten!G$14,IF(AU44&lt;Bewertung_Stammdaten!H$15,Bewertung_Stammdaten!G$15,IF(AU44&lt;Bewertung_Stammdaten!H$16,Bewertung_Stammdaten!G$16,IF(AU44&lt;Bewertung_Stammdaten!H$17,Bewertung_Stammdaten!G$17,IF(AU44&lt;Bewertung_Stammdaten!H$18,Bewertung_Stammdaten!G$18,IF(AU44&lt;Bewertung_Stammdaten!H$19,Bewertung_Stammdaten!G$19,Bewertung_Stammdaten!G$20)))))))))</f>
        <v>5</v>
      </c>
      <c r="AY44" s="47">
        <f>IF(AV44&lt;Bewertung_Stammdaten!B$24,Bewertung_Stammdaten!A$24,IF(AV44&lt;Bewertung_Stammdaten!B$25,Bewertung_Stammdaten!A$25,IF(AV44&lt;Bewertung_Stammdaten!B$26,Bewertung_Stammdaten!A$26,IF(AV44&lt;Bewertung_Stammdaten!B$27,Bewertung_Stammdaten!A$27,IF(AV44&lt;Bewertung_Stammdaten!B$28,Bewertung_Stammdaten!A$28,IF(AV44&lt;Bewertung_Stammdaten!B$29,Bewertung_Stammdaten!A$29,IF(AV44&lt;Bewertung_Stammdaten!B$30,Bewertung_Stammdaten!A$30,IF(AV44&lt;Bewertung_Stammdaten!B$31,Bewertung_Stammdaten!A$31,IF(AV44&lt;Bewertung_Stammdaten!B$32,Bewertung_Stammdaten!A$32,Bewertung_Stammdaten!A$33)))))))))</f>
        <v>3.5</v>
      </c>
      <c r="AZ44" s="36">
        <f ca="1">IF(AW44&lt;Bewertung_Stammdaten!J$11,Bewertung_Stammdaten!I$11,IF(AW44&lt;Bewertung_Stammdaten!J$12,Bewertung_Stammdaten!I$12,IF(AW44&lt;Bewertung_Stammdaten!J$13,Bewertung_Stammdaten!I$13,IF(AW44&lt;Bewertung_Stammdaten!J$14,Bewertung_Stammdaten!I$14,IF(AW44&lt;Bewertung_Stammdaten!J$15,Bewertung_Stammdaten!I$15,IF(AW44&lt;Bewertung_Stammdaten!J$16,Bewertung_Stammdaten!I$16,IF(AW44&lt;Bewertung_Stammdaten!J$17,Bewertung_Stammdaten!I$17,IF(AW44&lt;Bewertung_Stammdaten!J$18,Bewertung_Stammdaten!I$18,IF(AW44&lt;Bewertung_Stammdaten!J$19,Bewertung_Stammdaten!I$19,Bewertung_Stammdaten!I$20)))))))))</f>
        <v>5</v>
      </c>
    </row>
    <row r="45" spans="1:52" x14ac:dyDescent="0.25">
      <c r="A45" s="44" t="s">
        <v>86</v>
      </c>
      <c r="B45" s="44" t="s">
        <v>87</v>
      </c>
      <c r="C45" s="36">
        <f t="shared" ca="1" si="7"/>
        <v>107.5</v>
      </c>
      <c r="D45" s="49"/>
      <c r="E45" s="12">
        <f ca="1">VLOOKUP(A45,KGV!A3:S68,18,FALSE)</f>
        <v>20.729999999999997</v>
      </c>
      <c r="F45" s="12">
        <f>VLOOKUP(A45,KGV!A3:S68,15,FALSE)</f>
        <v>28.4</v>
      </c>
      <c r="G45" s="13">
        <f ca="1">VLOOKUP(A45,KGV!A3:S68,19,FALSE)</f>
        <v>-0.2700704225352113</v>
      </c>
      <c r="H45" s="19">
        <f t="shared" ca="1" si="8"/>
        <v>39.191044776119398</v>
      </c>
      <c r="I45" s="13">
        <f t="shared" ca="1" si="9"/>
        <v>0.379966365356317</v>
      </c>
      <c r="J45" s="36">
        <f ca="1">IF(G45&lt;Bewertung_Stammdaten!B$11,Bewertung_Stammdaten!A$11,IF(G45&lt;Bewertung_Stammdaten!B$12,Bewertung_Stammdaten!A$12,IF(G45&lt;Bewertung_Stammdaten!B$13,Bewertung_Stammdaten!A$13,IF(G45&lt;Bewertung_Stammdaten!B$14,Bewertung_Stammdaten!A$14,IF(G45&lt;Bewertung_Stammdaten!B$15,Bewertung_Stammdaten!A$15,IF(G45&lt;Bewertung_Stammdaten!B$16,Bewertung_Stammdaten!A$16,IF(G45&lt;Bewertung_Stammdaten!B$17,Bewertung_Stammdaten!A$17,IF(G45&lt;Bewertung_Stammdaten!B$18,Bewertung_Stammdaten!A$18,IF(G45&lt;Bewertung_Stammdaten!B$19,Bewertung_Stammdaten!A$19,Bewertung_Stammdaten!A$20)))))))))</f>
        <v>20</v>
      </c>
      <c r="K45" s="36">
        <f ca="1">IF(I45&lt;Bewertung_Stammdaten!N$11,Bewertung_Stammdaten!M$11,IF(I45&lt;Bewertung_Stammdaten!N$12,Bewertung_Stammdaten!M$12,IF(I45&lt;Bewertung_Stammdaten!N$13,Bewertung_Stammdaten!M$13,IF(I45&lt;Bewertung_Stammdaten!N$14,Bewertung_Stammdaten!M$14,IF(I45&lt;Bewertung_Stammdaten!N$15,Bewertung_Stammdaten!M$15,IF(I45&lt;Bewertung_Stammdaten!N$16,Bewertung_Stammdaten!M$16,IF(I45&lt;Bewertung_Stammdaten!N$17,Bewertung_Stammdaten!M$17,IF(I45&lt;Bewertung_Stammdaten!N$18,Bewertung_Stammdaten!M$18,IF(I45&lt;Bewertung_Stammdaten!N$19,Bewertung_Stammdaten!M$19,Bewertung_Stammdaten!M$20)))))))))</f>
        <v>1</v>
      </c>
      <c r="L45" s="49"/>
      <c r="M45" s="12">
        <f ca="1">VLOOKUP(A45,Buchwert_je_Aktie!A3:AC68,18,FALSE)</f>
        <v>21.310833333333335</v>
      </c>
      <c r="N45" s="12">
        <f>VLOOKUP(A45,Buchwert_je_Aktie!A3:AC68,15,FALSE)</f>
        <v>16.780999999999999</v>
      </c>
      <c r="O45" s="13">
        <f ca="1">VLOOKUP(A45,Buchwert_je_Aktie!A3:AC68,19,FALSE)</f>
        <v>0.26993822378483623</v>
      </c>
      <c r="P45" s="13">
        <f>VLOOKUP(A45,Buchwert_je_Aktie!A3:AC68,29,FALSE)</f>
        <v>1.4657980456026065E-2</v>
      </c>
      <c r="Q45" s="19">
        <f t="shared" ca="1" si="6"/>
        <v>21.310833333333335</v>
      </c>
      <c r="R45" s="13">
        <f t="shared" ca="1" si="3"/>
        <v>0.26993822378483623</v>
      </c>
      <c r="S45" s="58">
        <f ca="1">IF(O45&lt;Bewertung_Stammdaten!D$24,Bewertung_Stammdaten!C$24,IF(O45&lt;Bewertung_Stammdaten!D$25,Bewertung_Stammdaten!C$25,IF(O45&lt;Bewertung_Stammdaten!D$26,Bewertung_Stammdaten!C$26,IF(O45&lt;Bewertung_Stammdaten!D$27,Bewertung_Stammdaten!C$27,IF(O45&lt;Bewertung_Stammdaten!D$28,Bewertung_Stammdaten!C$28,IF(O45&lt;Bewertung_Stammdaten!D$29,Bewertung_Stammdaten!C$29,IF(O45&lt;Bewertung_Stammdaten!D$30,Bewertung_Stammdaten!C$30,IF(O45&lt;Bewertung_Stammdaten!D$31,Bewertung_Stammdaten!C$31,IF(O45&lt;Bewertung_Stammdaten!D$32,Bewertung_Stammdaten!C$32,Bewertung_Stammdaten!C$33)))))))))</f>
        <v>8</v>
      </c>
      <c r="T45" s="58">
        <f>IF(P45&lt;Bewertung_Stammdaten!F$24,Bewertung_Stammdaten!E$24,IF(P45&lt;Bewertung_Stammdaten!F$25,Bewertung_Stammdaten!E$25,IF(P45&lt;Bewertung_Stammdaten!F$26,Bewertung_Stammdaten!E$26,IF(P45&lt;Bewertung_Stammdaten!F$27,Bewertung_Stammdaten!E$27,IF(P45&lt;Bewertung_Stammdaten!F$28,Bewertung_Stammdaten!E$28,IF(P45&lt;Bewertung_Stammdaten!F$29,Bewertung_Stammdaten!E$29,IF(P45&lt;Bewertung_Stammdaten!F$30,Bewertung_Stammdaten!E$30,IF(P45&lt;Bewertung_Stammdaten!F$31,Bewertung_Stammdaten!E$31,IF(P45&lt;Bewertung_Stammdaten!F$32,Bewertung_Stammdaten!E$32,Bewertung_Stammdaten!E$33)))))))))</f>
        <v>12</v>
      </c>
      <c r="U45" s="58">
        <f ca="1">IF(R45&lt;Bewertung_Stammdaten!H$24,Bewertung_Stammdaten!G$24,IF(R45&lt;Bewertung_Stammdaten!H$25,Bewertung_Stammdaten!G$25,IF(R45&lt;Bewertung_Stammdaten!H$26,Bewertung_Stammdaten!G$26,IF(R45&lt;Bewertung_Stammdaten!H$27,Bewertung_Stammdaten!G$27,IF(R45&lt;Bewertung_Stammdaten!H$28,Bewertung_Stammdaten!G$28,IF(R45&lt;Bewertung_Stammdaten!H$29,Bewertung_Stammdaten!G$29,IF(R45&lt;Bewertung_Stammdaten!H$30,Bewertung_Stammdaten!G$30,IF(R45&lt;Bewertung_Stammdaten!H$31,Bewertung_Stammdaten!G$31,IF(R45&lt;Bewertung_Stammdaten!H$32,Bewertung_Stammdaten!G$32,Bewertung_Stammdaten!G$33)))))))))</f>
        <v>4</v>
      </c>
      <c r="V45" s="49"/>
      <c r="W45" s="17">
        <f ca="1">VLOOKUP(A45,Ergebnis_je_Aktie_verwässert!A3:S68,18,FALSE)</f>
        <v>5.8246944444444448</v>
      </c>
      <c r="X45" s="17">
        <f>VLOOKUP(A45,Ergebnis_je_Aktie_verwässert!A3:S68,15,FALSE)</f>
        <v>2.4790000000000001</v>
      </c>
      <c r="Y45" s="13">
        <f ca="1">VLOOKUP(A45,Ergebnis_je_Aktie_verwässert!A3:S68,19,FALSE)</f>
        <v>1.3496145399130475</v>
      </c>
      <c r="Z45" s="46">
        <f>VLOOKUP(A45,Ergebnis_je_Aktie_verwässert!A3:AC68,29,FALSE)</f>
        <v>-0.47105263157894739</v>
      </c>
      <c r="AA45" s="19">
        <f t="shared" ca="1" si="10"/>
        <v>3.0809567982456141</v>
      </c>
      <c r="AB45" s="13">
        <f t="shared" ca="1" si="11"/>
        <v>0.24282242769084861</v>
      </c>
      <c r="AC45" s="36">
        <f ca="1">IF(Y45&lt;Bewertung_Stammdaten!L$11,Bewertung_Stammdaten!K$11,IF(Y45&lt;Bewertung_Stammdaten!L$12,Bewertung_Stammdaten!K$12,IF(Y45&lt;Bewertung_Stammdaten!L$13,Bewertung_Stammdaten!K$13,IF(Y45&lt;Bewertung_Stammdaten!L$14,Bewertung_Stammdaten!K$14,IF(Y45&lt;Bewertung_Stammdaten!L$15,Bewertung_Stammdaten!K$15,IF(Y45&lt;Bewertung_Stammdaten!L$16,Bewertung_Stammdaten!K$16,IF(Y45&lt;Bewertung_Stammdaten!L$17,Bewertung_Stammdaten!K$17,IF(Y45&lt;Bewertung_Stammdaten!L$18,Bewertung_Stammdaten!K$18,IF(Y45&lt;Bewertung_Stammdaten!L$19,Bewertung_Stammdaten!K$19,Bewertung_Stammdaten!K$20)))))))))</f>
        <v>20</v>
      </c>
      <c r="AD45" s="36">
        <f>IF(Z45&lt;Bewertung_Stammdaten!R$11,Bewertung_Stammdaten!Q$11,IF(Z45&lt;Bewertung_Stammdaten!R$12,Bewertung_Stammdaten!Q$12,IF(Z45&lt;Bewertung_Stammdaten!R$13,Bewertung_Stammdaten!Q$13,IF(Z45&lt;Bewertung_Stammdaten!R$14,Bewertung_Stammdaten!Q$14,IF(Z45&lt;Bewertung_Stammdaten!R$15,Bewertung_Stammdaten!Q$15,IF(Z45&lt;Bewertung_Stammdaten!R$16,Bewertung_Stammdaten!Q$16,IF(Z45&lt;Bewertung_Stammdaten!R$17,Bewertung_Stammdaten!Q$17,IF(Z45&lt;Bewertung_Stammdaten!R$18,Bewertung_Stammdaten!Q$18,IF(Z45&lt;Bewertung_Stammdaten!R$19,Bewertung_Stammdaten!Q$19,Bewertung_Stammdaten!Q$20)))))))))</f>
        <v>3</v>
      </c>
      <c r="AE45" s="36">
        <f ca="1">IF(AB45&lt;Bewertung_Stammdaten!P$11,Bewertung_Stammdaten!O$11,IF(AB45&lt;Bewertung_Stammdaten!P$12,Bewertung_Stammdaten!O$12,IF(AB45&lt;Bewertung_Stammdaten!P$13,Bewertung_Stammdaten!O$13,IF(AB45&lt;Bewertung_Stammdaten!P$14,Bewertung_Stammdaten!O$14,IF(AB45&lt;Bewertung_Stammdaten!P$15,Bewertung_Stammdaten!O$15,IF(AB45&lt;Bewertung_Stammdaten!P$16,Bewertung_Stammdaten!O$16,IF(AB45&lt;Bewertung_Stammdaten!P$17,Bewertung_Stammdaten!O$17,IF(AB45&lt;Bewertung_Stammdaten!P$18,Bewertung_Stammdaten!O$18,IF(AB45&lt;Bewertung_Stammdaten!P$19,Bewertung_Stammdaten!O$19,Bewertung_Stammdaten!O$20)))))))))</f>
        <v>4</v>
      </c>
      <c r="AF45" s="49"/>
      <c r="AG45" s="13">
        <f ca="1">VLOOKUP(A45,Dividendenrendite!A3:S68,18,FALSE)</f>
        <v>1.5004166666666666E-2</v>
      </c>
      <c r="AH45" s="13">
        <f>VLOOKUP(A45,Dividendenrendite!A3:S68,15,FALSE)</f>
        <v>1.3290000000000001E-2</v>
      </c>
      <c r="AI45" s="13">
        <f ca="1">VLOOKUP(A45,Dividendenrendite!A3:S68,19,FALSE)</f>
        <v>0.12898169049410568</v>
      </c>
      <c r="AJ45" s="36">
        <f ca="1">IF(AG45&lt;Bewertung_Stammdaten!D$11,Bewertung_Stammdaten!C$11,IF(AG45&lt;Bewertung_Stammdaten!D$12,Bewertung_Stammdaten!C$12,IF(AG45&lt;Bewertung_Stammdaten!D$13,Bewertung_Stammdaten!C$13,IF(AG45&lt;Bewertung_Stammdaten!D$14,Bewertung_Stammdaten!C$14,IF(AG45&lt;Bewertung_Stammdaten!D$15,Bewertung_Stammdaten!C$15,IF(AG45&lt;Bewertung_Stammdaten!D$16,Bewertung_Stammdaten!C$16,IF(AG45&lt;Bewertung_Stammdaten!D$17,Bewertung_Stammdaten!C$17,IF(AG45&lt;Bewertung_Stammdaten!D$18,Bewertung_Stammdaten!C$18,IF(AG45&lt;Bewertung_Stammdaten!D$19,Bewertung_Stammdaten!C$19,Bewertung_Stammdaten!C$20)))))))))</f>
        <v>6</v>
      </c>
      <c r="AK45" s="36">
        <f>IF(AH45&lt;Bewertung_Stammdaten!T$11,Bewertung_Stammdaten!S$11,IF(AH45&lt;Bewertung_Stammdaten!T$12,Bewertung_Stammdaten!S$12,IF(AH45&lt;Bewertung_Stammdaten!T$13,Bewertung_Stammdaten!S$13,IF(AH45&lt;Bewertung_Stammdaten!T$14,Bewertung_Stammdaten!S$14,IF(AH45&lt;Bewertung_Stammdaten!T$15,Bewertung_Stammdaten!S$15,IF(AH45&lt;Bewertung_Stammdaten!T$16,Bewertung_Stammdaten!S$16,IF(AH45&lt;Bewertung_Stammdaten!T$17,Bewertung_Stammdaten!S$17,IF(AH45&lt;Bewertung_Stammdaten!T$18,Bewertung_Stammdaten!S$18,IF(AH45&lt;Bewertung_Stammdaten!T$19,Bewertung_Stammdaten!S$19,Bewertung_Stammdaten!S$20)))))))))</f>
        <v>3</v>
      </c>
      <c r="AL45" s="36">
        <f ca="1">IF(AI45&lt;Bewertung_Stammdaten!F$11,Bewertung_Stammdaten!E$11,IF(AI45&lt;Bewertung_Stammdaten!F$12,Bewertung_Stammdaten!E$12,IF(AI45&lt;Bewertung_Stammdaten!F$13,Bewertung_Stammdaten!E$13,IF(AI45&lt;Bewertung_Stammdaten!F$14,Bewertung_Stammdaten!E$14,IF(AI45&lt;Bewertung_Stammdaten!F$15,Bewertung_Stammdaten!E$15,IF(AI45&lt;Bewertung_Stammdaten!F$16,Bewertung_Stammdaten!E$16,IF(AI45&lt;Bewertung_Stammdaten!F$17,Bewertung_Stammdaten!E$17,IF(AI45&lt;Bewertung_Stammdaten!F$18,Bewertung_Stammdaten!E$18,IF(AI45&lt;Bewertung_Stammdaten!F$19,Bewertung_Stammdaten!E$19,Bewertung_Stammdaten!E$20)))))))))</f>
        <v>4</v>
      </c>
      <c r="AM45" s="49"/>
      <c r="AN45" s="13">
        <f>VLOOKUP(A45,Aktien_im_Umlauf_splitbereinigt!A3:W68,13,FALSE)</f>
        <v>-9.9930759586055462E-3</v>
      </c>
      <c r="AO45" s="13">
        <f>VLOOKUP(A45,Aktien_im_Umlauf_splitbereinigt!A3:W68,22,FALSE)</f>
        <v>8.9052073512285723E-5</v>
      </c>
      <c r="AP45" s="13">
        <f>VLOOKUP(A45,Aktien_im_Umlauf_splitbereinigt!A3:W68,23,FALSE)</f>
        <v>113.21609519543517</v>
      </c>
      <c r="AQ45" s="47">
        <f>IF(AN45&lt;Bewertung_Stammdaten!J$24,Bewertung_Stammdaten!I$24,IF(AN45&lt;Bewertung_Stammdaten!J$25,Bewertung_Stammdaten!I$25,IF(AN45&lt;Bewertung_Stammdaten!J$26,Bewertung_Stammdaten!I$26,IF(AN45&lt;Bewertung_Stammdaten!J$27,Bewertung_Stammdaten!I$27,IF(AN45&lt;Bewertung_Stammdaten!J$28,Bewertung_Stammdaten!I$28,IF(AN45&lt;Bewertung_Stammdaten!J$29,Bewertung_Stammdaten!I$29,IF(AN45&lt;Bewertung_Stammdaten!J$30,Bewertung_Stammdaten!I$30,IF(AN45&lt;Bewertung_Stammdaten!J$31,Bewertung_Stammdaten!I$31,IF(AN45&lt;Bewertung_Stammdaten!J$32,Bewertung_Stammdaten!I$32,Bewertung_Stammdaten!I$33)))))))))</f>
        <v>2</v>
      </c>
      <c r="AR45" s="47">
        <f>IF(AO45&lt;Bewertung_Stammdaten!L$24,Bewertung_Stammdaten!K$24,IF(AO45&lt;Bewertung_Stammdaten!L$25,Bewertung_Stammdaten!K$25,IF(AO45&lt;Bewertung_Stammdaten!L$26,Bewertung_Stammdaten!K$26,IF(AO45&lt;Bewertung_Stammdaten!L$27,Bewertung_Stammdaten!K$27,IF(AO45&lt;Bewertung_Stammdaten!L$28,Bewertung_Stammdaten!K$28,IF(AO45&lt;Bewertung_Stammdaten!L$29,Bewertung_Stammdaten!K$29,IF(AO45&lt;Bewertung_Stammdaten!L$30,Bewertung_Stammdaten!K$30,IF(AO45&lt;Bewertung_Stammdaten!L$31,Bewertung_Stammdaten!K$31,IF(AO45&lt;Bewertung_Stammdaten!L$32,Bewertung_Stammdaten!K$32,Bewertung_Stammdaten!K$33)))))))))</f>
        <v>1</v>
      </c>
      <c r="AS45" s="47">
        <f>IF(AP45&lt;Bewertung_Stammdaten!N$24,Bewertung_Stammdaten!M$24,IF(AP45&lt;Bewertung_Stammdaten!N$25,Bewertung_Stammdaten!M$25,IF(AP45&lt;Bewertung_Stammdaten!N$26,Bewertung_Stammdaten!M$26,IF(AP45&lt;Bewertung_Stammdaten!N$27,Bewertung_Stammdaten!M$27,IF(AP45&lt;Bewertung_Stammdaten!N$28,Bewertung_Stammdaten!M$28,IF(AP45&lt;Bewertung_Stammdaten!N$29,Bewertung_Stammdaten!M$29,IF(AP45&lt;Bewertung_Stammdaten!N$30,Bewertung_Stammdaten!M$30,IF(AP45&lt;Bewertung_Stammdaten!N$31,Bewertung_Stammdaten!M$31,IF(AP45&lt;Bewertung_Stammdaten!N$32,Bewertung_Stammdaten!M$32,Bewertung_Stammdaten!M$33)))))))))</f>
        <v>5</v>
      </c>
      <c r="AT45" s="49"/>
      <c r="AU45" s="13">
        <f ca="1">VLOOKUP(A45,Ausschüttungsquote!A3:S68,18,FALSE)</f>
        <v>0.31135325455263135</v>
      </c>
      <c r="AV45" s="13">
        <f>VLOOKUP(A45,Ausschüttungsquote!A3:S68,15,FALSE)</f>
        <v>0.41329426770996341</v>
      </c>
      <c r="AW45" s="13">
        <f ca="1">VLOOKUP(A45,Ausschüttungsquote!A3:S68,19,FALSE)</f>
        <v>-0.24665479567907045</v>
      </c>
      <c r="AX45" s="36">
        <f ca="1">IF(AU45&lt;Bewertung_Stammdaten!H$11,Bewertung_Stammdaten!G$11,IF(AU45&lt;Bewertung_Stammdaten!H$12,Bewertung_Stammdaten!G$12,IF(AU45&lt;Bewertung_Stammdaten!H$13,Bewertung_Stammdaten!G$13,IF(AU45&lt;Bewertung_Stammdaten!H$14,Bewertung_Stammdaten!G$14,IF(AU45&lt;Bewertung_Stammdaten!H$15,Bewertung_Stammdaten!G$15,IF(AU45&lt;Bewertung_Stammdaten!H$16,Bewertung_Stammdaten!G$16,IF(AU45&lt;Bewertung_Stammdaten!H$17,Bewertung_Stammdaten!G$17,IF(AU45&lt;Bewertung_Stammdaten!H$18,Bewertung_Stammdaten!G$18,IF(AU45&lt;Bewertung_Stammdaten!H$19,Bewertung_Stammdaten!G$19,Bewertung_Stammdaten!G$20)))))))))</f>
        <v>5</v>
      </c>
      <c r="AY45" s="47">
        <f>IF(AV45&lt;Bewertung_Stammdaten!B$24,Bewertung_Stammdaten!A$24,IF(AV45&lt;Bewertung_Stammdaten!B$25,Bewertung_Stammdaten!A$25,IF(AV45&lt;Bewertung_Stammdaten!B$26,Bewertung_Stammdaten!A$26,IF(AV45&lt;Bewertung_Stammdaten!B$27,Bewertung_Stammdaten!A$27,IF(AV45&lt;Bewertung_Stammdaten!B$28,Bewertung_Stammdaten!A$28,IF(AV45&lt;Bewertung_Stammdaten!B$29,Bewertung_Stammdaten!A$29,IF(AV45&lt;Bewertung_Stammdaten!B$30,Bewertung_Stammdaten!A$30,IF(AV45&lt;Bewertung_Stammdaten!B$31,Bewertung_Stammdaten!A$31,IF(AV45&lt;Bewertung_Stammdaten!B$32,Bewertung_Stammdaten!A$32,Bewertung_Stammdaten!A$33)))))))))</f>
        <v>4.5</v>
      </c>
      <c r="AZ45" s="36">
        <f ca="1">IF(AW45&lt;Bewertung_Stammdaten!J$11,Bewertung_Stammdaten!I$11,IF(AW45&lt;Bewertung_Stammdaten!J$12,Bewertung_Stammdaten!I$12,IF(AW45&lt;Bewertung_Stammdaten!J$13,Bewertung_Stammdaten!I$13,IF(AW45&lt;Bewertung_Stammdaten!J$14,Bewertung_Stammdaten!I$14,IF(AW45&lt;Bewertung_Stammdaten!J$15,Bewertung_Stammdaten!I$15,IF(AW45&lt;Bewertung_Stammdaten!J$16,Bewertung_Stammdaten!I$16,IF(AW45&lt;Bewertung_Stammdaten!J$17,Bewertung_Stammdaten!I$17,IF(AW45&lt;Bewertung_Stammdaten!J$18,Bewertung_Stammdaten!I$18,IF(AW45&lt;Bewertung_Stammdaten!J$19,Bewertung_Stammdaten!I$19,Bewertung_Stammdaten!I$20)))))))))</f>
        <v>5</v>
      </c>
    </row>
    <row r="46" spans="1:52" x14ac:dyDescent="0.25">
      <c r="A46" s="44" t="s">
        <v>88</v>
      </c>
      <c r="B46" s="44" t="s">
        <v>89</v>
      </c>
      <c r="C46" s="36">
        <f t="shared" ca="1" si="7"/>
        <v>145</v>
      </c>
      <c r="D46" s="49"/>
      <c r="E46" s="12">
        <f ca="1">VLOOKUP(A46,KGV!A3:S68,18,FALSE)</f>
        <v>15.668027777777777</v>
      </c>
      <c r="F46" s="12">
        <f>VLOOKUP(A46,KGV!A3:S68,15,FALSE)</f>
        <v>20.65</v>
      </c>
      <c r="G46" s="13">
        <f ca="1">VLOOKUP(A46,KGV!A3:S68,19,FALSE)</f>
        <v>-0.24125773473231105</v>
      </c>
      <c r="H46" s="19">
        <f t="shared" ca="1" si="8"/>
        <v>15.668027777777777</v>
      </c>
      <c r="I46" s="13">
        <f t="shared" ca="1" si="9"/>
        <v>-0.24125773473231105</v>
      </c>
      <c r="J46" s="36">
        <f ca="1">IF(G46&lt;Bewertung_Stammdaten!B$11,Bewertung_Stammdaten!A$11,IF(G46&lt;Bewertung_Stammdaten!B$12,Bewertung_Stammdaten!A$12,IF(G46&lt;Bewertung_Stammdaten!B$13,Bewertung_Stammdaten!A$13,IF(G46&lt;Bewertung_Stammdaten!B$14,Bewertung_Stammdaten!A$14,IF(G46&lt;Bewertung_Stammdaten!B$15,Bewertung_Stammdaten!A$15,IF(G46&lt;Bewertung_Stammdaten!B$16,Bewertung_Stammdaten!A$16,IF(G46&lt;Bewertung_Stammdaten!B$17,Bewertung_Stammdaten!A$17,IF(G46&lt;Bewertung_Stammdaten!B$18,Bewertung_Stammdaten!A$18,IF(G46&lt;Bewertung_Stammdaten!B$19,Bewertung_Stammdaten!A$19,Bewertung_Stammdaten!A$20)))))))))</f>
        <v>20</v>
      </c>
      <c r="K46" s="36">
        <f ca="1">IF(I46&lt;Bewertung_Stammdaten!N$11,Bewertung_Stammdaten!M$11,IF(I46&lt;Bewertung_Stammdaten!N$12,Bewertung_Stammdaten!M$12,IF(I46&lt;Bewertung_Stammdaten!N$13,Bewertung_Stammdaten!M$13,IF(I46&lt;Bewertung_Stammdaten!N$14,Bewertung_Stammdaten!M$14,IF(I46&lt;Bewertung_Stammdaten!N$15,Bewertung_Stammdaten!M$15,IF(I46&lt;Bewertung_Stammdaten!N$16,Bewertung_Stammdaten!M$16,IF(I46&lt;Bewertung_Stammdaten!N$17,Bewertung_Stammdaten!M$17,IF(I46&lt;Bewertung_Stammdaten!N$18,Bewertung_Stammdaten!M$18,IF(I46&lt;Bewertung_Stammdaten!N$19,Bewertung_Stammdaten!M$19,Bewertung_Stammdaten!M$20)))))))))</f>
        <v>10</v>
      </c>
      <c r="L46" s="49"/>
      <c r="M46" s="12">
        <f ca="1">VLOOKUP(A46,Buchwert_je_Aktie!A3:AC68,18,FALSE)</f>
        <v>11.224722222222223</v>
      </c>
      <c r="N46" s="12">
        <f>VLOOKUP(A46,Buchwert_je_Aktie!A3:AC68,15,FALSE)</f>
        <v>5.1819999999999995</v>
      </c>
      <c r="O46" s="13">
        <f ca="1">VLOOKUP(A46,Buchwert_je_Aktie!A3:AC68,19,FALSE)</f>
        <v>1.1660984604828681</v>
      </c>
      <c r="P46" s="13">
        <f>VLOOKUP(A46,Buchwert_je_Aktie!A3:AC68,29,FALSE)</f>
        <v>7.8563411896745095E-2</v>
      </c>
      <c r="Q46" s="19">
        <f t="shared" ca="1" si="6"/>
        <v>11.224722222222223</v>
      </c>
      <c r="R46" s="13">
        <f t="shared" ca="1" si="3"/>
        <v>1.1660984604828681</v>
      </c>
      <c r="S46" s="58">
        <f ca="1">IF(O46&lt;Bewertung_Stammdaten!D$24,Bewertung_Stammdaten!C$24,IF(O46&lt;Bewertung_Stammdaten!D$25,Bewertung_Stammdaten!C$25,IF(O46&lt;Bewertung_Stammdaten!D$26,Bewertung_Stammdaten!C$26,IF(O46&lt;Bewertung_Stammdaten!D$27,Bewertung_Stammdaten!C$27,IF(O46&lt;Bewertung_Stammdaten!D$28,Bewertung_Stammdaten!C$28,IF(O46&lt;Bewertung_Stammdaten!D$29,Bewertung_Stammdaten!C$29,IF(O46&lt;Bewertung_Stammdaten!D$30,Bewertung_Stammdaten!C$30,IF(O46&lt;Bewertung_Stammdaten!D$31,Bewertung_Stammdaten!C$31,IF(O46&lt;Bewertung_Stammdaten!D$32,Bewertung_Stammdaten!C$32,Bewertung_Stammdaten!C$33)))))))))</f>
        <v>20</v>
      </c>
      <c r="T46" s="58">
        <f>IF(P46&lt;Bewertung_Stammdaten!F$24,Bewertung_Stammdaten!E$24,IF(P46&lt;Bewertung_Stammdaten!F$25,Bewertung_Stammdaten!E$25,IF(P46&lt;Bewertung_Stammdaten!F$26,Bewertung_Stammdaten!E$26,IF(P46&lt;Bewertung_Stammdaten!F$27,Bewertung_Stammdaten!E$27,IF(P46&lt;Bewertung_Stammdaten!F$28,Bewertung_Stammdaten!E$28,IF(P46&lt;Bewertung_Stammdaten!F$29,Bewertung_Stammdaten!E$29,IF(P46&lt;Bewertung_Stammdaten!F$30,Bewertung_Stammdaten!E$30,IF(P46&lt;Bewertung_Stammdaten!F$31,Bewertung_Stammdaten!E$31,IF(P46&lt;Bewertung_Stammdaten!F$32,Bewertung_Stammdaten!E$32,Bewertung_Stammdaten!E$33)))))))))</f>
        <v>13.5</v>
      </c>
      <c r="U46" s="58">
        <f ca="1">IF(R46&lt;Bewertung_Stammdaten!H$24,Bewertung_Stammdaten!G$24,IF(R46&lt;Bewertung_Stammdaten!H$25,Bewertung_Stammdaten!G$25,IF(R46&lt;Bewertung_Stammdaten!H$26,Bewertung_Stammdaten!G$26,IF(R46&lt;Bewertung_Stammdaten!H$27,Bewertung_Stammdaten!G$27,IF(R46&lt;Bewertung_Stammdaten!H$28,Bewertung_Stammdaten!G$28,IF(R46&lt;Bewertung_Stammdaten!H$29,Bewertung_Stammdaten!G$29,IF(R46&lt;Bewertung_Stammdaten!H$30,Bewertung_Stammdaten!G$30,IF(R46&lt;Bewertung_Stammdaten!H$31,Bewertung_Stammdaten!G$31,IF(R46&lt;Bewertung_Stammdaten!H$32,Bewertung_Stammdaten!G$32,Bewertung_Stammdaten!G$33)))))))))</f>
        <v>10</v>
      </c>
      <c r="V46" s="49"/>
      <c r="W46" s="17">
        <f ca="1">VLOOKUP(A46,Ergebnis_je_Aktie_verwässert!A3:S68,18,FALSE)</f>
        <v>2.5427499999999998</v>
      </c>
      <c r="X46" s="17">
        <f>VLOOKUP(A46,Ergebnis_je_Aktie_verwässert!A3:S68,15,FALSE)</f>
        <v>1.1750000000000003</v>
      </c>
      <c r="Y46" s="13">
        <f ca="1">VLOOKUP(A46,Ergebnis_je_Aktie_verwässert!A3:S68,19,FALSE)</f>
        <v>1.1640425531914889</v>
      </c>
      <c r="Z46" s="46">
        <f>VLOOKUP(A46,Ergebnis_je_Aktie_verwässert!A3:AC68,29,FALSE)</f>
        <v>2.8301886792452935E-2</v>
      </c>
      <c r="AA46" s="19">
        <f t="shared" ca="1" si="10"/>
        <v>2.5427499999999998</v>
      </c>
      <c r="AB46" s="13">
        <f t="shared" ca="1" si="11"/>
        <v>1.1640425531914889</v>
      </c>
      <c r="AC46" s="36">
        <f ca="1">IF(Y46&lt;Bewertung_Stammdaten!L$11,Bewertung_Stammdaten!K$11,IF(Y46&lt;Bewertung_Stammdaten!L$12,Bewertung_Stammdaten!K$12,IF(Y46&lt;Bewertung_Stammdaten!L$13,Bewertung_Stammdaten!K$13,IF(Y46&lt;Bewertung_Stammdaten!L$14,Bewertung_Stammdaten!K$14,IF(Y46&lt;Bewertung_Stammdaten!L$15,Bewertung_Stammdaten!K$15,IF(Y46&lt;Bewertung_Stammdaten!L$16,Bewertung_Stammdaten!K$16,IF(Y46&lt;Bewertung_Stammdaten!L$17,Bewertung_Stammdaten!K$17,IF(Y46&lt;Bewertung_Stammdaten!L$18,Bewertung_Stammdaten!K$18,IF(Y46&lt;Bewertung_Stammdaten!L$19,Bewertung_Stammdaten!K$19,Bewertung_Stammdaten!K$20)))))))))</f>
        <v>20</v>
      </c>
      <c r="AD46" s="36">
        <f>IF(Z46&lt;Bewertung_Stammdaten!R$11,Bewertung_Stammdaten!Q$11,IF(Z46&lt;Bewertung_Stammdaten!R$12,Bewertung_Stammdaten!Q$12,IF(Z46&lt;Bewertung_Stammdaten!R$13,Bewertung_Stammdaten!Q$13,IF(Z46&lt;Bewertung_Stammdaten!R$14,Bewertung_Stammdaten!Q$14,IF(Z46&lt;Bewertung_Stammdaten!R$15,Bewertung_Stammdaten!Q$15,IF(Z46&lt;Bewertung_Stammdaten!R$16,Bewertung_Stammdaten!Q$16,IF(Z46&lt;Bewertung_Stammdaten!R$17,Bewertung_Stammdaten!Q$17,IF(Z46&lt;Bewertung_Stammdaten!R$18,Bewertung_Stammdaten!Q$18,IF(Z46&lt;Bewertung_Stammdaten!R$19,Bewertung_Stammdaten!Q$19,Bewertung_Stammdaten!Q$20)))))))))</f>
        <v>8</v>
      </c>
      <c r="AE46" s="36">
        <f ca="1">IF(AB46&lt;Bewertung_Stammdaten!P$11,Bewertung_Stammdaten!O$11,IF(AB46&lt;Bewertung_Stammdaten!P$12,Bewertung_Stammdaten!O$12,IF(AB46&lt;Bewertung_Stammdaten!P$13,Bewertung_Stammdaten!O$13,IF(AB46&lt;Bewertung_Stammdaten!P$14,Bewertung_Stammdaten!O$14,IF(AB46&lt;Bewertung_Stammdaten!P$15,Bewertung_Stammdaten!O$15,IF(AB46&lt;Bewertung_Stammdaten!P$16,Bewertung_Stammdaten!O$16,IF(AB46&lt;Bewertung_Stammdaten!P$17,Bewertung_Stammdaten!O$17,IF(AB46&lt;Bewertung_Stammdaten!P$18,Bewertung_Stammdaten!O$18,IF(AB46&lt;Bewertung_Stammdaten!P$19,Bewertung_Stammdaten!O$19,Bewertung_Stammdaten!O$20)))))))))</f>
        <v>10</v>
      </c>
      <c r="AF46" s="49"/>
      <c r="AG46" s="13">
        <f ca="1">VLOOKUP(A46,Dividendenrendite!A3:S68,18,FALSE)</f>
        <v>1.1698611111111111E-2</v>
      </c>
      <c r="AH46" s="13">
        <f>VLOOKUP(A46,Dividendenrendite!A3:S68,15,FALSE)</f>
        <v>3.5599999999999998E-3</v>
      </c>
      <c r="AI46" s="13">
        <f ca="1">VLOOKUP(A46,Dividendenrendite!A3:S68,19,FALSE)</f>
        <v>2.2861267166042447</v>
      </c>
      <c r="AJ46" s="36">
        <f ca="1">IF(AG46&lt;Bewertung_Stammdaten!D$11,Bewertung_Stammdaten!C$11,IF(AG46&lt;Bewertung_Stammdaten!D$12,Bewertung_Stammdaten!C$12,IF(AG46&lt;Bewertung_Stammdaten!D$13,Bewertung_Stammdaten!C$13,IF(AG46&lt;Bewertung_Stammdaten!D$14,Bewertung_Stammdaten!C$14,IF(AG46&lt;Bewertung_Stammdaten!D$15,Bewertung_Stammdaten!C$15,IF(AG46&lt;Bewertung_Stammdaten!D$16,Bewertung_Stammdaten!C$16,IF(AG46&lt;Bewertung_Stammdaten!D$17,Bewertung_Stammdaten!C$17,IF(AG46&lt;Bewertung_Stammdaten!D$18,Bewertung_Stammdaten!C$18,IF(AG46&lt;Bewertung_Stammdaten!D$19,Bewertung_Stammdaten!C$19,Bewertung_Stammdaten!C$20)))))))))</f>
        <v>4.5</v>
      </c>
      <c r="AK46" s="36">
        <f>IF(AH46&lt;Bewertung_Stammdaten!T$11,Bewertung_Stammdaten!S$11,IF(AH46&lt;Bewertung_Stammdaten!T$12,Bewertung_Stammdaten!S$12,IF(AH46&lt;Bewertung_Stammdaten!T$13,Bewertung_Stammdaten!S$13,IF(AH46&lt;Bewertung_Stammdaten!T$14,Bewertung_Stammdaten!S$14,IF(AH46&lt;Bewertung_Stammdaten!T$15,Bewertung_Stammdaten!S$15,IF(AH46&lt;Bewertung_Stammdaten!T$16,Bewertung_Stammdaten!S$16,IF(AH46&lt;Bewertung_Stammdaten!T$17,Bewertung_Stammdaten!S$17,IF(AH46&lt;Bewertung_Stammdaten!T$18,Bewertung_Stammdaten!S$18,IF(AH46&lt;Bewertung_Stammdaten!T$19,Bewertung_Stammdaten!S$19,Bewertung_Stammdaten!S$20)))))))))</f>
        <v>1</v>
      </c>
      <c r="AL46" s="36">
        <f ca="1">IF(AI46&lt;Bewertung_Stammdaten!F$11,Bewertung_Stammdaten!E$11,IF(AI46&lt;Bewertung_Stammdaten!F$12,Bewertung_Stammdaten!E$12,IF(AI46&lt;Bewertung_Stammdaten!F$13,Bewertung_Stammdaten!E$13,IF(AI46&lt;Bewertung_Stammdaten!F$14,Bewertung_Stammdaten!E$14,IF(AI46&lt;Bewertung_Stammdaten!F$15,Bewertung_Stammdaten!E$15,IF(AI46&lt;Bewertung_Stammdaten!F$16,Bewertung_Stammdaten!E$16,IF(AI46&lt;Bewertung_Stammdaten!F$17,Bewertung_Stammdaten!E$17,IF(AI46&lt;Bewertung_Stammdaten!F$18,Bewertung_Stammdaten!E$18,IF(AI46&lt;Bewertung_Stammdaten!F$19,Bewertung_Stammdaten!E$19,Bewertung_Stammdaten!E$20)))))))))</f>
        <v>5</v>
      </c>
      <c r="AM46" s="49"/>
      <c r="AN46" s="13">
        <f>VLOOKUP(A46,Aktien_im_Umlauf_splitbereinigt!A3:W68,13,FALSE)</f>
        <v>-5.2803261977573901E-2</v>
      </c>
      <c r="AO46" s="13">
        <f>VLOOKUP(A46,Aktien_im_Umlauf_splitbereinigt!A3:W68,22,FALSE)</f>
        <v>-1.1574627671027694E-2</v>
      </c>
      <c r="AP46" s="13">
        <f>VLOOKUP(A46,Aktien_im_Umlauf_splitbereinigt!A3:W68,23,FALSE)</f>
        <v>3.5619836316415681</v>
      </c>
      <c r="AQ46" s="47">
        <f>IF(AN46&lt;Bewertung_Stammdaten!J$24,Bewertung_Stammdaten!I$24,IF(AN46&lt;Bewertung_Stammdaten!J$25,Bewertung_Stammdaten!I$25,IF(AN46&lt;Bewertung_Stammdaten!J$26,Bewertung_Stammdaten!I$26,IF(AN46&lt;Bewertung_Stammdaten!J$27,Bewertung_Stammdaten!I$27,IF(AN46&lt;Bewertung_Stammdaten!J$28,Bewertung_Stammdaten!I$28,IF(AN46&lt;Bewertung_Stammdaten!J$29,Bewertung_Stammdaten!I$29,IF(AN46&lt;Bewertung_Stammdaten!J$30,Bewertung_Stammdaten!I$30,IF(AN46&lt;Bewertung_Stammdaten!J$31,Bewertung_Stammdaten!I$31,IF(AN46&lt;Bewertung_Stammdaten!J$32,Bewertung_Stammdaten!I$32,Bewertung_Stammdaten!I$33)))))))))</f>
        <v>5</v>
      </c>
      <c r="AR46" s="47">
        <f>IF(AO46&lt;Bewertung_Stammdaten!L$24,Bewertung_Stammdaten!K$24,IF(AO46&lt;Bewertung_Stammdaten!L$25,Bewertung_Stammdaten!K$25,IF(AO46&lt;Bewertung_Stammdaten!L$26,Bewertung_Stammdaten!K$26,IF(AO46&lt;Bewertung_Stammdaten!L$27,Bewertung_Stammdaten!K$27,IF(AO46&lt;Bewertung_Stammdaten!L$28,Bewertung_Stammdaten!K$28,IF(AO46&lt;Bewertung_Stammdaten!L$29,Bewertung_Stammdaten!K$29,IF(AO46&lt;Bewertung_Stammdaten!L$30,Bewertung_Stammdaten!K$30,IF(AO46&lt;Bewertung_Stammdaten!L$31,Bewertung_Stammdaten!K$31,IF(AO46&lt;Bewertung_Stammdaten!L$32,Bewertung_Stammdaten!K$32,Bewertung_Stammdaten!K$33)))))))))</f>
        <v>2.5</v>
      </c>
      <c r="AS46" s="47">
        <f>IF(AP46&lt;Bewertung_Stammdaten!N$24,Bewertung_Stammdaten!M$24,IF(AP46&lt;Bewertung_Stammdaten!N$25,Bewertung_Stammdaten!M$25,IF(AP46&lt;Bewertung_Stammdaten!N$26,Bewertung_Stammdaten!M$26,IF(AP46&lt;Bewertung_Stammdaten!N$27,Bewertung_Stammdaten!M$27,IF(AP46&lt;Bewertung_Stammdaten!N$28,Bewertung_Stammdaten!M$28,IF(AP46&lt;Bewertung_Stammdaten!N$29,Bewertung_Stammdaten!M$29,IF(AP46&lt;Bewertung_Stammdaten!N$30,Bewertung_Stammdaten!M$30,IF(AP46&lt;Bewertung_Stammdaten!N$31,Bewertung_Stammdaten!M$31,IF(AP46&lt;Bewertung_Stammdaten!N$32,Bewertung_Stammdaten!M$32,Bewertung_Stammdaten!M$33)))))))))</f>
        <v>5</v>
      </c>
      <c r="AT46" s="49"/>
      <c r="AU46" s="13">
        <f ca="1">VLOOKUP(A46,Ausschüttungsquote!A3:S68,18,FALSE)</f>
        <v>0.18474516850765463</v>
      </c>
      <c r="AV46" s="13">
        <f>VLOOKUP(A46,Ausschüttungsquote!A3:S68,15,FALSE)</f>
        <v>0.11842033224981634</v>
      </c>
      <c r="AW46" s="13">
        <f ca="1">VLOOKUP(A46,Ausschüttungsquote!A3:S68,19,FALSE)</f>
        <v>0.5600798021569573</v>
      </c>
      <c r="AX46" s="36">
        <f ca="1">IF(AU46&lt;Bewertung_Stammdaten!H$11,Bewertung_Stammdaten!G$11,IF(AU46&lt;Bewertung_Stammdaten!H$12,Bewertung_Stammdaten!G$12,IF(AU46&lt;Bewertung_Stammdaten!H$13,Bewertung_Stammdaten!G$13,IF(AU46&lt;Bewertung_Stammdaten!H$14,Bewertung_Stammdaten!G$14,IF(AU46&lt;Bewertung_Stammdaten!H$15,Bewertung_Stammdaten!G$15,IF(AU46&lt;Bewertung_Stammdaten!H$16,Bewertung_Stammdaten!G$16,IF(AU46&lt;Bewertung_Stammdaten!H$17,Bewertung_Stammdaten!G$17,IF(AU46&lt;Bewertung_Stammdaten!H$18,Bewertung_Stammdaten!G$18,IF(AU46&lt;Bewertung_Stammdaten!H$19,Bewertung_Stammdaten!G$19,Bewertung_Stammdaten!G$20)))))))))</f>
        <v>5</v>
      </c>
      <c r="AY46" s="47">
        <f>IF(AV46&lt;Bewertung_Stammdaten!B$24,Bewertung_Stammdaten!A$24,IF(AV46&lt;Bewertung_Stammdaten!B$25,Bewertung_Stammdaten!A$25,IF(AV46&lt;Bewertung_Stammdaten!B$26,Bewertung_Stammdaten!A$26,IF(AV46&lt;Bewertung_Stammdaten!B$27,Bewertung_Stammdaten!A$27,IF(AV46&lt;Bewertung_Stammdaten!B$28,Bewertung_Stammdaten!A$28,IF(AV46&lt;Bewertung_Stammdaten!B$29,Bewertung_Stammdaten!A$29,IF(AV46&lt;Bewertung_Stammdaten!B$30,Bewertung_Stammdaten!A$30,IF(AV46&lt;Bewertung_Stammdaten!B$31,Bewertung_Stammdaten!A$31,IF(AV46&lt;Bewertung_Stammdaten!B$32,Bewertung_Stammdaten!A$32,Bewertung_Stammdaten!A$33)))))))))</f>
        <v>5</v>
      </c>
      <c r="AZ46" s="36">
        <f ca="1">IF(AW46&lt;Bewertung_Stammdaten!J$11,Bewertung_Stammdaten!I$11,IF(AW46&lt;Bewertung_Stammdaten!J$12,Bewertung_Stammdaten!I$12,IF(AW46&lt;Bewertung_Stammdaten!J$13,Bewertung_Stammdaten!I$13,IF(AW46&lt;Bewertung_Stammdaten!J$14,Bewertung_Stammdaten!I$14,IF(AW46&lt;Bewertung_Stammdaten!J$15,Bewertung_Stammdaten!I$15,IF(AW46&lt;Bewertung_Stammdaten!J$16,Bewertung_Stammdaten!I$16,IF(AW46&lt;Bewertung_Stammdaten!J$17,Bewertung_Stammdaten!I$17,IF(AW46&lt;Bewertung_Stammdaten!J$18,Bewertung_Stammdaten!I$18,IF(AW46&lt;Bewertung_Stammdaten!J$19,Bewertung_Stammdaten!I$19,Bewertung_Stammdaten!I$20)))))))))</f>
        <v>0.5</v>
      </c>
    </row>
    <row r="47" spans="1:52" x14ac:dyDescent="0.25">
      <c r="A47" s="44" t="s">
        <v>90</v>
      </c>
      <c r="B47" s="44" t="s">
        <v>91</v>
      </c>
      <c r="C47" s="36">
        <f t="shared" ca="1" si="7"/>
        <v>83.5</v>
      </c>
      <c r="D47" s="49"/>
      <c r="E47" s="12">
        <f ca="1">VLOOKUP(A47,KGV!A3:S68,18,FALSE)</f>
        <v>19.095833333333331</v>
      </c>
      <c r="F47" s="12">
        <f>VLOOKUP(A47,KGV!A3:S68,15,FALSE)</f>
        <v>17.8</v>
      </c>
      <c r="G47" s="13">
        <f ca="1">VLOOKUP(A47,KGV!A3:S68,19,FALSE)</f>
        <v>7.2799625468164653E-2</v>
      </c>
      <c r="H47" s="19">
        <f t="shared" ca="1" si="8"/>
        <v>20.285604880581516</v>
      </c>
      <c r="I47" s="13">
        <f t="shared" ca="1" si="9"/>
        <v>0.13964072362817492</v>
      </c>
      <c r="J47" s="36">
        <f ca="1">IF(G47&lt;Bewertung_Stammdaten!B$11,Bewertung_Stammdaten!A$11,IF(G47&lt;Bewertung_Stammdaten!B$12,Bewertung_Stammdaten!A$12,IF(G47&lt;Bewertung_Stammdaten!B$13,Bewertung_Stammdaten!A$13,IF(G47&lt;Bewertung_Stammdaten!B$14,Bewertung_Stammdaten!A$14,IF(G47&lt;Bewertung_Stammdaten!B$15,Bewertung_Stammdaten!A$15,IF(G47&lt;Bewertung_Stammdaten!B$16,Bewertung_Stammdaten!A$16,IF(G47&lt;Bewertung_Stammdaten!B$17,Bewertung_Stammdaten!A$17,IF(G47&lt;Bewertung_Stammdaten!B$18,Bewertung_Stammdaten!A$18,IF(G47&lt;Bewertung_Stammdaten!B$19,Bewertung_Stammdaten!A$19,Bewertung_Stammdaten!A$20)))))))))</f>
        <v>8</v>
      </c>
      <c r="K47" s="36">
        <f ca="1">IF(I47&lt;Bewertung_Stammdaten!N$11,Bewertung_Stammdaten!M$11,IF(I47&lt;Bewertung_Stammdaten!N$12,Bewertung_Stammdaten!M$12,IF(I47&lt;Bewertung_Stammdaten!N$13,Bewertung_Stammdaten!M$13,IF(I47&lt;Bewertung_Stammdaten!N$14,Bewertung_Stammdaten!M$14,IF(I47&lt;Bewertung_Stammdaten!N$15,Bewertung_Stammdaten!M$15,IF(I47&lt;Bewertung_Stammdaten!N$16,Bewertung_Stammdaten!M$16,IF(I47&lt;Bewertung_Stammdaten!N$17,Bewertung_Stammdaten!M$17,IF(I47&lt;Bewertung_Stammdaten!N$18,Bewertung_Stammdaten!M$18,IF(I47&lt;Bewertung_Stammdaten!N$19,Bewertung_Stammdaten!M$19,Bewertung_Stammdaten!M$20)))))))))</f>
        <v>3</v>
      </c>
      <c r="L47" s="49"/>
      <c r="M47" s="12">
        <f ca="1">VLOOKUP(A47,Buchwert_je_Aktie!A3:AC68,18,FALSE)</f>
        <v>15.980833333333335</v>
      </c>
      <c r="N47" s="12">
        <f>VLOOKUP(A47,Buchwert_je_Aktie!A3:AC68,15,FALSE)</f>
        <v>11.381000000000002</v>
      </c>
      <c r="O47" s="13">
        <f ca="1">VLOOKUP(A47,Buchwert_je_Aktie!A3:AC68,19,FALSE)</f>
        <v>0.40416776498843099</v>
      </c>
      <c r="P47" s="13">
        <f>VLOOKUP(A47,Buchwert_je_Aktie!A3:AC68,29,FALSE)</f>
        <v>-0.27154772937905458</v>
      </c>
      <c r="Q47" s="19">
        <f t="shared" ca="1" si="6"/>
        <v>11.641274328081559</v>
      </c>
      <c r="R47" s="13">
        <f t="shared" ca="1" si="3"/>
        <v>2.2869196738560582E-2</v>
      </c>
      <c r="S47" s="58">
        <f ca="1">IF(O47&lt;Bewertung_Stammdaten!D$24,Bewertung_Stammdaten!C$24,IF(O47&lt;Bewertung_Stammdaten!D$25,Bewertung_Stammdaten!C$25,IF(O47&lt;Bewertung_Stammdaten!D$26,Bewertung_Stammdaten!C$26,IF(O47&lt;Bewertung_Stammdaten!D$27,Bewertung_Stammdaten!C$27,IF(O47&lt;Bewertung_Stammdaten!D$28,Bewertung_Stammdaten!C$28,IF(O47&lt;Bewertung_Stammdaten!D$29,Bewertung_Stammdaten!C$29,IF(O47&lt;Bewertung_Stammdaten!D$30,Bewertung_Stammdaten!C$30,IF(O47&lt;Bewertung_Stammdaten!D$31,Bewertung_Stammdaten!C$31,IF(O47&lt;Bewertung_Stammdaten!D$32,Bewertung_Stammdaten!C$32,Bewertung_Stammdaten!C$33)))))))))</f>
        <v>12</v>
      </c>
      <c r="T47" s="58">
        <f>IF(P47&lt;Bewertung_Stammdaten!F$24,Bewertung_Stammdaten!E$24,IF(P47&lt;Bewertung_Stammdaten!F$25,Bewertung_Stammdaten!E$25,IF(P47&lt;Bewertung_Stammdaten!F$26,Bewertung_Stammdaten!E$26,IF(P47&lt;Bewertung_Stammdaten!F$27,Bewertung_Stammdaten!E$27,IF(P47&lt;Bewertung_Stammdaten!F$28,Bewertung_Stammdaten!E$28,IF(P47&lt;Bewertung_Stammdaten!F$29,Bewertung_Stammdaten!E$29,IF(P47&lt;Bewertung_Stammdaten!F$30,Bewertung_Stammdaten!E$30,IF(P47&lt;Bewertung_Stammdaten!F$31,Bewertung_Stammdaten!E$31,IF(P47&lt;Bewertung_Stammdaten!F$32,Bewertung_Stammdaten!E$32,Bewertung_Stammdaten!E$33)))))))))</f>
        <v>3</v>
      </c>
      <c r="U47" s="58">
        <f ca="1">IF(R47&lt;Bewertung_Stammdaten!H$24,Bewertung_Stammdaten!G$24,IF(R47&lt;Bewertung_Stammdaten!H$25,Bewertung_Stammdaten!G$25,IF(R47&lt;Bewertung_Stammdaten!H$26,Bewertung_Stammdaten!G$26,IF(R47&lt;Bewertung_Stammdaten!H$27,Bewertung_Stammdaten!G$27,IF(R47&lt;Bewertung_Stammdaten!H$28,Bewertung_Stammdaten!G$28,IF(R47&lt;Bewertung_Stammdaten!H$29,Bewertung_Stammdaten!G$29,IF(R47&lt;Bewertung_Stammdaten!H$30,Bewertung_Stammdaten!G$30,IF(R47&lt;Bewertung_Stammdaten!H$31,Bewertung_Stammdaten!G$31,IF(R47&lt;Bewertung_Stammdaten!H$32,Bewertung_Stammdaten!G$32,Bewertung_Stammdaten!G$33)))))))))</f>
        <v>2</v>
      </c>
      <c r="V47" s="49"/>
      <c r="W47" s="17">
        <f ca="1">VLOOKUP(A47,Ergebnis_je_Aktie_verwässert!A3:S68,18,FALSE)</f>
        <v>4.7330277777777781</v>
      </c>
      <c r="X47" s="17">
        <f>VLOOKUP(A47,Ergebnis_je_Aktie_verwässert!A3:S68,15,FALSE)</f>
        <v>3.4729999999999999</v>
      </c>
      <c r="Y47" s="13">
        <f ca="1">VLOOKUP(A47,Ergebnis_je_Aktie_verwässert!A3:S68,19,FALSE)</f>
        <v>0.36280673129219077</v>
      </c>
      <c r="Z47" s="46">
        <f>VLOOKUP(A47,Ergebnis_je_Aktie_verwässert!A3:AC68,29,FALSE)</f>
        <v>-5.8651026392961936E-2</v>
      </c>
      <c r="AA47" s="19">
        <f t="shared" ca="1" si="10"/>
        <v>4.4554308406647118</v>
      </c>
      <c r="AB47" s="13">
        <f t="shared" ca="1" si="11"/>
        <v>0.28287671772666623</v>
      </c>
      <c r="AC47" s="36">
        <f ca="1">IF(Y47&lt;Bewertung_Stammdaten!L$11,Bewertung_Stammdaten!K$11,IF(Y47&lt;Bewertung_Stammdaten!L$12,Bewertung_Stammdaten!K$12,IF(Y47&lt;Bewertung_Stammdaten!L$13,Bewertung_Stammdaten!K$13,IF(Y47&lt;Bewertung_Stammdaten!L$14,Bewertung_Stammdaten!K$14,IF(Y47&lt;Bewertung_Stammdaten!L$15,Bewertung_Stammdaten!K$15,IF(Y47&lt;Bewertung_Stammdaten!L$16,Bewertung_Stammdaten!K$16,IF(Y47&lt;Bewertung_Stammdaten!L$17,Bewertung_Stammdaten!K$17,IF(Y47&lt;Bewertung_Stammdaten!L$18,Bewertung_Stammdaten!K$18,IF(Y47&lt;Bewertung_Stammdaten!L$19,Bewertung_Stammdaten!K$19,Bewertung_Stammdaten!K$20)))))))))</f>
        <v>10</v>
      </c>
      <c r="AD47" s="36">
        <f>IF(Z47&lt;Bewertung_Stammdaten!R$11,Bewertung_Stammdaten!Q$11,IF(Z47&lt;Bewertung_Stammdaten!R$12,Bewertung_Stammdaten!Q$12,IF(Z47&lt;Bewertung_Stammdaten!R$13,Bewertung_Stammdaten!Q$13,IF(Z47&lt;Bewertung_Stammdaten!R$14,Bewertung_Stammdaten!Q$14,IF(Z47&lt;Bewertung_Stammdaten!R$15,Bewertung_Stammdaten!Q$15,IF(Z47&lt;Bewertung_Stammdaten!R$16,Bewertung_Stammdaten!Q$16,IF(Z47&lt;Bewertung_Stammdaten!R$17,Bewertung_Stammdaten!Q$17,IF(Z47&lt;Bewertung_Stammdaten!R$18,Bewertung_Stammdaten!Q$18,IF(Z47&lt;Bewertung_Stammdaten!R$19,Bewertung_Stammdaten!Q$19,Bewertung_Stammdaten!Q$20)))))))))</f>
        <v>7</v>
      </c>
      <c r="AE47" s="36">
        <f ca="1">IF(AB47&lt;Bewertung_Stammdaten!P$11,Bewertung_Stammdaten!O$11,IF(AB47&lt;Bewertung_Stammdaten!P$12,Bewertung_Stammdaten!O$12,IF(AB47&lt;Bewertung_Stammdaten!P$13,Bewertung_Stammdaten!O$13,IF(AB47&lt;Bewertung_Stammdaten!P$14,Bewertung_Stammdaten!O$14,IF(AB47&lt;Bewertung_Stammdaten!P$15,Bewertung_Stammdaten!O$15,IF(AB47&lt;Bewertung_Stammdaten!P$16,Bewertung_Stammdaten!O$16,IF(AB47&lt;Bewertung_Stammdaten!P$17,Bewertung_Stammdaten!O$17,IF(AB47&lt;Bewertung_Stammdaten!P$18,Bewertung_Stammdaten!O$18,IF(AB47&lt;Bewertung_Stammdaten!P$19,Bewertung_Stammdaten!O$19,Bewertung_Stammdaten!O$20)))))))))</f>
        <v>4</v>
      </c>
      <c r="AF47" s="49"/>
      <c r="AG47" s="13">
        <f ca="1">VLOOKUP(A47,Dividendenrendite!A3:S68,18,FALSE)</f>
        <v>2.9346666666666667E-2</v>
      </c>
      <c r="AH47" s="13">
        <f>VLOOKUP(A47,Dividendenrendite!A3:S68,15,FALSE)</f>
        <v>2.4759999999999997E-2</v>
      </c>
      <c r="AI47" s="13">
        <f ca="1">VLOOKUP(A47,Dividendenrendite!A3:S68,19,FALSE)</f>
        <v>0.1852450188476038</v>
      </c>
      <c r="AJ47" s="36">
        <f ca="1">IF(AG47&lt;Bewertung_Stammdaten!D$11,Bewertung_Stammdaten!C$11,IF(AG47&lt;Bewertung_Stammdaten!D$12,Bewertung_Stammdaten!C$12,IF(AG47&lt;Bewertung_Stammdaten!D$13,Bewertung_Stammdaten!C$13,IF(AG47&lt;Bewertung_Stammdaten!D$14,Bewertung_Stammdaten!C$14,IF(AG47&lt;Bewertung_Stammdaten!D$15,Bewertung_Stammdaten!C$15,IF(AG47&lt;Bewertung_Stammdaten!D$16,Bewertung_Stammdaten!C$16,IF(AG47&lt;Bewertung_Stammdaten!D$17,Bewertung_Stammdaten!C$17,IF(AG47&lt;Bewertung_Stammdaten!D$18,Bewertung_Stammdaten!C$18,IF(AG47&lt;Bewertung_Stammdaten!D$19,Bewertung_Stammdaten!C$19,Bewertung_Stammdaten!C$20)))))))))</f>
        <v>9</v>
      </c>
      <c r="AK47" s="36">
        <f>IF(AH47&lt;Bewertung_Stammdaten!T$11,Bewertung_Stammdaten!S$11,IF(AH47&lt;Bewertung_Stammdaten!T$12,Bewertung_Stammdaten!S$12,IF(AH47&lt;Bewertung_Stammdaten!T$13,Bewertung_Stammdaten!S$13,IF(AH47&lt;Bewertung_Stammdaten!T$14,Bewertung_Stammdaten!S$14,IF(AH47&lt;Bewertung_Stammdaten!T$15,Bewertung_Stammdaten!S$15,IF(AH47&lt;Bewertung_Stammdaten!T$16,Bewertung_Stammdaten!S$16,IF(AH47&lt;Bewertung_Stammdaten!T$17,Bewertung_Stammdaten!S$17,IF(AH47&lt;Bewertung_Stammdaten!T$18,Bewertung_Stammdaten!S$18,IF(AH47&lt;Bewertung_Stammdaten!T$19,Bewertung_Stammdaten!S$19,Bewertung_Stammdaten!S$20)))))))))</f>
        <v>5</v>
      </c>
      <c r="AL47" s="36">
        <f ca="1">IF(AI47&lt;Bewertung_Stammdaten!F$11,Bewertung_Stammdaten!E$11,IF(AI47&lt;Bewertung_Stammdaten!F$12,Bewertung_Stammdaten!E$12,IF(AI47&lt;Bewertung_Stammdaten!F$13,Bewertung_Stammdaten!E$13,IF(AI47&lt;Bewertung_Stammdaten!F$14,Bewertung_Stammdaten!E$14,IF(AI47&lt;Bewertung_Stammdaten!F$15,Bewertung_Stammdaten!E$15,IF(AI47&lt;Bewertung_Stammdaten!F$16,Bewertung_Stammdaten!E$16,IF(AI47&lt;Bewertung_Stammdaten!F$17,Bewertung_Stammdaten!E$17,IF(AI47&lt;Bewertung_Stammdaten!F$18,Bewertung_Stammdaten!E$18,IF(AI47&lt;Bewertung_Stammdaten!F$19,Bewertung_Stammdaten!E$19,Bewertung_Stammdaten!E$20)))))))))</f>
        <v>4.5</v>
      </c>
      <c r="AM47" s="49"/>
      <c r="AN47" s="13">
        <f>VLOOKUP(A47,Aktien_im_Umlauf_splitbereinigt!A3:W68,13,FALSE)</f>
        <v>-1.3609850939727774E-2</v>
      </c>
      <c r="AO47" s="13">
        <f>VLOOKUP(A47,Aktien_im_Umlauf_splitbereinigt!A3:W68,22,FALSE)</f>
        <v>-1.0772499585557272E-2</v>
      </c>
      <c r="AP47" s="13">
        <f>VLOOKUP(A47,Aktien_im_Umlauf_splitbereinigt!A3:W68,23,FALSE)</f>
        <v>0.26338839297562378</v>
      </c>
      <c r="AQ47" s="47">
        <f>IF(AN47&lt;Bewertung_Stammdaten!J$24,Bewertung_Stammdaten!I$24,IF(AN47&lt;Bewertung_Stammdaten!J$25,Bewertung_Stammdaten!I$25,IF(AN47&lt;Bewertung_Stammdaten!J$26,Bewertung_Stammdaten!I$26,IF(AN47&lt;Bewertung_Stammdaten!J$27,Bewertung_Stammdaten!I$27,IF(AN47&lt;Bewertung_Stammdaten!J$28,Bewertung_Stammdaten!I$28,IF(AN47&lt;Bewertung_Stammdaten!J$29,Bewertung_Stammdaten!I$29,IF(AN47&lt;Bewertung_Stammdaten!J$30,Bewertung_Stammdaten!I$30,IF(AN47&lt;Bewertung_Stammdaten!J$31,Bewertung_Stammdaten!I$31,IF(AN47&lt;Bewertung_Stammdaten!J$32,Bewertung_Stammdaten!I$32,Bewertung_Stammdaten!I$33)))))))))</f>
        <v>2.5</v>
      </c>
      <c r="AR47" s="47">
        <f>IF(AO47&lt;Bewertung_Stammdaten!L$24,Bewertung_Stammdaten!K$24,IF(AO47&lt;Bewertung_Stammdaten!L$25,Bewertung_Stammdaten!K$25,IF(AO47&lt;Bewertung_Stammdaten!L$26,Bewertung_Stammdaten!K$26,IF(AO47&lt;Bewertung_Stammdaten!L$27,Bewertung_Stammdaten!K$27,IF(AO47&lt;Bewertung_Stammdaten!L$28,Bewertung_Stammdaten!K$28,IF(AO47&lt;Bewertung_Stammdaten!L$29,Bewertung_Stammdaten!K$29,IF(AO47&lt;Bewertung_Stammdaten!L$30,Bewertung_Stammdaten!K$30,IF(AO47&lt;Bewertung_Stammdaten!L$31,Bewertung_Stammdaten!K$31,IF(AO47&lt;Bewertung_Stammdaten!L$32,Bewertung_Stammdaten!K$32,Bewertung_Stammdaten!K$33)))))))))</f>
        <v>2.5</v>
      </c>
      <c r="AS47" s="47">
        <f>IF(AP47&lt;Bewertung_Stammdaten!N$24,Bewertung_Stammdaten!M$24,IF(AP47&lt;Bewertung_Stammdaten!N$25,Bewertung_Stammdaten!M$25,IF(AP47&lt;Bewertung_Stammdaten!N$26,Bewertung_Stammdaten!M$26,IF(AP47&lt;Bewertung_Stammdaten!N$27,Bewertung_Stammdaten!M$27,IF(AP47&lt;Bewertung_Stammdaten!N$28,Bewertung_Stammdaten!M$28,IF(AP47&lt;Bewertung_Stammdaten!N$29,Bewertung_Stammdaten!M$29,IF(AP47&lt;Bewertung_Stammdaten!N$30,Bewertung_Stammdaten!M$30,IF(AP47&lt;Bewertung_Stammdaten!N$31,Bewertung_Stammdaten!M$31,IF(AP47&lt;Bewertung_Stammdaten!N$32,Bewertung_Stammdaten!M$32,Bewertung_Stammdaten!M$33)))))))))</f>
        <v>3.5</v>
      </c>
      <c r="AT47" s="49"/>
      <c r="AU47" s="13">
        <f ca="1">VLOOKUP(A47,Ausschüttungsquote!A3:S68,18,FALSE)</f>
        <v>0.55828016015815896</v>
      </c>
      <c r="AV47" s="13">
        <f>VLOOKUP(A47,Ausschüttungsquote!A3:S68,15,FALSE)</f>
        <v>0.45741997504804421</v>
      </c>
      <c r="AW47" s="13">
        <f ca="1">VLOOKUP(A47,Ausschüttungsquote!A3:S68,19,FALSE)</f>
        <v>0.22049799005721393</v>
      </c>
      <c r="AX47" s="36">
        <f ca="1">IF(AU47&lt;Bewertung_Stammdaten!H$11,Bewertung_Stammdaten!G$11,IF(AU47&lt;Bewertung_Stammdaten!H$12,Bewertung_Stammdaten!G$12,IF(AU47&lt;Bewertung_Stammdaten!H$13,Bewertung_Stammdaten!G$13,IF(AU47&lt;Bewertung_Stammdaten!H$14,Bewertung_Stammdaten!G$14,IF(AU47&lt;Bewertung_Stammdaten!H$15,Bewertung_Stammdaten!G$15,IF(AU47&lt;Bewertung_Stammdaten!H$16,Bewertung_Stammdaten!G$16,IF(AU47&lt;Bewertung_Stammdaten!H$17,Bewertung_Stammdaten!G$17,IF(AU47&lt;Bewertung_Stammdaten!H$18,Bewertung_Stammdaten!G$18,IF(AU47&lt;Bewertung_Stammdaten!H$19,Bewertung_Stammdaten!G$19,Bewertung_Stammdaten!G$20)))))))))</f>
        <v>3</v>
      </c>
      <c r="AY47" s="47">
        <f>IF(AV47&lt;Bewertung_Stammdaten!B$24,Bewertung_Stammdaten!A$24,IF(AV47&lt;Bewertung_Stammdaten!B$25,Bewertung_Stammdaten!A$25,IF(AV47&lt;Bewertung_Stammdaten!B$26,Bewertung_Stammdaten!A$26,IF(AV47&lt;Bewertung_Stammdaten!B$27,Bewertung_Stammdaten!A$27,IF(AV47&lt;Bewertung_Stammdaten!B$28,Bewertung_Stammdaten!A$28,IF(AV47&lt;Bewertung_Stammdaten!B$29,Bewertung_Stammdaten!A$29,IF(AV47&lt;Bewertung_Stammdaten!B$30,Bewertung_Stammdaten!A$30,IF(AV47&lt;Bewertung_Stammdaten!B$31,Bewertung_Stammdaten!A$31,IF(AV47&lt;Bewertung_Stammdaten!B$32,Bewertung_Stammdaten!A$32,Bewertung_Stammdaten!A$33)))))))))</f>
        <v>4</v>
      </c>
      <c r="AZ47" s="36">
        <f ca="1">IF(AW47&lt;Bewertung_Stammdaten!J$11,Bewertung_Stammdaten!I$11,IF(AW47&lt;Bewertung_Stammdaten!J$12,Bewertung_Stammdaten!I$12,IF(AW47&lt;Bewertung_Stammdaten!J$13,Bewertung_Stammdaten!I$13,IF(AW47&lt;Bewertung_Stammdaten!J$14,Bewertung_Stammdaten!I$14,IF(AW47&lt;Bewertung_Stammdaten!J$15,Bewertung_Stammdaten!I$15,IF(AW47&lt;Bewertung_Stammdaten!J$16,Bewertung_Stammdaten!I$16,IF(AW47&lt;Bewertung_Stammdaten!J$17,Bewertung_Stammdaten!I$17,IF(AW47&lt;Bewertung_Stammdaten!J$18,Bewertung_Stammdaten!I$18,IF(AW47&lt;Bewertung_Stammdaten!J$19,Bewertung_Stammdaten!I$19,Bewertung_Stammdaten!I$20)))))))))</f>
        <v>0.5</v>
      </c>
    </row>
    <row r="48" spans="1:52" x14ac:dyDescent="0.25">
      <c r="A48" s="44" t="s">
        <v>92</v>
      </c>
      <c r="B48" s="44" t="s">
        <v>93</v>
      </c>
      <c r="C48" s="36">
        <f t="shared" ca="1" si="7"/>
        <v>72.5</v>
      </c>
      <c r="D48" s="49"/>
      <c r="E48" s="12">
        <f ca="1">VLOOKUP(A48,KGV!A3:S68,18,FALSE)</f>
        <v>19.795833333333334</v>
      </c>
      <c r="F48" s="12">
        <f>VLOOKUP(A48,KGV!A3:S68,15,FALSE)</f>
        <v>16.990000000000002</v>
      </c>
      <c r="G48" s="13">
        <f ca="1">VLOOKUP(A48,KGV!A3:S68,19,FALSE)</f>
        <v>0.1651461644104375</v>
      </c>
      <c r="H48" s="19">
        <f t="shared" ca="1" si="8"/>
        <v>27.060359327217125</v>
      </c>
      <c r="I48" s="13">
        <f t="shared" ca="1" si="9"/>
        <v>0.59272273850601076</v>
      </c>
      <c r="J48" s="36">
        <f ca="1">IF(G48&lt;Bewertung_Stammdaten!B$11,Bewertung_Stammdaten!A$11,IF(G48&lt;Bewertung_Stammdaten!B$12,Bewertung_Stammdaten!A$12,IF(G48&lt;Bewertung_Stammdaten!B$13,Bewertung_Stammdaten!A$13,IF(G48&lt;Bewertung_Stammdaten!B$14,Bewertung_Stammdaten!A$14,IF(G48&lt;Bewertung_Stammdaten!B$15,Bewertung_Stammdaten!A$15,IF(G48&lt;Bewertung_Stammdaten!B$16,Bewertung_Stammdaten!A$16,IF(G48&lt;Bewertung_Stammdaten!B$17,Bewertung_Stammdaten!A$17,IF(G48&lt;Bewertung_Stammdaten!B$18,Bewertung_Stammdaten!A$18,IF(G48&lt;Bewertung_Stammdaten!B$19,Bewertung_Stammdaten!A$19,Bewertung_Stammdaten!A$20)))))))))</f>
        <v>4</v>
      </c>
      <c r="K48" s="36">
        <f ca="1">IF(I48&lt;Bewertung_Stammdaten!N$11,Bewertung_Stammdaten!M$11,IF(I48&lt;Bewertung_Stammdaten!N$12,Bewertung_Stammdaten!M$12,IF(I48&lt;Bewertung_Stammdaten!N$13,Bewertung_Stammdaten!M$13,IF(I48&lt;Bewertung_Stammdaten!N$14,Bewertung_Stammdaten!M$14,IF(I48&lt;Bewertung_Stammdaten!N$15,Bewertung_Stammdaten!M$15,IF(I48&lt;Bewertung_Stammdaten!N$16,Bewertung_Stammdaten!M$16,IF(I48&lt;Bewertung_Stammdaten!N$17,Bewertung_Stammdaten!M$17,IF(I48&lt;Bewertung_Stammdaten!N$18,Bewertung_Stammdaten!M$18,IF(I48&lt;Bewertung_Stammdaten!N$19,Bewertung_Stammdaten!M$19,Bewertung_Stammdaten!M$20)))))))))</f>
        <v>1</v>
      </c>
      <c r="L48" s="49"/>
      <c r="M48" s="12">
        <f ca="1">VLOOKUP(A48,Buchwert_je_Aktie!A3:AC68,18,FALSE)</f>
        <v>11.639722222222222</v>
      </c>
      <c r="N48" s="12">
        <f>VLOOKUP(A48,Buchwert_je_Aktie!A3:AC68,15,FALSE)</f>
        <v>10.228</v>
      </c>
      <c r="O48" s="13">
        <f ca="1">VLOOKUP(A48,Buchwert_je_Aktie!A3:AC68,19,FALSE)</f>
        <v>0.13802524659974802</v>
      </c>
      <c r="P48" s="13">
        <f>VLOOKUP(A48,Buchwert_je_Aktie!A3:AC68,29,FALSE)</f>
        <v>-0.11330561330561328</v>
      </c>
      <c r="Q48" s="19">
        <f t="shared" ca="1" si="6"/>
        <v>10.320876357126357</v>
      </c>
      <c r="R48" s="13">
        <f t="shared" ca="1" si="3"/>
        <v>9.0805980764916416E-3</v>
      </c>
      <c r="S48" s="58">
        <f ca="1">IF(O48&lt;Bewertung_Stammdaten!D$24,Bewertung_Stammdaten!C$24,IF(O48&lt;Bewertung_Stammdaten!D$25,Bewertung_Stammdaten!C$25,IF(O48&lt;Bewertung_Stammdaten!D$26,Bewertung_Stammdaten!C$26,IF(O48&lt;Bewertung_Stammdaten!D$27,Bewertung_Stammdaten!C$27,IF(O48&lt;Bewertung_Stammdaten!D$28,Bewertung_Stammdaten!C$28,IF(O48&lt;Bewertung_Stammdaten!D$29,Bewertung_Stammdaten!C$29,IF(O48&lt;Bewertung_Stammdaten!D$30,Bewertung_Stammdaten!C$30,IF(O48&lt;Bewertung_Stammdaten!D$31,Bewertung_Stammdaten!C$31,IF(O48&lt;Bewertung_Stammdaten!D$32,Bewertung_Stammdaten!C$32,Bewertung_Stammdaten!C$33)))))))))</f>
        <v>6</v>
      </c>
      <c r="T48" s="58">
        <f>IF(P48&lt;Bewertung_Stammdaten!F$24,Bewertung_Stammdaten!E$24,IF(P48&lt;Bewertung_Stammdaten!F$25,Bewertung_Stammdaten!E$25,IF(P48&lt;Bewertung_Stammdaten!F$26,Bewertung_Stammdaten!E$26,IF(P48&lt;Bewertung_Stammdaten!F$27,Bewertung_Stammdaten!E$27,IF(P48&lt;Bewertung_Stammdaten!F$28,Bewertung_Stammdaten!E$28,IF(P48&lt;Bewertung_Stammdaten!F$29,Bewertung_Stammdaten!E$29,IF(P48&lt;Bewertung_Stammdaten!F$30,Bewertung_Stammdaten!E$30,IF(P48&lt;Bewertung_Stammdaten!F$31,Bewertung_Stammdaten!E$31,IF(P48&lt;Bewertung_Stammdaten!F$32,Bewertung_Stammdaten!E$32,Bewertung_Stammdaten!E$33)))))))))</f>
        <v>7.5</v>
      </c>
      <c r="U48" s="58">
        <f ca="1">IF(R48&lt;Bewertung_Stammdaten!H$24,Bewertung_Stammdaten!G$24,IF(R48&lt;Bewertung_Stammdaten!H$25,Bewertung_Stammdaten!G$25,IF(R48&lt;Bewertung_Stammdaten!H$26,Bewertung_Stammdaten!G$26,IF(R48&lt;Bewertung_Stammdaten!H$27,Bewertung_Stammdaten!G$27,IF(R48&lt;Bewertung_Stammdaten!H$28,Bewertung_Stammdaten!G$28,IF(R48&lt;Bewertung_Stammdaten!H$29,Bewertung_Stammdaten!G$29,IF(R48&lt;Bewertung_Stammdaten!H$30,Bewertung_Stammdaten!G$30,IF(R48&lt;Bewertung_Stammdaten!H$31,Bewertung_Stammdaten!G$31,IF(R48&lt;Bewertung_Stammdaten!H$32,Bewertung_Stammdaten!G$32,Bewertung_Stammdaten!G$33)))))))))</f>
        <v>2</v>
      </c>
      <c r="V48" s="49"/>
      <c r="W48" s="17">
        <f ca="1">VLOOKUP(A48,Ergebnis_je_Aktie_verwässert!A3:S68,18,FALSE)</f>
        <v>1.5523333333333333</v>
      </c>
      <c r="X48" s="17">
        <f>VLOOKUP(A48,Ergebnis_je_Aktie_verwässert!A3:S68,15,FALSE)</f>
        <v>1.3579999999999999</v>
      </c>
      <c r="Y48" s="13">
        <f ca="1">VLOOKUP(A48,Ergebnis_je_Aktie_verwässert!A3:S68,19,FALSE)</f>
        <v>0.14310260186548862</v>
      </c>
      <c r="Z48" s="46">
        <f>VLOOKUP(A48,Ergebnis_je_Aktie_verwässert!A3:AC68,29,FALSE)</f>
        <v>-0.26845637583892612</v>
      </c>
      <c r="AA48" s="19">
        <f t="shared" ca="1" si="10"/>
        <v>1.1355995525727069</v>
      </c>
      <c r="AB48" s="13">
        <f t="shared" ca="1" si="11"/>
        <v>-0.1637705798433674</v>
      </c>
      <c r="AC48" s="36">
        <f ca="1">IF(Y48&lt;Bewertung_Stammdaten!L$11,Bewertung_Stammdaten!K$11,IF(Y48&lt;Bewertung_Stammdaten!L$12,Bewertung_Stammdaten!K$12,IF(Y48&lt;Bewertung_Stammdaten!L$13,Bewertung_Stammdaten!K$13,IF(Y48&lt;Bewertung_Stammdaten!L$14,Bewertung_Stammdaten!K$14,IF(Y48&lt;Bewertung_Stammdaten!L$15,Bewertung_Stammdaten!K$15,IF(Y48&lt;Bewertung_Stammdaten!L$16,Bewertung_Stammdaten!K$16,IF(Y48&lt;Bewertung_Stammdaten!L$17,Bewertung_Stammdaten!K$17,IF(Y48&lt;Bewertung_Stammdaten!L$18,Bewertung_Stammdaten!K$18,IF(Y48&lt;Bewertung_Stammdaten!L$19,Bewertung_Stammdaten!K$19,Bewertung_Stammdaten!K$20)))))))))</f>
        <v>6</v>
      </c>
      <c r="AD48" s="36">
        <f>IF(Z48&lt;Bewertung_Stammdaten!R$11,Bewertung_Stammdaten!Q$11,IF(Z48&lt;Bewertung_Stammdaten!R$12,Bewertung_Stammdaten!Q$12,IF(Z48&lt;Bewertung_Stammdaten!R$13,Bewertung_Stammdaten!Q$13,IF(Z48&lt;Bewertung_Stammdaten!R$14,Bewertung_Stammdaten!Q$14,IF(Z48&lt;Bewertung_Stammdaten!R$15,Bewertung_Stammdaten!Q$15,IF(Z48&lt;Bewertung_Stammdaten!R$16,Bewertung_Stammdaten!Q$16,IF(Z48&lt;Bewertung_Stammdaten!R$17,Bewertung_Stammdaten!Q$17,IF(Z48&lt;Bewertung_Stammdaten!R$18,Bewertung_Stammdaten!Q$18,IF(Z48&lt;Bewertung_Stammdaten!R$19,Bewertung_Stammdaten!Q$19,Bewertung_Stammdaten!Q$20)))))))))</f>
        <v>5</v>
      </c>
      <c r="AE48" s="36">
        <f ca="1">IF(AB48&lt;Bewertung_Stammdaten!P$11,Bewertung_Stammdaten!O$11,IF(AB48&lt;Bewertung_Stammdaten!P$12,Bewertung_Stammdaten!O$12,IF(AB48&lt;Bewertung_Stammdaten!P$13,Bewertung_Stammdaten!O$13,IF(AB48&lt;Bewertung_Stammdaten!P$14,Bewertung_Stammdaten!O$14,IF(AB48&lt;Bewertung_Stammdaten!P$15,Bewertung_Stammdaten!O$15,IF(AB48&lt;Bewertung_Stammdaten!P$16,Bewertung_Stammdaten!O$16,IF(AB48&lt;Bewertung_Stammdaten!P$17,Bewertung_Stammdaten!O$17,IF(AB48&lt;Bewertung_Stammdaten!P$18,Bewertung_Stammdaten!O$18,IF(AB48&lt;Bewertung_Stammdaten!P$19,Bewertung_Stammdaten!O$19,Bewertung_Stammdaten!O$20)))))))))</f>
        <v>1</v>
      </c>
      <c r="AF48" s="49"/>
      <c r="AG48" s="13">
        <f ca="1">VLOOKUP(A48,Dividendenrendite!A3:S68,18,FALSE)</f>
        <v>3.4183611111111109E-2</v>
      </c>
      <c r="AH48" s="13">
        <f>VLOOKUP(A48,Dividendenrendite!A3:S68,15,FALSE)</f>
        <v>4.0680000000000008E-2</v>
      </c>
      <c r="AI48" s="13">
        <f ca="1">VLOOKUP(A48,Dividendenrendite!A3:S68,19,FALSE)</f>
        <v>-0.15969490877308012</v>
      </c>
      <c r="AJ48" s="36">
        <f ca="1">IF(AG48&lt;Bewertung_Stammdaten!D$11,Bewertung_Stammdaten!C$11,IF(AG48&lt;Bewertung_Stammdaten!D$12,Bewertung_Stammdaten!C$12,IF(AG48&lt;Bewertung_Stammdaten!D$13,Bewertung_Stammdaten!C$13,IF(AG48&lt;Bewertung_Stammdaten!D$14,Bewertung_Stammdaten!C$14,IF(AG48&lt;Bewertung_Stammdaten!D$15,Bewertung_Stammdaten!C$15,IF(AG48&lt;Bewertung_Stammdaten!D$16,Bewertung_Stammdaten!C$16,IF(AG48&lt;Bewertung_Stammdaten!D$17,Bewertung_Stammdaten!C$17,IF(AG48&lt;Bewertung_Stammdaten!D$18,Bewertung_Stammdaten!C$18,IF(AG48&lt;Bewertung_Stammdaten!D$19,Bewertung_Stammdaten!C$19,Bewertung_Stammdaten!C$20)))))))))</f>
        <v>10.5</v>
      </c>
      <c r="AK48" s="36">
        <f>IF(AH48&lt;Bewertung_Stammdaten!T$11,Bewertung_Stammdaten!S$11,IF(AH48&lt;Bewertung_Stammdaten!T$12,Bewertung_Stammdaten!S$12,IF(AH48&lt;Bewertung_Stammdaten!T$13,Bewertung_Stammdaten!S$13,IF(AH48&lt;Bewertung_Stammdaten!T$14,Bewertung_Stammdaten!S$14,IF(AH48&lt;Bewertung_Stammdaten!T$15,Bewertung_Stammdaten!S$15,IF(AH48&lt;Bewertung_Stammdaten!T$16,Bewertung_Stammdaten!S$16,IF(AH48&lt;Bewertung_Stammdaten!T$17,Bewertung_Stammdaten!S$17,IF(AH48&lt;Bewertung_Stammdaten!T$18,Bewertung_Stammdaten!S$18,IF(AH48&lt;Bewertung_Stammdaten!T$19,Bewertung_Stammdaten!S$19,Bewertung_Stammdaten!S$20)))))))))</f>
        <v>9</v>
      </c>
      <c r="AL48" s="36">
        <f ca="1">IF(AI48&lt;Bewertung_Stammdaten!F$11,Bewertung_Stammdaten!E$11,IF(AI48&lt;Bewertung_Stammdaten!F$12,Bewertung_Stammdaten!E$12,IF(AI48&lt;Bewertung_Stammdaten!F$13,Bewertung_Stammdaten!E$13,IF(AI48&lt;Bewertung_Stammdaten!F$14,Bewertung_Stammdaten!E$14,IF(AI48&lt;Bewertung_Stammdaten!F$15,Bewertung_Stammdaten!E$15,IF(AI48&lt;Bewertung_Stammdaten!F$16,Bewertung_Stammdaten!E$16,IF(AI48&lt;Bewertung_Stammdaten!F$17,Bewertung_Stammdaten!E$17,IF(AI48&lt;Bewertung_Stammdaten!F$18,Bewertung_Stammdaten!E$18,IF(AI48&lt;Bewertung_Stammdaten!F$19,Bewertung_Stammdaten!E$19,Bewertung_Stammdaten!E$20)))))))))</f>
        <v>1</v>
      </c>
      <c r="AM48" s="49"/>
      <c r="AN48" s="13">
        <f>VLOOKUP(A48,Aktien_im_Umlauf_splitbereinigt!A3:W68,13,FALSE)</f>
        <v>-0.12053326003298515</v>
      </c>
      <c r="AO48" s="13">
        <f>VLOOKUP(A48,Aktien_im_Umlauf_splitbereinigt!A3:W68,22,FALSE)</f>
        <v>-1.3980908758154794E-2</v>
      </c>
      <c r="AP48" s="13">
        <f>VLOOKUP(A48,Aktien_im_Umlauf_splitbereinigt!A3:W68,23,FALSE)</f>
        <v>7.6212750628731776</v>
      </c>
      <c r="AQ48" s="47">
        <f>IF(AN48&lt;Bewertung_Stammdaten!J$24,Bewertung_Stammdaten!I$24,IF(AN48&lt;Bewertung_Stammdaten!J$25,Bewertung_Stammdaten!I$25,IF(AN48&lt;Bewertung_Stammdaten!J$26,Bewertung_Stammdaten!I$26,IF(AN48&lt;Bewertung_Stammdaten!J$27,Bewertung_Stammdaten!I$27,IF(AN48&lt;Bewertung_Stammdaten!J$28,Bewertung_Stammdaten!I$28,IF(AN48&lt;Bewertung_Stammdaten!J$29,Bewertung_Stammdaten!I$29,IF(AN48&lt;Bewertung_Stammdaten!J$30,Bewertung_Stammdaten!I$30,IF(AN48&lt;Bewertung_Stammdaten!J$31,Bewertung_Stammdaten!I$31,IF(AN48&lt;Bewertung_Stammdaten!J$32,Bewertung_Stammdaten!I$32,Bewertung_Stammdaten!I$33)))))))))</f>
        <v>5</v>
      </c>
      <c r="AR48" s="47">
        <f>IF(AO48&lt;Bewertung_Stammdaten!L$24,Bewertung_Stammdaten!K$24,IF(AO48&lt;Bewertung_Stammdaten!L$25,Bewertung_Stammdaten!K$25,IF(AO48&lt;Bewertung_Stammdaten!L$26,Bewertung_Stammdaten!K$26,IF(AO48&lt;Bewertung_Stammdaten!L$27,Bewertung_Stammdaten!K$27,IF(AO48&lt;Bewertung_Stammdaten!L$28,Bewertung_Stammdaten!K$28,IF(AO48&lt;Bewertung_Stammdaten!L$29,Bewertung_Stammdaten!K$29,IF(AO48&lt;Bewertung_Stammdaten!L$30,Bewertung_Stammdaten!K$30,IF(AO48&lt;Bewertung_Stammdaten!L$31,Bewertung_Stammdaten!K$31,IF(AO48&lt;Bewertung_Stammdaten!L$32,Bewertung_Stammdaten!K$32,Bewertung_Stammdaten!K$33)))))))))</f>
        <v>2.5</v>
      </c>
      <c r="AS48" s="47">
        <f>IF(AP48&lt;Bewertung_Stammdaten!N$24,Bewertung_Stammdaten!M$24,IF(AP48&lt;Bewertung_Stammdaten!N$25,Bewertung_Stammdaten!M$25,IF(AP48&lt;Bewertung_Stammdaten!N$26,Bewertung_Stammdaten!M$26,IF(AP48&lt;Bewertung_Stammdaten!N$27,Bewertung_Stammdaten!M$27,IF(AP48&lt;Bewertung_Stammdaten!N$28,Bewertung_Stammdaten!M$28,IF(AP48&lt;Bewertung_Stammdaten!N$29,Bewertung_Stammdaten!M$29,IF(AP48&lt;Bewertung_Stammdaten!N$30,Bewertung_Stammdaten!M$30,IF(AP48&lt;Bewertung_Stammdaten!N$31,Bewertung_Stammdaten!M$31,IF(AP48&lt;Bewertung_Stammdaten!N$32,Bewertung_Stammdaten!M$32,Bewertung_Stammdaten!M$33)))))))))</f>
        <v>5</v>
      </c>
      <c r="AT48" s="49"/>
      <c r="AU48" s="13">
        <f ca="1">VLOOKUP(A48,Ausschüttungsquote!A3:S68,18,FALSE)</f>
        <v>0.67955283408408407</v>
      </c>
      <c r="AV48" s="13">
        <f>VLOOKUP(A48,Ausschüttungsquote!A3:S68,15,FALSE)</f>
        <v>0.68649586969258714</v>
      </c>
      <c r="AW48" s="13">
        <f ca="1">VLOOKUP(A48,Ausschüttungsquote!A3:S68,19,FALSE)</f>
        <v>-1.0113732529246189E-2</v>
      </c>
      <c r="AX48" s="36">
        <f ca="1">IF(AU48&lt;Bewertung_Stammdaten!H$11,Bewertung_Stammdaten!G$11,IF(AU48&lt;Bewertung_Stammdaten!H$12,Bewertung_Stammdaten!G$12,IF(AU48&lt;Bewertung_Stammdaten!H$13,Bewertung_Stammdaten!G$13,IF(AU48&lt;Bewertung_Stammdaten!H$14,Bewertung_Stammdaten!G$14,IF(AU48&lt;Bewertung_Stammdaten!H$15,Bewertung_Stammdaten!G$15,IF(AU48&lt;Bewertung_Stammdaten!H$16,Bewertung_Stammdaten!G$16,IF(AU48&lt;Bewertung_Stammdaten!H$17,Bewertung_Stammdaten!G$17,IF(AU48&lt;Bewertung_Stammdaten!H$18,Bewertung_Stammdaten!G$18,IF(AU48&lt;Bewertung_Stammdaten!H$19,Bewertung_Stammdaten!G$19,Bewertung_Stammdaten!G$20)))))))))</f>
        <v>2</v>
      </c>
      <c r="AY48" s="47">
        <f>IF(AV48&lt;Bewertung_Stammdaten!B$24,Bewertung_Stammdaten!A$24,IF(AV48&lt;Bewertung_Stammdaten!B$25,Bewertung_Stammdaten!A$25,IF(AV48&lt;Bewertung_Stammdaten!B$26,Bewertung_Stammdaten!A$26,IF(AV48&lt;Bewertung_Stammdaten!B$27,Bewertung_Stammdaten!A$27,IF(AV48&lt;Bewertung_Stammdaten!B$28,Bewertung_Stammdaten!A$28,IF(AV48&lt;Bewertung_Stammdaten!B$29,Bewertung_Stammdaten!A$29,IF(AV48&lt;Bewertung_Stammdaten!B$30,Bewertung_Stammdaten!A$30,IF(AV48&lt;Bewertung_Stammdaten!B$31,Bewertung_Stammdaten!A$31,IF(AV48&lt;Bewertung_Stammdaten!B$32,Bewertung_Stammdaten!A$32,Bewertung_Stammdaten!A$33)))))))))</f>
        <v>2</v>
      </c>
      <c r="AZ48" s="36">
        <f ca="1">IF(AW48&lt;Bewertung_Stammdaten!J$11,Bewertung_Stammdaten!I$11,IF(AW48&lt;Bewertung_Stammdaten!J$12,Bewertung_Stammdaten!I$12,IF(AW48&lt;Bewertung_Stammdaten!J$13,Bewertung_Stammdaten!I$13,IF(AW48&lt;Bewertung_Stammdaten!J$14,Bewertung_Stammdaten!I$14,IF(AW48&lt;Bewertung_Stammdaten!J$15,Bewertung_Stammdaten!I$15,IF(AW48&lt;Bewertung_Stammdaten!J$16,Bewertung_Stammdaten!I$16,IF(AW48&lt;Bewertung_Stammdaten!J$17,Bewertung_Stammdaten!I$17,IF(AW48&lt;Bewertung_Stammdaten!J$18,Bewertung_Stammdaten!I$18,IF(AW48&lt;Bewertung_Stammdaten!J$19,Bewertung_Stammdaten!I$19,Bewertung_Stammdaten!I$20)))))))))</f>
        <v>3</v>
      </c>
    </row>
    <row r="49" spans="1:52" x14ac:dyDescent="0.25">
      <c r="A49" s="44" t="s">
        <v>94</v>
      </c>
      <c r="B49" s="44" t="s">
        <v>95</v>
      </c>
      <c r="C49" s="36">
        <f t="shared" ca="1" si="7"/>
        <v>76.5</v>
      </c>
      <c r="D49" s="49"/>
      <c r="E49" s="12">
        <f ca="1">VLOOKUP(A49,KGV!A3:S68,18,FALSE)</f>
        <v>15.975277777777777</v>
      </c>
      <c r="F49" s="12">
        <f>VLOOKUP(A49,KGV!A3:S68,15,FALSE)</f>
        <v>15.55</v>
      </c>
      <c r="G49" s="13">
        <f ca="1">VLOOKUP(A49,KGV!A3:S68,19,FALSE)</f>
        <v>2.7349053233297393E-2</v>
      </c>
      <c r="H49" s="19">
        <f t="shared" ca="1" si="8"/>
        <v>16.320422668038407</v>
      </c>
      <c r="I49" s="13">
        <f t="shared" ca="1" si="9"/>
        <v>4.9544866111794539E-2</v>
      </c>
      <c r="J49" s="36">
        <f ca="1">IF(G49&lt;Bewertung_Stammdaten!B$11,Bewertung_Stammdaten!A$11,IF(G49&lt;Bewertung_Stammdaten!B$12,Bewertung_Stammdaten!A$12,IF(G49&lt;Bewertung_Stammdaten!B$13,Bewertung_Stammdaten!A$13,IF(G49&lt;Bewertung_Stammdaten!B$14,Bewertung_Stammdaten!A$14,IF(G49&lt;Bewertung_Stammdaten!B$15,Bewertung_Stammdaten!A$15,IF(G49&lt;Bewertung_Stammdaten!B$16,Bewertung_Stammdaten!A$16,IF(G49&lt;Bewertung_Stammdaten!B$17,Bewertung_Stammdaten!A$17,IF(G49&lt;Bewertung_Stammdaten!B$18,Bewertung_Stammdaten!A$18,IF(G49&lt;Bewertung_Stammdaten!B$19,Bewertung_Stammdaten!A$19,Bewertung_Stammdaten!A$20)))))))))</f>
        <v>10</v>
      </c>
      <c r="K49" s="36">
        <f ca="1">IF(I49&lt;Bewertung_Stammdaten!N$11,Bewertung_Stammdaten!M$11,IF(I49&lt;Bewertung_Stammdaten!N$12,Bewertung_Stammdaten!M$12,IF(I49&lt;Bewertung_Stammdaten!N$13,Bewertung_Stammdaten!M$13,IF(I49&lt;Bewertung_Stammdaten!N$14,Bewertung_Stammdaten!M$14,IF(I49&lt;Bewertung_Stammdaten!N$15,Bewertung_Stammdaten!M$15,IF(I49&lt;Bewertung_Stammdaten!N$16,Bewertung_Stammdaten!M$16,IF(I49&lt;Bewertung_Stammdaten!N$17,Bewertung_Stammdaten!M$17,IF(I49&lt;Bewertung_Stammdaten!N$18,Bewertung_Stammdaten!M$18,IF(I49&lt;Bewertung_Stammdaten!N$19,Bewertung_Stammdaten!M$19,Bewertung_Stammdaten!M$20)))))))))</f>
        <v>5</v>
      </c>
      <c r="L49" s="49"/>
      <c r="M49" s="12">
        <f ca="1">VLOOKUP(A49,Buchwert_je_Aktie!A3:AC68,18,FALSE)</f>
        <v>-5.55</v>
      </c>
      <c r="N49" s="12">
        <f>VLOOKUP(A49,Buchwert_je_Aktie!A3:AC68,15,FALSE)</f>
        <v>1.5559999999999998</v>
      </c>
      <c r="O49" s="13">
        <f ca="1">VLOOKUP(A49,Buchwert_je_Aktie!A3:AC68,19,FALSE)</f>
        <v>-4.566838046272494</v>
      </c>
      <c r="P49" s="13">
        <f>VLOOKUP(A49,Buchwert_je_Aktie!A3:AC68,29,FALSE)</f>
        <v>-18.076923076923077</v>
      </c>
      <c r="Q49" s="19">
        <f t="shared" ca="1" si="6"/>
        <v>-94.776923076923069</v>
      </c>
      <c r="R49" s="13">
        <f t="shared" ca="1" si="3"/>
        <v>-61.910618944037971</v>
      </c>
      <c r="S49" s="58">
        <f ca="1">IF(O49&lt;Bewertung_Stammdaten!D$24,Bewertung_Stammdaten!C$24,IF(O49&lt;Bewertung_Stammdaten!D$25,Bewertung_Stammdaten!C$25,IF(O49&lt;Bewertung_Stammdaten!D$26,Bewertung_Stammdaten!C$26,IF(O49&lt;Bewertung_Stammdaten!D$27,Bewertung_Stammdaten!C$27,IF(O49&lt;Bewertung_Stammdaten!D$28,Bewertung_Stammdaten!C$28,IF(O49&lt;Bewertung_Stammdaten!D$29,Bewertung_Stammdaten!C$29,IF(O49&lt;Bewertung_Stammdaten!D$30,Bewertung_Stammdaten!C$30,IF(O49&lt;Bewertung_Stammdaten!D$31,Bewertung_Stammdaten!C$31,IF(O49&lt;Bewertung_Stammdaten!D$32,Bewertung_Stammdaten!C$32,Bewertung_Stammdaten!C$33)))))))))</f>
        <v>2</v>
      </c>
      <c r="T49" s="58">
        <f>IF(P49&lt;Bewertung_Stammdaten!F$24,Bewertung_Stammdaten!E$24,IF(P49&lt;Bewertung_Stammdaten!F$25,Bewertung_Stammdaten!E$25,IF(P49&lt;Bewertung_Stammdaten!F$26,Bewertung_Stammdaten!E$26,IF(P49&lt;Bewertung_Stammdaten!F$27,Bewertung_Stammdaten!E$27,IF(P49&lt;Bewertung_Stammdaten!F$28,Bewertung_Stammdaten!E$28,IF(P49&lt;Bewertung_Stammdaten!F$29,Bewertung_Stammdaten!E$29,IF(P49&lt;Bewertung_Stammdaten!F$30,Bewertung_Stammdaten!E$30,IF(P49&lt;Bewertung_Stammdaten!F$31,Bewertung_Stammdaten!E$31,IF(P49&lt;Bewertung_Stammdaten!F$32,Bewertung_Stammdaten!E$32,Bewertung_Stammdaten!E$33)))))))))</f>
        <v>1.5</v>
      </c>
      <c r="U49" s="58">
        <f ca="1">IF(R49&lt;Bewertung_Stammdaten!H$24,Bewertung_Stammdaten!G$24,IF(R49&lt;Bewertung_Stammdaten!H$25,Bewertung_Stammdaten!G$25,IF(R49&lt;Bewertung_Stammdaten!H$26,Bewertung_Stammdaten!G$26,IF(R49&lt;Bewertung_Stammdaten!H$27,Bewertung_Stammdaten!G$27,IF(R49&lt;Bewertung_Stammdaten!H$28,Bewertung_Stammdaten!G$28,IF(R49&lt;Bewertung_Stammdaten!H$29,Bewertung_Stammdaten!G$29,IF(R49&lt;Bewertung_Stammdaten!H$30,Bewertung_Stammdaten!G$30,IF(R49&lt;Bewertung_Stammdaten!H$31,Bewertung_Stammdaten!G$31,IF(R49&lt;Bewertung_Stammdaten!H$32,Bewertung_Stammdaten!G$32,Bewertung_Stammdaten!G$33)))))))))</f>
        <v>1</v>
      </c>
      <c r="V49" s="49"/>
      <c r="W49" s="17">
        <f ca="1">VLOOKUP(A49,Ergebnis_je_Aktie_verwässert!A3:S68,18,FALSE)</f>
        <v>5.3875555555555561</v>
      </c>
      <c r="X49" s="17">
        <f>VLOOKUP(A49,Ergebnis_je_Aktie_verwässert!A3:S68,15,FALSE)</f>
        <v>4.2916666666666661</v>
      </c>
      <c r="Y49" s="13">
        <f ca="1">VLOOKUP(A49,Ergebnis_je_Aktie_verwässert!A3:S68,19,FALSE)</f>
        <v>0.25535275080906183</v>
      </c>
      <c r="Z49" s="46">
        <f>VLOOKUP(A49,Ergebnis_je_Aktie_verwässert!A3:AC68,29,FALSE)</f>
        <v>-2.114803625377637E-2</v>
      </c>
      <c r="AA49" s="19">
        <f t="shared" ca="1" si="10"/>
        <v>5.2736193353474325</v>
      </c>
      <c r="AB49" s="13">
        <f t="shared" ca="1" si="11"/>
        <v>0.2288045053236738</v>
      </c>
      <c r="AC49" s="36">
        <f ca="1">IF(Y49&lt;Bewertung_Stammdaten!L$11,Bewertung_Stammdaten!K$11,IF(Y49&lt;Bewertung_Stammdaten!L$12,Bewertung_Stammdaten!K$12,IF(Y49&lt;Bewertung_Stammdaten!L$13,Bewertung_Stammdaten!K$13,IF(Y49&lt;Bewertung_Stammdaten!L$14,Bewertung_Stammdaten!K$14,IF(Y49&lt;Bewertung_Stammdaten!L$15,Bewertung_Stammdaten!K$15,IF(Y49&lt;Bewertung_Stammdaten!L$16,Bewertung_Stammdaten!K$16,IF(Y49&lt;Bewertung_Stammdaten!L$17,Bewertung_Stammdaten!K$17,IF(Y49&lt;Bewertung_Stammdaten!L$18,Bewertung_Stammdaten!K$18,IF(Y49&lt;Bewertung_Stammdaten!L$19,Bewertung_Stammdaten!K$19,Bewertung_Stammdaten!K$20)))))))))</f>
        <v>8</v>
      </c>
      <c r="AD49" s="36">
        <f>IF(Z49&lt;Bewertung_Stammdaten!R$11,Bewertung_Stammdaten!Q$11,IF(Z49&lt;Bewertung_Stammdaten!R$12,Bewertung_Stammdaten!Q$12,IF(Z49&lt;Bewertung_Stammdaten!R$13,Bewertung_Stammdaten!Q$13,IF(Z49&lt;Bewertung_Stammdaten!R$14,Bewertung_Stammdaten!Q$14,IF(Z49&lt;Bewertung_Stammdaten!R$15,Bewertung_Stammdaten!Q$15,IF(Z49&lt;Bewertung_Stammdaten!R$16,Bewertung_Stammdaten!Q$16,IF(Z49&lt;Bewertung_Stammdaten!R$17,Bewertung_Stammdaten!Q$17,IF(Z49&lt;Bewertung_Stammdaten!R$18,Bewertung_Stammdaten!Q$18,IF(Z49&lt;Bewertung_Stammdaten!R$19,Bewertung_Stammdaten!Q$19,Bewertung_Stammdaten!Q$20)))))))))</f>
        <v>7</v>
      </c>
      <c r="AE49" s="36">
        <f ca="1">IF(AB49&lt;Bewertung_Stammdaten!P$11,Bewertung_Stammdaten!O$11,IF(AB49&lt;Bewertung_Stammdaten!P$12,Bewertung_Stammdaten!O$12,IF(AB49&lt;Bewertung_Stammdaten!P$13,Bewertung_Stammdaten!O$13,IF(AB49&lt;Bewertung_Stammdaten!P$14,Bewertung_Stammdaten!O$14,IF(AB49&lt;Bewertung_Stammdaten!P$15,Bewertung_Stammdaten!O$15,IF(AB49&lt;Bewertung_Stammdaten!P$16,Bewertung_Stammdaten!O$16,IF(AB49&lt;Bewertung_Stammdaten!P$17,Bewertung_Stammdaten!O$17,IF(AB49&lt;Bewertung_Stammdaten!P$18,Bewertung_Stammdaten!O$18,IF(AB49&lt;Bewertung_Stammdaten!P$19,Bewertung_Stammdaten!O$19,Bewertung_Stammdaten!O$20)))))))))</f>
        <v>4</v>
      </c>
      <c r="AF49" s="49"/>
      <c r="AG49" s="13">
        <f ca="1">VLOOKUP(A49,Dividendenrendite!A3:S68,18,FALSE)</f>
        <v>4.5808333333333326E-2</v>
      </c>
      <c r="AH49" s="13">
        <f>VLOOKUP(A49,Dividendenrendite!A3:S68,15,FALSE)</f>
        <v>4.0233333333333336E-2</v>
      </c>
      <c r="AI49" s="13">
        <f ca="1">VLOOKUP(A49,Dividendenrendite!A3:S68,19,FALSE)</f>
        <v>0.13856669428334678</v>
      </c>
      <c r="AJ49" s="36">
        <f ca="1">IF(AG49&lt;Bewertung_Stammdaten!D$11,Bewertung_Stammdaten!C$11,IF(AG49&lt;Bewertung_Stammdaten!D$12,Bewertung_Stammdaten!C$12,IF(AG49&lt;Bewertung_Stammdaten!D$13,Bewertung_Stammdaten!C$13,IF(AG49&lt;Bewertung_Stammdaten!D$14,Bewertung_Stammdaten!C$14,IF(AG49&lt;Bewertung_Stammdaten!D$15,Bewertung_Stammdaten!C$15,IF(AG49&lt;Bewertung_Stammdaten!D$16,Bewertung_Stammdaten!C$16,IF(AG49&lt;Bewertung_Stammdaten!D$17,Bewertung_Stammdaten!C$17,IF(AG49&lt;Bewertung_Stammdaten!D$18,Bewertung_Stammdaten!C$18,IF(AG49&lt;Bewertung_Stammdaten!D$19,Bewertung_Stammdaten!C$19,Bewertung_Stammdaten!C$20)))))))))</f>
        <v>15</v>
      </c>
      <c r="AK49" s="36">
        <f>IF(AH49&lt;Bewertung_Stammdaten!T$11,Bewertung_Stammdaten!S$11,IF(AH49&lt;Bewertung_Stammdaten!T$12,Bewertung_Stammdaten!S$12,IF(AH49&lt;Bewertung_Stammdaten!T$13,Bewertung_Stammdaten!S$13,IF(AH49&lt;Bewertung_Stammdaten!T$14,Bewertung_Stammdaten!S$14,IF(AH49&lt;Bewertung_Stammdaten!T$15,Bewertung_Stammdaten!S$15,IF(AH49&lt;Bewertung_Stammdaten!T$16,Bewertung_Stammdaten!S$16,IF(AH49&lt;Bewertung_Stammdaten!T$17,Bewertung_Stammdaten!S$17,IF(AH49&lt;Bewertung_Stammdaten!T$18,Bewertung_Stammdaten!S$18,IF(AH49&lt;Bewertung_Stammdaten!T$19,Bewertung_Stammdaten!S$19,Bewertung_Stammdaten!S$20)))))))))</f>
        <v>9</v>
      </c>
      <c r="AL49" s="36">
        <f ca="1">IF(AI49&lt;Bewertung_Stammdaten!F$11,Bewertung_Stammdaten!E$11,IF(AI49&lt;Bewertung_Stammdaten!F$12,Bewertung_Stammdaten!E$12,IF(AI49&lt;Bewertung_Stammdaten!F$13,Bewertung_Stammdaten!E$13,IF(AI49&lt;Bewertung_Stammdaten!F$14,Bewertung_Stammdaten!E$14,IF(AI49&lt;Bewertung_Stammdaten!F$15,Bewertung_Stammdaten!E$15,IF(AI49&lt;Bewertung_Stammdaten!F$16,Bewertung_Stammdaten!E$16,IF(AI49&lt;Bewertung_Stammdaten!F$17,Bewertung_Stammdaten!E$17,IF(AI49&lt;Bewertung_Stammdaten!F$18,Bewertung_Stammdaten!E$18,IF(AI49&lt;Bewertung_Stammdaten!F$19,Bewertung_Stammdaten!E$19,Bewertung_Stammdaten!E$20)))))))))</f>
        <v>4</v>
      </c>
      <c r="AM49" s="49"/>
      <c r="AN49" s="13">
        <f>VLOOKUP(A49,Aktien_im_Umlauf_splitbereinigt!A3:W68,13,FALSE)</f>
        <v>1.5984654731457715E-2</v>
      </c>
      <c r="AO49" s="13">
        <f>VLOOKUP(A49,Aktien_im_Umlauf_splitbereinigt!A3:W68,22,FALSE)</f>
        <v>-2.4987235126343415E-2</v>
      </c>
      <c r="AP49" s="13">
        <f>VLOOKUP(A49,Aktien_im_Umlauf_splitbereinigt!A3:W68,23,FALSE)</f>
        <v>-1.639712823392993</v>
      </c>
      <c r="AQ49" s="47">
        <f>IF(AN49&lt;Bewertung_Stammdaten!J$24,Bewertung_Stammdaten!I$24,IF(AN49&lt;Bewertung_Stammdaten!J$25,Bewertung_Stammdaten!I$25,IF(AN49&lt;Bewertung_Stammdaten!J$26,Bewertung_Stammdaten!I$26,IF(AN49&lt;Bewertung_Stammdaten!J$27,Bewertung_Stammdaten!I$27,IF(AN49&lt;Bewertung_Stammdaten!J$28,Bewertung_Stammdaten!I$28,IF(AN49&lt;Bewertung_Stammdaten!J$29,Bewertung_Stammdaten!I$29,IF(AN49&lt;Bewertung_Stammdaten!J$30,Bewertung_Stammdaten!I$30,IF(AN49&lt;Bewertung_Stammdaten!J$31,Bewertung_Stammdaten!I$31,IF(AN49&lt;Bewertung_Stammdaten!J$32,Bewertung_Stammdaten!I$32,Bewertung_Stammdaten!I$33)))))))))</f>
        <v>0.5</v>
      </c>
      <c r="AR49" s="47">
        <f>IF(AO49&lt;Bewertung_Stammdaten!L$24,Bewertung_Stammdaten!K$24,IF(AO49&lt;Bewertung_Stammdaten!L$25,Bewertung_Stammdaten!K$25,IF(AO49&lt;Bewertung_Stammdaten!L$26,Bewertung_Stammdaten!K$26,IF(AO49&lt;Bewertung_Stammdaten!L$27,Bewertung_Stammdaten!K$27,IF(AO49&lt;Bewertung_Stammdaten!L$28,Bewertung_Stammdaten!K$28,IF(AO49&lt;Bewertung_Stammdaten!L$29,Bewertung_Stammdaten!K$29,IF(AO49&lt;Bewertung_Stammdaten!L$30,Bewertung_Stammdaten!K$30,IF(AO49&lt;Bewertung_Stammdaten!L$31,Bewertung_Stammdaten!K$31,IF(AO49&lt;Bewertung_Stammdaten!L$32,Bewertung_Stammdaten!K$32,Bewertung_Stammdaten!K$33)))))))))</f>
        <v>3.5</v>
      </c>
      <c r="AS49" s="47">
        <f>IF(AP49&lt;Bewertung_Stammdaten!N$24,Bewertung_Stammdaten!M$24,IF(AP49&lt;Bewertung_Stammdaten!N$25,Bewertung_Stammdaten!M$25,IF(AP49&lt;Bewertung_Stammdaten!N$26,Bewertung_Stammdaten!M$26,IF(AP49&lt;Bewertung_Stammdaten!N$27,Bewertung_Stammdaten!M$27,IF(AP49&lt;Bewertung_Stammdaten!N$28,Bewertung_Stammdaten!M$28,IF(AP49&lt;Bewertung_Stammdaten!N$29,Bewertung_Stammdaten!M$29,IF(AP49&lt;Bewertung_Stammdaten!N$30,Bewertung_Stammdaten!M$30,IF(AP49&lt;Bewertung_Stammdaten!N$31,Bewertung_Stammdaten!M$31,IF(AP49&lt;Bewertung_Stammdaten!N$32,Bewertung_Stammdaten!M$32,Bewertung_Stammdaten!M$33)))))))))</f>
        <v>1</v>
      </c>
      <c r="AT49" s="49"/>
      <c r="AU49" s="13">
        <f ca="1">VLOOKUP(A49,Ausschüttungsquote!A3:S68,18,FALSE)</f>
        <v>0.73219926894650245</v>
      </c>
      <c r="AV49" s="13">
        <f>VLOOKUP(A49,Ausschüttungsquote!A3:S68,15,FALSE)</f>
        <v>0.61700474244224035</v>
      </c>
      <c r="AW49" s="13">
        <f ca="1">VLOOKUP(A49,Ausschüttungsquote!A3:S68,19,FALSE)</f>
        <v>0.18669958037647638</v>
      </c>
      <c r="AX49" s="36">
        <f ca="1">IF(AU49&lt;Bewertung_Stammdaten!H$11,Bewertung_Stammdaten!G$11,IF(AU49&lt;Bewertung_Stammdaten!H$12,Bewertung_Stammdaten!G$12,IF(AU49&lt;Bewertung_Stammdaten!H$13,Bewertung_Stammdaten!G$13,IF(AU49&lt;Bewertung_Stammdaten!H$14,Bewertung_Stammdaten!G$14,IF(AU49&lt;Bewertung_Stammdaten!H$15,Bewertung_Stammdaten!G$15,IF(AU49&lt;Bewertung_Stammdaten!H$16,Bewertung_Stammdaten!G$16,IF(AU49&lt;Bewertung_Stammdaten!H$17,Bewertung_Stammdaten!G$17,IF(AU49&lt;Bewertung_Stammdaten!H$18,Bewertung_Stammdaten!G$18,IF(AU49&lt;Bewertung_Stammdaten!H$19,Bewertung_Stammdaten!G$19,Bewertung_Stammdaten!G$20)))))))))</f>
        <v>1.5</v>
      </c>
      <c r="AY49" s="47">
        <f>IF(AV49&lt;Bewertung_Stammdaten!B$24,Bewertung_Stammdaten!A$24,IF(AV49&lt;Bewertung_Stammdaten!B$25,Bewertung_Stammdaten!A$25,IF(AV49&lt;Bewertung_Stammdaten!B$26,Bewertung_Stammdaten!A$26,IF(AV49&lt;Bewertung_Stammdaten!B$27,Bewertung_Stammdaten!A$27,IF(AV49&lt;Bewertung_Stammdaten!B$28,Bewertung_Stammdaten!A$28,IF(AV49&lt;Bewertung_Stammdaten!B$29,Bewertung_Stammdaten!A$29,IF(AV49&lt;Bewertung_Stammdaten!B$30,Bewertung_Stammdaten!A$30,IF(AV49&lt;Bewertung_Stammdaten!B$31,Bewertung_Stammdaten!A$31,IF(AV49&lt;Bewertung_Stammdaten!B$32,Bewertung_Stammdaten!A$32,Bewertung_Stammdaten!A$33)))))))))</f>
        <v>2.5</v>
      </c>
      <c r="AZ49" s="36">
        <f ca="1">IF(AW49&lt;Bewertung_Stammdaten!J$11,Bewertung_Stammdaten!I$11,IF(AW49&lt;Bewertung_Stammdaten!J$12,Bewertung_Stammdaten!I$12,IF(AW49&lt;Bewertung_Stammdaten!J$13,Bewertung_Stammdaten!I$13,IF(AW49&lt;Bewertung_Stammdaten!J$14,Bewertung_Stammdaten!I$14,IF(AW49&lt;Bewertung_Stammdaten!J$15,Bewertung_Stammdaten!I$15,IF(AW49&lt;Bewertung_Stammdaten!J$16,Bewertung_Stammdaten!I$16,IF(AW49&lt;Bewertung_Stammdaten!J$17,Bewertung_Stammdaten!I$17,IF(AW49&lt;Bewertung_Stammdaten!J$18,Bewertung_Stammdaten!I$18,IF(AW49&lt;Bewertung_Stammdaten!J$19,Bewertung_Stammdaten!I$19,Bewertung_Stammdaten!I$20)))))))))</f>
        <v>1</v>
      </c>
    </row>
    <row r="50" spans="1:52" x14ac:dyDescent="0.25">
      <c r="A50" s="44" t="s">
        <v>96</v>
      </c>
      <c r="B50" s="44" t="s">
        <v>97</v>
      </c>
      <c r="C50" s="36">
        <f t="shared" ca="1" si="7"/>
        <v>82</v>
      </c>
      <c r="D50" s="49"/>
      <c r="E50" s="12">
        <f ca="1">VLOOKUP(A50,KGV!A3:S68,18,FALSE)</f>
        <v>18.694444444444443</v>
      </c>
      <c r="F50" s="12">
        <f>VLOOKUP(A50,KGV!A3:S68,15,FALSE)</f>
        <v>17.5</v>
      </c>
      <c r="G50" s="13">
        <f ca="1">VLOOKUP(A50,KGV!A3:S68,19,FALSE)</f>
        <v>6.8253968253968234E-2</v>
      </c>
      <c r="H50" s="19">
        <f t="shared" ca="1" si="8"/>
        <v>20.073542805100182</v>
      </c>
      <c r="I50" s="13">
        <f t="shared" ca="1" si="9"/>
        <v>0.14705958886286763</v>
      </c>
      <c r="J50" s="36">
        <f ca="1">IF(G50&lt;Bewertung_Stammdaten!B$11,Bewertung_Stammdaten!A$11,IF(G50&lt;Bewertung_Stammdaten!B$12,Bewertung_Stammdaten!A$12,IF(G50&lt;Bewertung_Stammdaten!B$13,Bewertung_Stammdaten!A$13,IF(G50&lt;Bewertung_Stammdaten!B$14,Bewertung_Stammdaten!A$14,IF(G50&lt;Bewertung_Stammdaten!B$15,Bewertung_Stammdaten!A$15,IF(G50&lt;Bewertung_Stammdaten!B$16,Bewertung_Stammdaten!A$16,IF(G50&lt;Bewertung_Stammdaten!B$17,Bewertung_Stammdaten!A$17,IF(G50&lt;Bewertung_Stammdaten!B$18,Bewertung_Stammdaten!A$18,IF(G50&lt;Bewertung_Stammdaten!B$19,Bewertung_Stammdaten!A$19,Bewertung_Stammdaten!A$20)))))))))</f>
        <v>8</v>
      </c>
      <c r="K50" s="36">
        <f ca="1">IF(I50&lt;Bewertung_Stammdaten!N$11,Bewertung_Stammdaten!M$11,IF(I50&lt;Bewertung_Stammdaten!N$12,Bewertung_Stammdaten!M$12,IF(I50&lt;Bewertung_Stammdaten!N$13,Bewertung_Stammdaten!M$13,IF(I50&lt;Bewertung_Stammdaten!N$14,Bewertung_Stammdaten!M$14,IF(I50&lt;Bewertung_Stammdaten!N$15,Bewertung_Stammdaten!M$15,IF(I50&lt;Bewertung_Stammdaten!N$16,Bewertung_Stammdaten!M$16,IF(I50&lt;Bewertung_Stammdaten!N$17,Bewertung_Stammdaten!M$17,IF(I50&lt;Bewertung_Stammdaten!N$18,Bewertung_Stammdaten!M$18,IF(I50&lt;Bewertung_Stammdaten!N$19,Bewertung_Stammdaten!M$19,Bewertung_Stammdaten!M$20)))))))))</f>
        <v>3</v>
      </c>
      <c r="L50" s="49"/>
      <c r="M50" s="12">
        <f ca="1">VLOOKUP(A50,Buchwert_je_Aktie!A3:AC68,18,FALSE)</f>
        <v>25.439722222222223</v>
      </c>
      <c r="N50" s="12">
        <f>VLOOKUP(A50,Buchwert_je_Aktie!A3:AC68,15,FALSE)</f>
        <v>22.528749999999999</v>
      </c>
      <c r="O50" s="13">
        <f ca="1">VLOOKUP(A50,Buchwert_je_Aktie!A3:AC68,19,FALSE)</f>
        <v>0.12921143970358862</v>
      </c>
      <c r="P50" s="13">
        <f>VLOOKUP(A50,Buchwert_je_Aktie!A3:AC68,29,FALSE)</f>
        <v>-5.4997817546922789E-2</v>
      </c>
      <c r="Q50" s="19">
        <f t="shared" ca="1" si="6"/>
        <v>24.040593021000049</v>
      </c>
      <c r="R50" s="13">
        <f t="shared" ca="1" si="3"/>
        <v>6.7107274970872766E-2</v>
      </c>
      <c r="S50" s="58">
        <f ca="1">IF(O50&lt;Bewertung_Stammdaten!D$24,Bewertung_Stammdaten!C$24,IF(O50&lt;Bewertung_Stammdaten!D$25,Bewertung_Stammdaten!C$25,IF(O50&lt;Bewertung_Stammdaten!D$26,Bewertung_Stammdaten!C$26,IF(O50&lt;Bewertung_Stammdaten!D$27,Bewertung_Stammdaten!C$27,IF(O50&lt;Bewertung_Stammdaten!D$28,Bewertung_Stammdaten!C$28,IF(O50&lt;Bewertung_Stammdaten!D$29,Bewertung_Stammdaten!C$29,IF(O50&lt;Bewertung_Stammdaten!D$30,Bewertung_Stammdaten!C$30,IF(O50&lt;Bewertung_Stammdaten!D$31,Bewertung_Stammdaten!C$31,IF(O50&lt;Bewertung_Stammdaten!D$32,Bewertung_Stammdaten!C$32,Bewertung_Stammdaten!C$33)))))))))</f>
        <v>6</v>
      </c>
      <c r="T50" s="58">
        <f>IF(P50&lt;Bewertung_Stammdaten!F$24,Bewertung_Stammdaten!E$24,IF(P50&lt;Bewertung_Stammdaten!F$25,Bewertung_Stammdaten!E$25,IF(P50&lt;Bewertung_Stammdaten!F$26,Bewertung_Stammdaten!E$26,IF(P50&lt;Bewertung_Stammdaten!F$27,Bewertung_Stammdaten!E$27,IF(P50&lt;Bewertung_Stammdaten!F$28,Bewertung_Stammdaten!E$28,IF(P50&lt;Bewertung_Stammdaten!F$29,Bewertung_Stammdaten!E$29,IF(P50&lt;Bewertung_Stammdaten!F$30,Bewertung_Stammdaten!E$30,IF(P50&lt;Bewertung_Stammdaten!F$31,Bewertung_Stammdaten!E$31,IF(P50&lt;Bewertung_Stammdaten!F$32,Bewertung_Stammdaten!E$32,Bewertung_Stammdaten!E$33)))))))))</f>
        <v>9</v>
      </c>
      <c r="U50" s="58">
        <f ca="1">IF(R50&lt;Bewertung_Stammdaten!H$24,Bewertung_Stammdaten!G$24,IF(R50&lt;Bewertung_Stammdaten!H$25,Bewertung_Stammdaten!G$25,IF(R50&lt;Bewertung_Stammdaten!H$26,Bewertung_Stammdaten!G$26,IF(R50&lt;Bewertung_Stammdaten!H$27,Bewertung_Stammdaten!G$27,IF(R50&lt;Bewertung_Stammdaten!H$28,Bewertung_Stammdaten!G$28,IF(R50&lt;Bewertung_Stammdaten!H$29,Bewertung_Stammdaten!G$29,IF(R50&lt;Bewertung_Stammdaten!H$30,Bewertung_Stammdaten!G$30,IF(R50&lt;Bewertung_Stammdaten!H$31,Bewertung_Stammdaten!G$31,IF(R50&lt;Bewertung_Stammdaten!H$32,Bewertung_Stammdaten!G$32,Bewertung_Stammdaten!G$33)))))))))</f>
        <v>2</v>
      </c>
      <c r="V50" s="49"/>
      <c r="W50" s="17">
        <f ca="1">VLOOKUP(A50,Ergebnis_je_Aktie_verwässert!A3:S68,18,FALSE)</f>
        <v>4.3152222222222223</v>
      </c>
      <c r="X50" s="17">
        <f>VLOOKUP(A50,Ergebnis_je_Aktie_verwässert!A3:S68,15,FALSE)</f>
        <v>3.4119999999999999</v>
      </c>
      <c r="Y50" s="13">
        <f ca="1">VLOOKUP(A50,Ergebnis_je_Aktie_verwässert!A3:S68,19,FALSE)</f>
        <v>0.26471929138986594</v>
      </c>
      <c r="Z50" s="46">
        <f>VLOOKUP(A50,Ergebnis_je_Aktie_verwässert!A3:AC68,29,FALSE)</f>
        <v>-6.8702290076335881E-2</v>
      </c>
      <c r="AA50" s="19">
        <f t="shared" ca="1" si="10"/>
        <v>4.0187565733672601</v>
      </c>
      <c r="AB50" s="13">
        <f t="shared" ca="1" si="11"/>
        <v>0.17783017976766136</v>
      </c>
      <c r="AC50" s="36">
        <f ca="1">IF(Y50&lt;Bewertung_Stammdaten!L$11,Bewertung_Stammdaten!K$11,IF(Y50&lt;Bewertung_Stammdaten!L$12,Bewertung_Stammdaten!K$12,IF(Y50&lt;Bewertung_Stammdaten!L$13,Bewertung_Stammdaten!K$13,IF(Y50&lt;Bewertung_Stammdaten!L$14,Bewertung_Stammdaten!K$14,IF(Y50&lt;Bewertung_Stammdaten!L$15,Bewertung_Stammdaten!K$15,IF(Y50&lt;Bewertung_Stammdaten!L$16,Bewertung_Stammdaten!K$16,IF(Y50&lt;Bewertung_Stammdaten!L$17,Bewertung_Stammdaten!K$17,IF(Y50&lt;Bewertung_Stammdaten!L$18,Bewertung_Stammdaten!K$18,IF(Y50&lt;Bewertung_Stammdaten!L$19,Bewertung_Stammdaten!K$19,Bewertung_Stammdaten!K$20)))))))))</f>
        <v>8</v>
      </c>
      <c r="AD50" s="36">
        <f>IF(Z50&lt;Bewertung_Stammdaten!R$11,Bewertung_Stammdaten!Q$11,IF(Z50&lt;Bewertung_Stammdaten!R$12,Bewertung_Stammdaten!Q$12,IF(Z50&lt;Bewertung_Stammdaten!R$13,Bewertung_Stammdaten!Q$13,IF(Z50&lt;Bewertung_Stammdaten!R$14,Bewertung_Stammdaten!Q$14,IF(Z50&lt;Bewertung_Stammdaten!R$15,Bewertung_Stammdaten!Q$15,IF(Z50&lt;Bewertung_Stammdaten!R$16,Bewertung_Stammdaten!Q$16,IF(Z50&lt;Bewertung_Stammdaten!R$17,Bewertung_Stammdaten!Q$17,IF(Z50&lt;Bewertung_Stammdaten!R$18,Bewertung_Stammdaten!Q$18,IF(Z50&lt;Bewertung_Stammdaten!R$19,Bewertung_Stammdaten!Q$19,Bewertung_Stammdaten!Q$20)))))))))</f>
        <v>7</v>
      </c>
      <c r="AE50" s="36">
        <f ca="1">IF(AB50&lt;Bewertung_Stammdaten!P$11,Bewertung_Stammdaten!O$11,IF(AB50&lt;Bewertung_Stammdaten!P$12,Bewertung_Stammdaten!O$12,IF(AB50&lt;Bewertung_Stammdaten!P$13,Bewertung_Stammdaten!O$13,IF(AB50&lt;Bewertung_Stammdaten!P$14,Bewertung_Stammdaten!O$14,IF(AB50&lt;Bewertung_Stammdaten!P$15,Bewertung_Stammdaten!O$15,IF(AB50&lt;Bewertung_Stammdaten!P$16,Bewertung_Stammdaten!O$16,IF(AB50&lt;Bewertung_Stammdaten!P$17,Bewertung_Stammdaten!O$17,IF(AB50&lt;Bewertung_Stammdaten!P$18,Bewertung_Stammdaten!O$18,IF(AB50&lt;Bewertung_Stammdaten!P$19,Bewertung_Stammdaten!O$19,Bewertung_Stammdaten!O$20)))))))))</f>
        <v>3</v>
      </c>
      <c r="AF50" s="49"/>
      <c r="AG50" s="13">
        <f ca="1">VLOOKUP(A50,Dividendenrendite!A3:S68,18,FALSE)</f>
        <v>3.1865833333333329E-2</v>
      </c>
      <c r="AH50" s="13">
        <f>VLOOKUP(A50,Dividendenrendite!A3:S68,15,FALSE)</f>
        <v>2.5890000000000003E-2</v>
      </c>
      <c r="AI50" s="13">
        <f ca="1">VLOOKUP(A50,Dividendenrendite!A3:S68,19,FALSE)</f>
        <v>0.23081627397965732</v>
      </c>
      <c r="AJ50" s="36">
        <f ca="1">IF(AG50&lt;Bewertung_Stammdaten!D$11,Bewertung_Stammdaten!C$11,IF(AG50&lt;Bewertung_Stammdaten!D$12,Bewertung_Stammdaten!C$12,IF(AG50&lt;Bewertung_Stammdaten!D$13,Bewertung_Stammdaten!C$13,IF(AG50&lt;Bewertung_Stammdaten!D$14,Bewertung_Stammdaten!C$14,IF(AG50&lt;Bewertung_Stammdaten!D$15,Bewertung_Stammdaten!C$15,IF(AG50&lt;Bewertung_Stammdaten!D$16,Bewertung_Stammdaten!C$16,IF(AG50&lt;Bewertung_Stammdaten!D$17,Bewertung_Stammdaten!C$17,IF(AG50&lt;Bewertung_Stammdaten!D$18,Bewertung_Stammdaten!C$18,IF(AG50&lt;Bewertung_Stammdaten!D$19,Bewertung_Stammdaten!C$19,Bewertung_Stammdaten!C$20)))))))))</f>
        <v>10.5</v>
      </c>
      <c r="AK50" s="36">
        <f>IF(AH50&lt;Bewertung_Stammdaten!T$11,Bewertung_Stammdaten!S$11,IF(AH50&lt;Bewertung_Stammdaten!T$12,Bewertung_Stammdaten!S$12,IF(AH50&lt;Bewertung_Stammdaten!T$13,Bewertung_Stammdaten!S$13,IF(AH50&lt;Bewertung_Stammdaten!T$14,Bewertung_Stammdaten!S$14,IF(AH50&lt;Bewertung_Stammdaten!T$15,Bewertung_Stammdaten!S$15,IF(AH50&lt;Bewertung_Stammdaten!T$16,Bewertung_Stammdaten!S$16,IF(AH50&lt;Bewertung_Stammdaten!T$17,Bewertung_Stammdaten!S$17,IF(AH50&lt;Bewertung_Stammdaten!T$18,Bewertung_Stammdaten!S$18,IF(AH50&lt;Bewertung_Stammdaten!T$19,Bewertung_Stammdaten!S$19,Bewertung_Stammdaten!S$20)))))))))</f>
        <v>6</v>
      </c>
      <c r="AL50" s="36">
        <f ca="1">IF(AI50&lt;Bewertung_Stammdaten!F$11,Bewertung_Stammdaten!E$11,IF(AI50&lt;Bewertung_Stammdaten!F$12,Bewertung_Stammdaten!E$12,IF(AI50&lt;Bewertung_Stammdaten!F$13,Bewertung_Stammdaten!E$13,IF(AI50&lt;Bewertung_Stammdaten!F$14,Bewertung_Stammdaten!E$14,IF(AI50&lt;Bewertung_Stammdaten!F$15,Bewertung_Stammdaten!E$15,IF(AI50&lt;Bewertung_Stammdaten!F$16,Bewertung_Stammdaten!E$16,IF(AI50&lt;Bewertung_Stammdaten!F$17,Bewertung_Stammdaten!E$17,IF(AI50&lt;Bewertung_Stammdaten!F$18,Bewertung_Stammdaten!E$18,IF(AI50&lt;Bewertung_Stammdaten!F$19,Bewertung_Stammdaten!E$19,Bewertung_Stammdaten!E$20)))))))))</f>
        <v>5</v>
      </c>
      <c r="AM50" s="49"/>
      <c r="AN50" s="13">
        <f>VLOOKUP(A50,Aktien_im_Umlauf_splitbereinigt!A3:W68,13,FALSE)</f>
        <v>-2.1834061135370675E-3</v>
      </c>
      <c r="AO50" s="13">
        <f>VLOOKUP(A50,Aktien_im_Umlauf_splitbereinigt!A3:W68,22,FALSE)</f>
        <v>1.2422376303861202E-2</v>
      </c>
      <c r="AP50" s="13">
        <f>VLOOKUP(A50,Aktien_im_Umlauf_splitbereinigt!A3:W68,23,FALSE)</f>
        <v>1.1757639649716944</v>
      </c>
      <c r="AQ50" s="47">
        <f>IF(AN50&lt;Bewertung_Stammdaten!J$24,Bewertung_Stammdaten!I$24,IF(AN50&lt;Bewertung_Stammdaten!J$25,Bewertung_Stammdaten!I$25,IF(AN50&lt;Bewertung_Stammdaten!J$26,Bewertung_Stammdaten!I$26,IF(AN50&lt;Bewertung_Stammdaten!J$27,Bewertung_Stammdaten!I$27,IF(AN50&lt;Bewertung_Stammdaten!J$28,Bewertung_Stammdaten!I$28,IF(AN50&lt;Bewertung_Stammdaten!J$29,Bewertung_Stammdaten!I$29,IF(AN50&lt;Bewertung_Stammdaten!J$30,Bewertung_Stammdaten!I$30,IF(AN50&lt;Bewertung_Stammdaten!J$31,Bewertung_Stammdaten!I$31,IF(AN50&lt;Bewertung_Stammdaten!J$32,Bewertung_Stammdaten!I$32,Bewertung_Stammdaten!I$33)))))))))</f>
        <v>1.5</v>
      </c>
      <c r="AR50" s="47">
        <f>IF(AO50&lt;Bewertung_Stammdaten!L$24,Bewertung_Stammdaten!K$24,IF(AO50&lt;Bewertung_Stammdaten!L$25,Bewertung_Stammdaten!K$25,IF(AO50&lt;Bewertung_Stammdaten!L$26,Bewertung_Stammdaten!K$26,IF(AO50&lt;Bewertung_Stammdaten!L$27,Bewertung_Stammdaten!K$27,IF(AO50&lt;Bewertung_Stammdaten!L$28,Bewertung_Stammdaten!K$28,IF(AO50&lt;Bewertung_Stammdaten!L$29,Bewertung_Stammdaten!K$29,IF(AO50&lt;Bewertung_Stammdaten!L$30,Bewertung_Stammdaten!K$30,IF(AO50&lt;Bewertung_Stammdaten!L$31,Bewertung_Stammdaten!K$31,IF(AO50&lt;Bewertung_Stammdaten!L$32,Bewertung_Stammdaten!K$32,Bewertung_Stammdaten!K$33)))))))))</f>
        <v>0.5</v>
      </c>
      <c r="AS50" s="47">
        <f>IF(AP50&lt;Bewertung_Stammdaten!N$24,Bewertung_Stammdaten!M$24,IF(AP50&lt;Bewertung_Stammdaten!N$25,Bewertung_Stammdaten!M$25,IF(AP50&lt;Bewertung_Stammdaten!N$26,Bewertung_Stammdaten!M$26,IF(AP50&lt;Bewertung_Stammdaten!N$27,Bewertung_Stammdaten!M$27,IF(AP50&lt;Bewertung_Stammdaten!N$28,Bewertung_Stammdaten!M$28,IF(AP50&lt;Bewertung_Stammdaten!N$29,Bewertung_Stammdaten!M$29,IF(AP50&lt;Bewertung_Stammdaten!N$30,Bewertung_Stammdaten!M$30,IF(AP50&lt;Bewertung_Stammdaten!N$31,Bewertung_Stammdaten!M$31,IF(AP50&lt;Bewertung_Stammdaten!N$32,Bewertung_Stammdaten!M$32,Bewertung_Stammdaten!M$33)))))))))</f>
        <v>5</v>
      </c>
      <c r="AT50" s="49"/>
      <c r="AU50" s="13">
        <f ca="1">VLOOKUP(A50,Ausschüttungsquote!A3:S68,18,FALSE)</f>
        <v>0.59435045414134746</v>
      </c>
      <c r="AV50" s="13">
        <f>VLOOKUP(A50,Ausschüttungsquote!A3:S68,15,FALSE)</f>
        <v>0.45452591517037322</v>
      </c>
      <c r="AW50" s="13">
        <f ca="1">VLOOKUP(A50,Ausschüttungsquote!A3:S68,19,FALSE)</f>
        <v>0.30762720959169698</v>
      </c>
      <c r="AX50" s="36">
        <f ca="1">IF(AU50&lt;Bewertung_Stammdaten!H$11,Bewertung_Stammdaten!G$11,IF(AU50&lt;Bewertung_Stammdaten!H$12,Bewertung_Stammdaten!G$12,IF(AU50&lt;Bewertung_Stammdaten!H$13,Bewertung_Stammdaten!G$13,IF(AU50&lt;Bewertung_Stammdaten!H$14,Bewertung_Stammdaten!G$14,IF(AU50&lt;Bewertung_Stammdaten!H$15,Bewertung_Stammdaten!G$15,IF(AU50&lt;Bewertung_Stammdaten!H$16,Bewertung_Stammdaten!G$16,IF(AU50&lt;Bewertung_Stammdaten!H$17,Bewertung_Stammdaten!G$17,IF(AU50&lt;Bewertung_Stammdaten!H$18,Bewertung_Stammdaten!G$18,IF(AU50&lt;Bewertung_Stammdaten!H$19,Bewertung_Stammdaten!G$19,Bewertung_Stammdaten!G$20)))))))))</f>
        <v>3</v>
      </c>
      <c r="AY50" s="47">
        <f>IF(AV50&lt;Bewertung_Stammdaten!B$24,Bewertung_Stammdaten!A$24,IF(AV50&lt;Bewertung_Stammdaten!B$25,Bewertung_Stammdaten!A$25,IF(AV50&lt;Bewertung_Stammdaten!B$26,Bewertung_Stammdaten!A$26,IF(AV50&lt;Bewertung_Stammdaten!B$27,Bewertung_Stammdaten!A$27,IF(AV50&lt;Bewertung_Stammdaten!B$28,Bewertung_Stammdaten!A$28,IF(AV50&lt;Bewertung_Stammdaten!B$29,Bewertung_Stammdaten!A$29,IF(AV50&lt;Bewertung_Stammdaten!B$30,Bewertung_Stammdaten!A$30,IF(AV50&lt;Bewertung_Stammdaten!B$31,Bewertung_Stammdaten!A$31,IF(AV50&lt;Bewertung_Stammdaten!B$32,Bewertung_Stammdaten!A$32,Bewertung_Stammdaten!A$33)))))))))</f>
        <v>4</v>
      </c>
      <c r="AZ50" s="36">
        <f ca="1">IF(AW50&lt;Bewertung_Stammdaten!J$11,Bewertung_Stammdaten!I$11,IF(AW50&lt;Bewertung_Stammdaten!J$12,Bewertung_Stammdaten!I$12,IF(AW50&lt;Bewertung_Stammdaten!J$13,Bewertung_Stammdaten!I$13,IF(AW50&lt;Bewertung_Stammdaten!J$14,Bewertung_Stammdaten!I$14,IF(AW50&lt;Bewertung_Stammdaten!J$15,Bewertung_Stammdaten!I$15,IF(AW50&lt;Bewertung_Stammdaten!J$16,Bewertung_Stammdaten!I$16,IF(AW50&lt;Bewertung_Stammdaten!J$17,Bewertung_Stammdaten!I$17,IF(AW50&lt;Bewertung_Stammdaten!J$18,Bewertung_Stammdaten!I$18,IF(AW50&lt;Bewertung_Stammdaten!J$19,Bewertung_Stammdaten!I$19,Bewertung_Stammdaten!I$20)))))))))</f>
        <v>0.5</v>
      </c>
    </row>
    <row r="51" spans="1:52" x14ac:dyDescent="0.25">
      <c r="A51" s="44" t="s">
        <v>98</v>
      </c>
      <c r="B51" s="44" t="s">
        <v>99</v>
      </c>
      <c r="C51" s="36">
        <f t="shared" ca="1" si="7"/>
        <v>91</v>
      </c>
      <c r="D51" s="49"/>
      <c r="E51" s="12">
        <f ca="1">VLOOKUP(A51,KGV!A3:S68,18,FALSE)</f>
        <v>13.298611111111111</v>
      </c>
      <c r="F51" s="12">
        <f>VLOOKUP(A51,KGV!A3:S68,15,FALSE)</f>
        <v>15.64</v>
      </c>
      <c r="G51" s="13">
        <f ca="1">VLOOKUP(A51,KGV!A3:S68,19,FALSE)</f>
        <v>-0.14970517192384203</v>
      </c>
      <c r="H51" s="19">
        <f t="shared" ca="1" si="8"/>
        <v>16.391311369509044</v>
      </c>
      <c r="I51" s="13">
        <f t="shared" ca="1" si="9"/>
        <v>4.8037811349683102E-2</v>
      </c>
      <c r="J51" s="36">
        <f ca="1">IF(G51&lt;Bewertung_Stammdaten!B$11,Bewertung_Stammdaten!A$11,IF(G51&lt;Bewertung_Stammdaten!B$12,Bewertung_Stammdaten!A$12,IF(G51&lt;Bewertung_Stammdaten!B$13,Bewertung_Stammdaten!A$13,IF(G51&lt;Bewertung_Stammdaten!B$14,Bewertung_Stammdaten!A$14,IF(G51&lt;Bewertung_Stammdaten!B$15,Bewertung_Stammdaten!A$15,IF(G51&lt;Bewertung_Stammdaten!B$16,Bewertung_Stammdaten!A$16,IF(G51&lt;Bewertung_Stammdaten!B$17,Bewertung_Stammdaten!A$17,IF(G51&lt;Bewertung_Stammdaten!B$18,Bewertung_Stammdaten!A$18,IF(G51&lt;Bewertung_Stammdaten!B$19,Bewertung_Stammdaten!A$19,Bewertung_Stammdaten!A$20)))))))))</f>
        <v>16</v>
      </c>
      <c r="K51" s="36">
        <f ca="1">IF(I51&lt;Bewertung_Stammdaten!N$11,Bewertung_Stammdaten!M$11,IF(I51&lt;Bewertung_Stammdaten!N$12,Bewertung_Stammdaten!M$12,IF(I51&lt;Bewertung_Stammdaten!N$13,Bewertung_Stammdaten!M$13,IF(I51&lt;Bewertung_Stammdaten!N$14,Bewertung_Stammdaten!M$14,IF(I51&lt;Bewertung_Stammdaten!N$15,Bewertung_Stammdaten!M$15,IF(I51&lt;Bewertung_Stammdaten!N$16,Bewertung_Stammdaten!M$16,IF(I51&lt;Bewertung_Stammdaten!N$17,Bewertung_Stammdaten!M$17,IF(I51&lt;Bewertung_Stammdaten!N$18,Bewertung_Stammdaten!M$18,IF(I51&lt;Bewertung_Stammdaten!N$19,Bewertung_Stammdaten!M$19,Bewertung_Stammdaten!M$20)))))))))</f>
        <v>5</v>
      </c>
      <c r="L51" s="49"/>
      <c r="M51" s="12">
        <f ca="1">VLOOKUP(A51,Buchwert_je_Aktie!A3:AC68,18,FALSE)</f>
        <v>5.5922777777777783</v>
      </c>
      <c r="N51" s="12">
        <f>VLOOKUP(A51,Buchwert_je_Aktie!A3:AC68,15,FALSE)</f>
        <v>14.185999999999998</v>
      </c>
      <c r="O51" s="13">
        <f ca="1">VLOOKUP(A51,Buchwert_je_Aktie!A3:AC68,19,FALSE)</f>
        <v>-0.60578896251390257</v>
      </c>
      <c r="P51" s="13">
        <f>VLOOKUP(A51,Buchwert_je_Aktie!A3:AC68,29,FALSE)</f>
        <v>-0.17546948356807501</v>
      </c>
      <c r="Q51" s="19">
        <f t="shared" ca="1" si="6"/>
        <v>4.6110036841418891</v>
      </c>
      <c r="R51" s="13">
        <f t="shared" ca="1" si="3"/>
        <v>-0.67496096967842312</v>
      </c>
      <c r="S51" s="58">
        <f ca="1">IF(O51&lt;Bewertung_Stammdaten!D$24,Bewertung_Stammdaten!C$24,IF(O51&lt;Bewertung_Stammdaten!D$25,Bewertung_Stammdaten!C$25,IF(O51&lt;Bewertung_Stammdaten!D$26,Bewertung_Stammdaten!C$26,IF(O51&lt;Bewertung_Stammdaten!D$27,Bewertung_Stammdaten!C$27,IF(O51&lt;Bewertung_Stammdaten!D$28,Bewertung_Stammdaten!C$28,IF(O51&lt;Bewertung_Stammdaten!D$29,Bewertung_Stammdaten!C$29,IF(O51&lt;Bewertung_Stammdaten!D$30,Bewertung_Stammdaten!C$30,IF(O51&lt;Bewertung_Stammdaten!D$31,Bewertung_Stammdaten!C$31,IF(O51&lt;Bewertung_Stammdaten!D$32,Bewertung_Stammdaten!C$32,Bewertung_Stammdaten!C$33)))))))))</f>
        <v>2</v>
      </c>
      <c r="T51" s="58">
        <f>IF(P51&lt;Bewertung_Stammdaten!F$24,Bewertung_Stammdaten!E$24,IF(P51&lt;Bewertung_Stammdaten!F$25,Bewertung_Stammdaten!E$25,IF(P51&lt;Bewertung_Stammdaten!F$26,Bewertung_Stammdaten!E$26,IF(P51&lt;Bewertung_Stammdaten!F$27,Bewertung_Stammdaten!E$27,IF(P51&lt;Bewertung_Stammdaten!F$28,Bewertung_Stammdaten!E$28,IF(P51&lt;Bewertung_Stammdaten!F$29,Bewertung_Stammdaten!E$29,IF(P51&lt;Bewertung_Stammdaten!F$30,Bewertung_Stammdaten!E$30,IF(P51&lt;Bewertung_Stammdaten!F$31,Bewertung_Stammdaten!E$31,IF(P51&lt;Bewertung_Stammdaten!F$32,Bewertung_Stammdaten!E$32,Bewertung_Stammdaten!E$33)))))))))</f>
        <v>6</v>
      </c>
      <c r="U51" s="58">
        <f ca="1">IF(R51&lt;Bewertung_Stammdaten!H$24,Bewertung_Stammdaten!G$24,IF(R51&lt;Bewertung_Stammdaten!H$25,Bewertung_Stammdaten!G$25,IF(R51&lt;Bewertung_Stammdaten!H$26,Bewertung_Stammdaten!G$26,IF(R51&lt;Bewertung_Stammdaten!H$27,Bewertung_Stammdaten!G$27,IF(R51&lt;Bewertung_Stammdaten!H$28,Bewertung_Stammdaten!G$28,IF(R51&lt;Bewertung_Stammdaten!H$29,Bewertung_Stammdaten!G$29,IF(R51&lt;Bewertung_Stammdaten!H$30,Bewertung_Stammdaten!G$30,IF(R51&lt;Bewertung_Stammdaten!H$31,Bewertung_Stammdaten!G$31,IF(R51&lt;Bewertung_Stammdaten!H$32,Bewertung_Stammdaten!G$32,Bewertung_Stammdaten!G$33)))))))))</f>
        <v>1</v>
      </c>
      <c r="V51" s="49"/>
      <c r="W51" s="17">
        <f ca="1">VLOOKUP(A51,Ergebnis_je_Aktie_verwässert!A3:S68,18,FALSE)</f>
        <v>3.8183611111111118</v>
      </c>
      <c r="X51" s="17">
        <f>VLOOKUP(A51,Ergebnis_je_Aktie_verwässert!A3:S68,15,FALSE)</f>
        <v>2.4739999999999993</v>
      </c>
      <c r="Y51" s="13">
        <f ca="1">VLOOKUP(A51,Ergebnis_je_Aktie_verwässert!A3:S68,19,FALSE)</f>
        <v>0.54339576035210713</v>
      </c>
      <c r="Z51" s="46">
        <f>VLOOKUP(A51,Ergebnis_je_Aktie_verwässert!A3:AC68,29,FALSE)</f>
        <v>-0.18867924528301883</v>
      </c>
      <c r="AA51" s="19">
        <f t="shared" ca="1" si="10"/>
        <v>3.0979156184486381</v>
      </c>
      <c r="AB51" s="13">
        <f t="shared" ca="1" si="11"/>
        <v>0.25218901311586062</v>
      </c>
      <c r="AC51" s="36">
        <f ca="1">IF(Y51&lt;Bewertung_Stammdaten!L$11,Bewertung_Stammdaten!K$11,IF(Y51&lt;Bewertung_Stammdaten!L$12,Bewertung_Stammdaten!K$12,IF(Y51&lt;Bewertung_Stammdaten!L$13,Bewertung_Stammdaten!K$13,IF(Y51&lt;Bewertung_Stammdaten!L$14,Bewertung_Stammdaten!K$14,IF(Y51&lt;Bewertung_Stammdaten!L$15,Bewertung_Stammdaten!K$15,IF(Y51&lt;Bewertung_Stammdaten!L$16,Bewertung_Stammdaten!K$16,IF(Y51&lt;Bewertung_Stammdaten!L$17,Bewertung_Stammdaten!K$17,IF(Y51&lt;Bewertung_Stammdaten!L$18,Bewertung_Stammdaten!K$18,IF(Y51&lt;Bewertung_Stammdaten!L$19,Bewertung_Stammdaten!K$19,Bewertung_Stammdaten!K$20)))))))))</f>
        <v>14</v>
      </c>
      <c r="AD51" s="36">
        <f>IF(Z51&lt;Bewertung_Stammdaten!R$11,Bewertung_Stammdaten!Q$11,IF(Z51&lt;Bewertung_Stammdaten!R$12,Bewertung_Stammdaten!Q$12,IF(Z51&lt;Bewertung_Stammdaten!R$13,Bewertung_Stammdaten!Q$13,IF(Z51&lt;Bewertung_Stammdaten!R$14,Bewertung_Stammdaten!Q$14,IF(Z51&lt;Bewertung_Stammdaten!R$15,Bewertung_Stammdaten!Q$15,IF(Z51&lt;Bewertung_Stammdaten!R$16,Bewertung_Stammdaten!Q$16,IF(Z51&lt;Bewertung_Stammdaten!R$17,Bewertung_Stammdaten!Q$17,IF(Z51&lt;Bewertung_Stammdaten!R$18,Bewertung_Stammdaten!Q$18,IF(Z51&lt;Bewertung_Stammdaten!R$19,Bewertung_Stammdaten!Q$19,Bewertung_Stammdaten!Q$20)))))))))</f>
        <v>6</v>
      </c>
      <c r="AE51" s="36">
        <f ca="1">IF(AB51&lt;Bewertung_Stammdaten!P$11,Bewertung_Stammdaten!O$11,IF(AB51&lt;Bewertung_Stammdaten!P$12,Bewertung_Stammdaten!O$12,IF(AB51&lt;Bewertung_Stammdaten!P$13,Bewertung_Stammdaten!O$13,IF(AB51&lt;Bewertung_Stammdaten!P$14,Bewertung_Stammdaten!O$14,IF(AB51&lt;Bewertung_Stammdaten!P$15,Bewertung_Stammdaten!O$15,IF(AB51&lt;Bewertung_Stammdaten!P$16,Bewertung_Stammdaten!O$16,IF(AB51&lt;Bewertung_Stammdaten!P$17,Bewertung_Stammdaten!O$17,IF(AB51&lt;Bewertung_Stammdaten!P$18,Bewertung_Stammdaten!O$18,IF(AB51&lt;Bewertung_Stammdaten!P$19,Bewertung_Stammdaten!O$19,Bewertung_Stammdaten!O$20)))))))))</f>
        <v>4</v>
      </c>
      <c r="AF51" s="49"/>
      <c r="AG51" s="13">
        <f ca="1">VLOOKUP(A51,Dividendenrendite!A3:S68,18,FALSE)</f>
        <v>4.2785000000000004E-2</v>
      </c>
      <c r="AH51" s="13">
        <f>VLOOKUP(A51,Dividendenrendite!A3:S68,15,FALSE)</f>
        <v>4.7510000000000004E-2</v>
      </c>
      <c r="AI51" s="13">
        <f ca="1">VLOOKUP(A51,Dividendenrendite!A3:S68,19,FALSE)</f>
        <v>-9.9452746790149482E-2</v>
      </c>
      <c r="AJ51" s="36">
        <f ca="1">IF(AG51&lt;Bewertung_Stammdaten!D$11,Bewertung_Stammdaten!C$11,IF(AG51&lt;Bewertung_Stammdaten!D$12,Bewertung_Stammdaten!C$12,IF(AG51&lt;Bewertung_Stammdaten!D$13,Bewertung_Stammdaten!C$13,IF(AG51&lt;Bewertung_Stammdaten!D$14,Bewertung_Stammdaten!C$14,IF(AG51&lt;Bewertung_Stammdaten!D$15,Bewertung_Stammdaten!C$15,IF(AG51&lt;Bewertung_Stammdaten!D$16,Bewertung_Stammdaten!C$16,IF(AG51&lt;Bewertung_Stammdaten!D$17,Bewertung_Stammdaten!C$17,IF(AG51&lt;Bewertung_Stammdaten!D$18,Bewertung_Stammdaten!C$18,IF(AG51&lt;Bewertung_Stammdaten!D$19,Bewertung_Stammdaten!C$19,Bewertung_Stammdaten!C$20)))))))))</f>
        <v>13.5</v>
      </c>
      <c r="AK51" s="36">
        <f>IF(AH51&lt;Bewertung_Stammdaten!T$11,Bewertung_Stammdaten!S$11,IF(AH51&lt;Bewertung_Stammdaten!T$12,Bewertung_Stammdaten!S$12,IF(AH51&lt;Bewertung_Stammdaten!T$13,Bewertung_Stammdaten!S$13,IF(AH51&lt;Bewertung_Stammdaten!T$14,Bewertung_Stammdaten!S$14,IF(AH51&lt;Bewertung_Stammdaten!T$15,Bewertung_Stammdaten!S$15,IF(AH51&lt;Bewertung_Stammdaten!T$16,Bewertung_Stammdaten!S$16,IF(AH51&lt;Bewertung_Stammdaten!T$17,Bewertung_Stammdaten!S$17,IF(AH51&lt;Bewertung_Stammdaten!T$18,Bewertung_Stammdaten!S$18,IF(AH51&lt;Bewertung_Stammdaten!T$19,Bewertung_Stammdaten!S$19,Bewertung_Stammdaten!S$20)))))))))</f>
        <v>10</v>
      </c>
      <c r="AL51" s="36">
        <f ca="1">IF(AI51&lt;Bewertung_Stammdaten!F$11,Bewertung_Stammdaten!E$11,IF(AI51&lt;Bewertung_Stammdaten!F$12,Bewertung_Stammdaten!E$12,IF(AI51&lt;Bewertung_Stammdaten!F$13,Bewertung_Stammdaten!E$13,IF(AI51&lt;Bewertung_Stammdaten!F$14,Bewertung_Stammdaten!E$14,IF(AI51&lt;Bewertung_Stammdaten!F$15,Bewertung_Stammdaten!E$15,IF(AI51&lt;Bewertung_Stammdaten!F$16,Bewertung_Stammdaten!E$16,IF(AI51&lt;Bewertung_Stammdaten!F$17,Bewertung_Stammdaten!E$17,IF(AI51&lt;Bewertung_Stammdaten!F$18,Bewertung_Stammdaten!E$18,IF(AI51&lt;Bewertung_Stammdaten!F$19,Bewertung_Stammdaten!E$19,Bewertung_Stammdaten!E$20)))))))))</f>
        <v>2</v>
      </c>
      <c r="AM51" s="49"/>
      <c r="AN51" s="13">
        <f>VLOOKUP(A51,Aktien_im_Umlauf_splitbereinigt!A3:W68,13,FALSE)</f>
        <v>1.3995801259623075E-3</v>
      </c>
      <c r="AO51" s="13">
        <f>VLOOKUP(A51,Aktien_im_Umlauf_splitbereinigt!A3:W68,22,FALSE)</f>
        <v>4.0046525714529319E-3</v>
      </c>
      <c r="AP51" s="13">
        <f>VLOOKUP(A51,Aktien_im_Umlauf_splitbereinigt!A3:W68,23,FALSE)</f>
        <v>-99.999989999999997</v>
      </c>
      <c r="AQ51" s="47">
        <f>IF(AN51&lt;Bewertung_Stammdaten!J$24,Bewertung_Stammdaten!I$24,IF(AN51&lt;Bewertung_Stammdaten!J$25,Bewertung_Stammdaten!I$25,IF(AN51&lt;Bewertung_Stammdaten!J$26,Bewertung_Stammdaten!I$26,IF(AN51&lt;Bewertung_Stammdaten!J$27,Bewertung_Stammdaten!I$27,IF(AN51&lt;Bewertung_Stammdaten!J$28,Bewertung_Stammdaten!I$28,IF(AN51&lt;Bewertung_Stammdaten!J$29,Bewertung_Stammdaten!I$29,IF(AN51&lt;Bewertung_Stammdaten!J$30,Bewertung_Stammdaten!I$30,IF(AN51&lt;Bewertung_Stammdaten!J$31,Bewertung_Stammdaten!I$31,IF(AN51&lt;Bewertung_Stammdaten!J$32,Bewertung_Stammdaten!I$32,Bewertung_Stammdaten!I$33)))))))))</f>
        <v>1</v>
      </c>
      <c r="AR51" s="47">
        <f>IF(AO51&lt;Bewertung_Stammdaten!L$24,Bewertung_Stammdaten!K$24,IF(AO51&lt;Bewertung_Stammdaten!L$25,Bewertung_Stammdaten!K$25,IF(AO51&lt;Bewertung_Stammdaten!L$26,Bewertung_Stammdaten!K$26,IF(AO51&lt;Bewertung_Stammdaten!L$27,Bewertung_Stammdaten!K$27,IF(AO51&lt;Bewertung_Stammdaten!L$28,Bewertung_Stammdaten!K$28,IF(AO51&lt;Bewertung_Stammdaten!L$29,Bewertung_Stammdaten!K$29,IF(AO51&lt;Bewertung_Stammdaten!L$30,Bewertung_Stammdaten!K$30,IF(AO51&lt;Bewertung_Stammdaten!L$31,Bewertung_Stammdaten!K$31,IF(AO51&lt;Bewertung_Stammdaten!L$32,Bewertung_Stammdaten!K$32,Bewertung_Stammdaten!K$33)))))))))</f>
        <v>1</v>
      </c>
      <c r="AS51" s="47">
        <f>IF(AP51&lt;Bewertung_Stammdaten!N$24,Bewertung_Stammdaten!M$24,IF(AP51&lt;Bewertung_Stammdaten!N$25,Bewertung_Stammdaten!M$25,IF(AP51&lt;Bewertung_Stammdaten!N$26,Bewertung_Stammdaten!M$26,IF(AP51&lt;Bewertung_Stammdaten!N$27,Bewertung_Stammdaten!M$27,IF(AP51&lt;Bewertung_Stammdaten!N$28,Bewertung_Stammdaten!M$28,IF(AP51&lt;Bewertung_Stammdaten!N$29,Bewertung_Stammdaten!M$29,IF(AP51&lt;Bewertung_Stammdaten!N$30,Bewertung_Stammdaten!M$30,IF(AP51&lt;Bewertung_Stammdaten!N$31,Bewertung_Stammdaten!M$31,IF(AP51&lt;Bewertung_Stammdaten!N$32,Bewertung_Stammdaten!M$32,Bewertung_Stammdaten!M$33)))))))))</f>
        <v>0.5</v>
      </c>
      <c r="AT51" s="49"/>
      <c r="AU51" s="13">
        <f ca="1">VLOOKUP(A51,Ausschüttungsquote!A3:S68,18,FALSE)</f>
        <v>0.56938533380621836</v>
      </c>
      <c r="AV51" s="13">
        <f>VLOOKUP(A51,Ausschüttungsquote!A3:S68,15,FALSE)</f>
        <v>0.75894580673624912</v>
      </c>
      <c r="AW51" s="13">
        <f ca="1">VLOOKUP(A51,Ausschüttungsquote!A3:S68,19,FALSE)</f>
        <v>-0.24976812737817433</v>
      </c>
      <c r="AX51" s="36">
        <f ca="1">IF(AU51&lt;Bewertung_Stammdaten!H$11,Bewertung_Stammdaten!G$11,IF(AU51&lt;Bewertung_Stammdaten!H$12,Bewertung_Stammdaten!G$12,IF(AU51&lt;Bewertung_Stammdaten!H$13,Bewertung_Stammdaten!G$13,IF(AU51&lt;Bewertung_Stammdaten!H$14,Bewertung_Stammdaten!G$14,IF(AU51&lt;Bewertung_Stammdaten!H$15,Bewertung_Stammdaten!G$15,IF(AU51&lt;Bewertung_Stammdaten!H$16,Bewertung_Stammdaten!G$16,IF(AU51&lt;Bewertung_Stammdaten!H$17,Bewertung_Stammdaten!G$17,IF(AU51&lt;Bewertung_Stammdaten!H$18,Bewertung_Stammdaten!G$18,IF(AU51&lt;Bewertung_Stammdaten!H$19,Bewertung_Stammdaten!G$19,Bewertung_Stammdaten!G$20)))))))))</f>
        <v>3</v>
      </c>
      <c r="AY51" s="47">
        <f>IF(AV51&lt;Bewertung_Stammdaten!B$24,Bewertung_Stammdaten!A$24,IF(AV51&lt;Bewertung_Stammdaten!B$25,Bewertung_Stammdaten!A$25,IF(AV51&lt;Bewertung_Stammdaten!B$26,Bewertung_Stammdaten!A$26,IF(AV51&lt;Bewertung_Stammdaten!B$27,Bewertung_Stammdaten!A$27,IF(AV51&lt;Bewertung_Stammdaten!B$28,Bewertung_Stammdaten!A$28,IF(AV51&lt;Bewertung_Stammdaten!B$29,Bewertung_Stammdaten!A$29,IF(AV51&lt;Bewertung_Stammdaten!B$30,Bewertung_Stammdaten!A$30,IF(AV51&lt;Bewertung_Stammdaten!B$31,Bewertung_Stammdaten!A$31,IF(AV51&lt;Bewertung_Stammdaten!B$32,Bewertung_Stammdaten!A$32,Bewertung_Stammdaten!A$33)))))))))</f>
        <v>1</v>
      </c>
      <c r="AZ51" s="36">
        <f ca="1">IF(AW51&lt;Bewertung_Stammdaten!J$11,Bewertung_Stammdaten!I$11,IF(AW51&lt;Bewertung_Stammdaten!J$12,Bewertung_Stammdaten!I$12,IF(AW51&lt;Bewertung_Stammdaten!J$13,Bewertung_Stammdaten!I$13,IF(AW51&lt;Bewertung_Stammdaten!J$14,Bewertung_Stammdaten!I$14,IF(AW51&lt;Bewertung_Stammdaten!J$15,Bewertung_Stammdaten!I$15,IF(AW51&lt;Bewertung_Stammdaten!J$16,Bewertung_Stammdaten!I$16,IF(AW51&lt;Bewertung_Stammdaten!J$17,Bewertung_Stammdaten!I$17,IF(AW51&lt;Bewertung_Stammdaten!J$18,Bewertung_Stammdaten!I$18,IF(AW51&lt;Bewertung_Stammdaten!J$19,Bewertung_Stammdaten!I$19,Bewertung_Stammdaten!I$20)))))))))</f>
        <v>5</v>
      </c>
    </row>
    <row r="52" spans="1:52" x14ac:dyDescent="0.25">
      <c r="A52" s="44" t="s">
        <v>100</v>
      </c>
      <c r="B52" s="44" t="s">
        <v>101</v>
      </c>
      <c r="C52" s="36">
        <f t="shared" ca="1" si="7"/>
        <v>115.5</v>
      </c>
      <c r="D52" s="49"/>
      <c r="E52" s="12">
        <f ca="1">VLOOKUP(A52,KGV!A3:S68,18,FALSE)</f>
        <v>15.169416666666667</v>
      </c>
      <c r="F52" s="12">
        <f>VLOOKUP(A52,KGV!A3:S68,15,FALSE)</f>
        <v>15.3</v>
      </c>
      <c r="G52" s="13">
        <f ca="1">VLOOKUP(A52,KGV!A3:S68,19,FALSE)</f>
        <v>-8.5348583877995488E-3</v>
      </c>
      <c r="H52" s="19">
        <f t="shared" ca="1" si="8"/>
        <v>15.169416666666667</v>
      </c>
      <c r="I52" s="13">
        <f t="shared" ca="1" si="9"/>
        <v>-8.5348583877995488E-3</v>
      </c>
      <c r="J52" s="36">
        <f ca="1">IF(G52&lt;Bewertung_Stammdaten!B$11,Bewertung_Stammdaten!A$11,IF(G52&lt;Bewertung_Stammdaten!B$12,Bewertung_Stammdaten!A$12,IF(G52&lt;Bewertung_Stammdaten!B$13,Bewertung_Stammdaten!A$13,IF(G52&lt;Bewertung_Stammdaten!B$14,Bewertung_Stammdaten!A$14,IF(G52&lt;Bewertung_Stammdaten!B$15,Bewertung_Stammdaten!A$15,IF(G52&lt;Bewertung_Stammdaten!B$16,Bewertung_Stammdaten!A$16,IF(G52&lt;Bewertung_Stammdaten!B$17,Bewertung_Stammdaten!A$17,IF(G52&lt;Bewertung_Stammdaten!B$18,Bewertung_Stammdaten!A$18,IF(G52&lt;Bewertung_Stammdaten!B$19,Bewertung_Stammdaten!A$19,Bewertung_Stammdaten!A$20)))))))))</f>
        <v>12</v>
      </c>
      <c r="K52" s="36">
        <f ca="1">IF(I52&lt;Bewertung_Stammdaten!N$11,Bewertung_Stammdaten!M$11,IF(I52&lt;Bewertung_Stammdaten!N$12,Bewertung_Stammdaten!M$12,IF(I52&lt;Bewertung_Stammdaten!N$13,Bewertung_Stammdaten!M$13,IF(I52&lt;Bewertung_Stammdaten!N$14,Bewertung_Stammdaten!M$14,IF(I52&lt;Bewertung_Stammdaten!N$15,Bewertung_Stammdaten!M$15,IF(I52&lt;Bewertung_Stammdaten!N$16,Bewertung_Stammdaten!M$16,IF(I52&lt;Bewertung_Stammdaten!N$17,Bewertung_Stammdaten!M$17,IF(I52&lt;Bewertung_Stammdaten!N$18,Bewertung_Stammdaten!M$18,IF(I52&lt;Bewertung_Stammdaten!N$19,Bewertung_Stammdaten!M$19,Bewertung_Stammdaten!M$20)))))))))</f>
        <v>6</v>
      </c>
      <c r="L52" s="49"/>
      <c r="M52" s="12">
        <f ca="1">VLOOKUP(A52,Buchwert_je_Aktie!A3:AC68,18,FALSE)</f>
        <v>25.521944444444447</v>
      </c>
      <c r="N52" s="12">
        <f>VLOOKUP(A52,Buchwert_je_Aktie!A3:AC68,15,FALSE)</f>
        <v>16.457000000000001</v>
      </c>
      <c r="O52" s="13">
        <f ca="1">VLOOKUP(A52,Buchwert_je_Aktie!A3:AC68,19,FALSE)</f>
        <v>0.55082605848237498</v>
      </c>
      <c r="P52" s="13">
        <f>VLOOKUP(A52,Buchwert_je_Aktie!A3:AC68,29,FALSE)</f>
        <v>2.2755227552275326E-2</v>
      </c>
      <c r="Q52" s="19">
        <f t="shared" ca="1" si="6"/>
        <v>25.521944444444447</v>
      </c>
      <c r="R52" s="13">
        <f t="shared" ca="1" si="3"/>
        <v>0.55082605848237498</v>
      </c>
      <c r="S52" s="58">
        <f ca="1">IF(O52&lt;Bewertung_Stammdaten!D$24,Bewertung_Stammdaten!C$24,IF(O52&lt;Bewertung_Stammdaten!D$25,Bewertung_Stammdaten!C$25,IF(O52&lt;Bewertung_Stammdaten!D$26,Bewertung_Stammdaten!C$26,IF(O52&lt;Bewertung_Stammdaten!D$27,Bewertung_Stammdaten!C$27,IF(O52&lt;Bewertung_Stammdaten!D$28,Bewertung_Stammdaten!C$28,IF(O52&lt;Bewertung_Stammdaten!D$29,Bewertung_Stammdaten!C$29,IF(O52&lt;Bewertung_Stammdaten!D$30,Bewertung_Stammdaten!C$30,IF(O52&lt;Bewertung_Stammdaten!D$31,Bewertung_Stammdaten!C$31,IF(O52&lt;Bewertung_Stammdaten!D$32,Bewertung_Stammdaten!C$32,Bewertung_Stammdaten!C$33)))))))))</f>
        <v>14</v>
      </c>
      <c r="T52" s="58">
        <f>IF(P52&lt;Bewertung_Stammdaten!F$24,Bewertung_Stammdaten!E$24,IF(P52&lt;Bewertung_Stammdaten!F$25,Bewertung_Stammdaten!E$25,IF(P52&lt;Bewertung_Stammdaten!F$26,Bewertung_Stammdaten!E$26,IF(P52&lt;Bewertung_Stammdaten!F$27,Bewertung_Stammdaten!E$27,IF(P52&lt;Bewertung_Stammdaten!F$28,Bewertung_Stammdaten!E$28,IF(P52&lt;Bewertung_Stammdaten!F$29,Bewertung_Stammdaten!E$29,IF(P52&lt;Bewertung_Stammdaten!F$30,Bewertung_Stammdaten!E$30,IF(P52&lt;Bewertung_Stammdaten!F$31,Bewertung_Stammdaten!E$31,IF(P52&lt;Bewertung_Stammdaten!F$32,Bewertung_Stammdaten!E$32,Bewertung_Stammdaten!E$33)))))))))</f>
        <v>12</v>
      </c>
      <c r="U52" s="58">
        <f ca="1">IF(R52&lt;Bewertung_Stammdaten!H$24,Bewertung_Stammdaten!G$24,IF(R52&lt;Bewertung_Stammdaten!H$25,Bewertung_Stammdaten!G$25,IF(R52&lt;Bewertung_Stammdaten!H$26,Bewertung_Stammdaten!G$26,IF(R52&lt;Bewertung_Stammdaten!H$27,Bewertung_Stammdaten!G$27,IF(R52&lt;Bewertung_Stammdaten!H$28,Bewertung_Stammdaten!G$28,IF(R52&lt;Bewertung_Stammdaten!H$29,Bewertung_Stammdaten!G$29,IF(R52&lt;Bewertung_Stammdaten!H$30,Bewertung_Stammdaten!G$30,IF(R52&lt;Bewertung_Stammdaten!H$31,Bewertung_Stammdaten!G$31,IF(R52&lt;Bewertung_Stammdaten!H$32,Bewertung_Stammdaten!G$32,Bewertung_Stammdaten!G$33)))))))))</f>
        <v>7</v>
      </c>
      <c r="V52" s="49"/>
      <c r="W52" s="17">
        <f ca="1">VLOOKUP(A52,Ergebnis_je_Aktie_verwässert!A3:S68,18,FALSE)</f>
        <v>5.0789166666666663</v>
      </c>
      <c r="X52" s="17">
        <f>VLOOKUP(A52,Ergebnis_je_Aktie_verwässert!A3:S68,15,FALSE)</f>
        <v>3.41</v>
      </c>
      <c r="Y52" s="13">
        <f ca="1">VLOOKUP(A52,Ergebnis_je_Aktie_verwässert!A3:S68,19,FALSE)</f>
        <v>0.48941837732160298</v>
      </c>
      <c r="Z52" s="46">
        <f>VLOOKUP(A52,Ergebnis_je_Aktie_verwässert!A3:AC68,29,FALSE)</f>
        <v>1.1185682326621871E-2</v>
      </c>
      <c r="AA52" s="19">
        <f t="shared" ca="1" si="10"/>
        <v>5.0789166666666663</v>
      </c>
      <c r="AB52" s="13">
        <f t="shared" ca="1" si="11"/>
        <v>0.48941837732160298</v>
      </c>
      <c r="AC52" s="36">
        <f ca="1">IF(Y52&lt;Bewertung_Stammdaten!L$11,Bewertung_Stammdaten!K$11,IF(Y52&lt;Bewertung_Stammdaten!L$12,Bewertung_Stammdaten!K$12,IF(Y52&lt;Bewertung_Stammdaten!L$13,Bewertung_Stammdaten!K$13,IF(Y52&lt;Bewertung_Stammdaten!L$14,Bewertung_Stammdaten!K$14,IF(Y52&lt;Bewertung_Stammdaten!L$15,Bewertung_Stammdaten!K$15,IF(Y52&lt;Bewertung_Stammdaten!L$16,Bewertung_Stammdaten!K$16,IF(Y52&lt;Bewertung_Stammdaten!L$17,Bewertung_Stammdaten!K$17,IF(Y52&lt;Bewertung_Stammdaten!L$18,Bewertung_Stammdaten!K$18,IF(Y52&lt;Bewertung_Stammdaten!L$19,Bewertung_Stammdaten!K$19,Bewertung_Stammdaten!K$20)))))))))</f>
        <v>12</v>
      </c>
      <c r="AD52" s="36">
        <f>IF(Z52&lt;Bewertung_Stammdaten!R$11,Bewertung_Stammdaten!Q$11,IF(Z52&lt;Bewertung_Stammdaten!R$12,Bewertung_Stammdaten!Q$12,IF(Z52&lt;Bewertung_Stammdaten!R$13,Bewertung_Stammdaten!Q$13,IF(Z52&lt;Bewertung_Stammdaten!R$14,Bewertung_Stammdaten!Q$14,IF(Z52&lt;Bewertung_Stammdaten!R$15,Bewertung_Stammdaten!Q$15,IF(Z52&lt;Bewertung_Stammdaten!R$16,Bewertung_Stammdaten!Q$16,IF(Z52&lt;Bewertung_Stammdaten!R$17,Bewertung_Stammdaten!Q$17,IF(Z52&lt;Bewertung_Stammdaten!R$18,Bewertung_Stammdaten!Q$18,IF(Z52&lt;Bewertung_Stammdaten!R$19,Bewertung_Stammdaten!Q$19,Bewertung_Stammdaten!Q$20)))))))))</f>
        <v>8</v>
      </c>
      <c r="AE52" s="36">
        <f ca="1">IF(AB52&lt;Bewertung_Stammdaten!P$11,Bewertung_Stammdaten!O$11,IF(AB52&lt;Bewertung_Stammdaten!P$12,Bewertung_Stammdaten!O$12,IF(AB52&lt;Bewertung_Stammdaten!P$13,Bewertung_Stammdaten!O$13,IF(AB52&lt;Bewertung_Stammdaten!P$14,Bewertung_Stammdaten!O$14,IF(AB52&lt;Bewertung_Stammdaten!P$15,Bewertung_Stammdaten!O$15,IF(AB52&lt;Bewertung_Stammdaten!P$16,Bewertung_Stammdaten!O$16,IF(AB52&lt;Bewertung_Stammdaten!P$17,Bewertung_Stammdaten!O$17,IF(AB52&lt;Bewertung_Stammdaten!P$18,Bewertung_Stammdaten!O$18,IF(AB52&lt;Bewertung_Stammdaten!P$19,Bewertung_Stammdaten!O$19,Bewertung_Stammdaten!O$20)))))))))</f>
        <v>6</v>
      </c>
      <c r="AF52" s="49"/>
      <c r="AG52" s="13">
        <f ca="1">VLOOKUP(A52,Dividendenrendite!A3:S68,18,FALSE)</f>
        <v>2.4761666666666668E-2</v>
      </c>
      <c r="AH52" s="13">
        <f>VLOOKUP(A52,Dividendenrendite!A3:S68,15,FALSE)</f>
        <v>1.7020000000000004E-2</v>
      </c>
      <c r="AI52" s="13">
        <f ca="1">VLOOKUP(A52,Dividendenrendite!A3:S68,19,FALSE)</f>
        <v>0.45485703094398722</v>
      </c>
      <c r="AJ52" s="36">
        <f ca="1">IF(AG52&lt;Bewertung_Stammdaten!D$11,Bewertung_Stammdaten!C$11,IF(AG52&lt;Bewertung_Stammdaten!D$12,Bewertung_Stammdaten!C$12,IF(AG52&lt;Bewertung_Stammdaten!D$13,Bewertung_Stammdaten!C$13,IF(AG52&lt;Bewertung_Stammdaten!D$14,Bewertung_Stammdaten!C$14,IF(AG52&lt;Bewertung_Stammdaten!D$15,Bewertung_Stammdaten!C$15,IF(AG52&lt;Bewertung_Stammdaten!D$16,Bewertung_Stammdaten!C$16,IF(AG52&lt;Bewertung_Stammdaten!D$17,Bewertung_Stammdaten!C$17,IF(AG52&lt;Bewertung_Stammdaten!D$18,Bewertung_Stammdaten!C$18,IF(AG52&lt;Bewertung_Stammdaten!D$19,Bewertung_Stammdaten!C$19,Bewertung_Stammdaten!C$20)))))))))</f>
        <v>7.5</v>
      </c>
      <c r="AK52" s="36">
        <f>IF(AH52&lt;Bewertung_Stammdaten!T$11,Bewertung_Stammdaten!S$11,IF(AH52&lt;Bewertung_Stammdaten!T$12,Bewertung_Stammdaten!S$12,IF(AH52&lt;Bewertung_Stammdaten!T$13,Bewertung_Stammdaten!S$13,IF(AH52&lt;Bewertung_Stammdaten!T$14,Bewertung_Stammdaten!S$14,IF(AH52&lt;Bewertung_Stammdaten!T$15,Bewertung_Stammdaten!S$15,IF(AH52&lt;Bewertung_Stammdaten!T$16,Bewertung_Stammdaten!S$16,IF(AH52&lt;Bewertung_Stammdaten!T$17,Bewertung_Stammdaten!S$17,IF(AH52&lt;Bewertung_Stammdaten!T$18,Bewertung_Stammdaten!S$18,IF(AH52&lt;Bewertung_Stammdaten!T$19,Bewertung_Stammdaten!S$19,Bewertung_Stammdaten!S$20)))))))))</f>
        <v>4</v>
      </c>
      <c r="AL52" s="36">
        <f ca="1">IF(AI52&lt;Bewertung_Stammdaten!F$11,Bewertung_Stammdaten!E$11,IF(AI52&lt;Bewertung_Stammdaten!F$12,Bewertung_Stammdaten!E$12,IF(AI52&lt;Bewertung_Stammdaten!F$13,Bewertung_Stammdaten!E$13,IF(AI52&lt;Bewertung_Stammdaten!F$14,Bewertung_Stammdaten!E$14,IF(AI52&lt;Bewertung_Stammdaten!F$15,Bewertung_Stammdaten!E$15,IF(AI52&lt;Bewertung_Stammdaten!F$16,Bewertung_Stammdaten!E$16,IF(AI52&lt;Bewertung_Stammdaten!F$17,Bewertung_Stammdaten!E$17,IF(AI52&lt;Bewertung_Stammdaten!F$18,Bewertung_Stammdaten!E$18,IF(AI52&lt;Bewertung_Stammdaten!F$19,Bewertung_Stammdaten!E$19,Bewertung_Stammdaten!E$20)))))))))</f>
        <v>5</v>
      </c>
      <c r="AM52" s="49"/>
      <c r="AN52" s="13">
        <f>VLOOKUP(A52,Aktien_im_Umlauf_splitbereinigt!A3:W68,13,FALSE)</f>
        <v>-3.0427150380339385E-2</v>
      </c>
      <c r="AO52" s="13">
        <f>VLOOKUP(A52,Aktien_im_Umlauf_splitbereinigt!A3:W68,22,FALSE)</f>
        <v>-2.8654191513750777E-2</v>
      </c>
      <c r="AP52" s="13">
        <f>VLOOKUP(A52,Aktien_im_Umlauf_splitbereinigt!A3:W68,23,FALSE)</f>
        <v>6.1874328777965726E-2</v>
      </c>
      <c r="AQ52" s="47">
        <f>IF(AN52&lt;Bewertung_Stammdaten!J$24,Bewertung_Stammdaten!I$24,IF(AN52&lt;Bewertung_Stammdaten!J$25,Bewertung_Stammdaten!I$25,IF(AN52&lt;Bewertung_Stammdaten!J$26,Bewertung_Stammdaten!I$26,IF(AN52&lt;Bewertung_Stammdaten!J$27,Bewertung_Stammdaten!I$27,IF(AN52&lt;Bewertung_Stammdaten!J$28,Bewertung_Stammdaten!I$28,IF(AN52&lt;Bewertung_Stammdaten!J$29,Bewertung_Stammdaten!I$29,IF(AN52&lt;Bewertung_Stammdaten!J$30,Bewertung_Stammdaten!I$30,IF(AN52&lt;Bewertung_Stammdaten!J$31,Bewertung_Stammdaten!I$31,IF(AN52&lt;Bewertung_Stammdaten!J$32,Bewertung_Stammdaten!I$32,Bewertung_Stammdaten!I$33)))))))))</f>
        <v>4.5</v>
      </c>
      <c r="AR52" s="47">
        <f>IF(AO52&lt;Bewertung_Stammdaten!L$24,Bewertung_Stammdaten!K$24,IF(AO52&lt;Bewertung_Stammdaten!L$25,Bewertung_Stammdaten!K$25,IF(AO52&lt;Bewertung_Stammdaten!L$26,Bewertung_Stammdaten!K$26,IF(AO52&lt;Bewertung_Stammdaten!L$27,Bewertung_Stammdaten!K$27,IF(AO52&lt;Bewertung_Stammdaten!L$28,Bewertung_Stammdaten!K$28,IF(AO52&lt;Bewertung_Stammdaten!L$29,Bewertung_Stammdaten!K$29,IF(AO52&lt;Bewertung_Stammdaten!L$30,Bewertung_Stammdaten!K$30,IF(AO52&lt;Bewertung_Stammdaten!L$31,Bewertung_Stammdaten!K$31,IF(AO52&lt;Bewertung_Stammdaten!L$32,Bewertung_Stammdaten!K$32,Bewertung_Stammdaten!K$33)))))))))</f>
        <v>4</v>
      </c>
      <c r="AS52" s="47">
        <f>IF(AP52&lt;Bewertung_Stammdaten!N$24,Bewertung_Stammdaten!M$24,IF(AP52&lt;Bewertung_Stammdaten!N$25,Bewertung_Stammdaten!M$25,IF(AP52&lt;Bewertung_Stammdaten!N$26,Bewertung_Stammdaten!M$26,IF(AP52&lt;Bewertung_Stammdaten!N$27,Bewertung_Stammdaten!M$27,IF(AP52&lt;Bewertung_Stammdaten!N$28,Bewertung_Stammdaten!M$28,IF(AP52&lt;Bewertung_Stammdaten!N$29,Bewertung_Stammdaten!M$29,IF(AP52&lt;Bewertung_Stammdaten!N$30,Bewertung_Stammdaten!M$30,IF(AP52&lt;Bewertung_Stammdaten!N$31,Bewertung_Stammdaten!M$31,IF(AP52&lt;Bewertung_Stammdaten!N$32,Bewertung_Stammdaten!M$32,Bewertung_Stammdaten!M$33)))))))))</f>
        <v>3</v>
      </c>
      <c r="AT52" s="49"/>
      <c r="AU52" s="13">
        <f ca="1">VLOOKUP(A52,Ausschüttungsquote!A3:S68,18,FALSE)</f>
        <v>0.37632211244314384</v>
      </c>
      <c r="AV52" s="13">
        <f>VLOOKUP(A52,Ausschüttungsquote!A3:S68,15,FALSE)</f>
        <v>0.26272099198031312</v>
      </c>
      <c r="AW52" s="13">
        <f ca="1">VLOOKUP(A52,Ausschüttungsquote!A3:S68,19,FALSE)</f>
        <v>0.43240214497722107</v>
      </c>
      <c r="AX52" s="36">
        <f ca="1">IF(AU52&lt;Bewertung_Stammdaten!H$11,Bewertung_Stammdaten!G$11,IF(AU52&lt;Bewertung_Stammdaten!H$12,Bewertung_Stammdaten!G$12,IF(AU52&lt;Bewertung_Stammdaten!H$13,Bewertung_Stammdaten!G$13,IF(AU52&lt;Bewertung_Stammdaten!H$14,Bewertung_Stammdaten!G$14,IF(AU52&lt;Bewertung_Stammdaten!H$15,Bewertung_Stammdaten!G$15,IF(AU52&lt;Bewertung_Stammdaten!H$16,Bewertung_Stammdaten!G$16,IF(AU52&lt;Bewertung_Stammdaten!H$17,Bewertung_Stammdaten!G$17,IF(AU52&lt;Bewertung_Stammdaten!H$18,Bewertung_Stammdaten!G$18,IF(AU52&lt;Bewertung_Stammdaten!H$19,Bewertung_Stammdaten!G$19,Bewertung_Stammdaten!G$20)))))))))</f>
        <v>5</v>
      </c>
      <c r="AY52" s="47">
        <f>IF(AV52&lt;Bewertung_Stammdaten!B$24,Bewertung_Stammdaten!A$24,IF(AV52&lt;Bewertung_Stammdaten!B$25,Bewertung_Stammdaten!A$25,IF(AV52&lt;Bewertung_Stammdaten!B$26,Bewertung_Stammdaten!A$26,IF(AV52&lt;Bewertung_Stammdaten!B$27,Bewertung_Stammdaten!A$27,IF(AV52&lt;Bewertung_Stammdaten!B$28,Bewertung_Stammdaten!A$28,IF(AV52&lt;Bewertung_Stammdaten!B$29,Bewertung_Stammdaten!A$29,IF(AV52&lt;Bewertung_Stammdaten!B$30,Bewertung_Stammdaten!A$30,IF(AV52&lt;Bewertung_Stammdaten!B$31,Bewertung_Stammdaten!A$31,IF(AV52&lt;Bewertung_Stammdaten!B$32,Bewertung_Stammdaten!A$32,Bewertung_Stammdaten!A$33)))))))))</f>
        <v>5</v>
      </c>
      <c r="AZ52" s="36">
        <f ca="1">IF(AW52&lt;Bewertung_Stammdaten!J$11,Bewertung_Stammdaten!I$11,IF(AW52&lt;Bewertung_Stammdaten!J$12,Bewertung_Stammdaten!I$12,IF(AW52&lt;Bewertung_Stammdaten!J$13,Bewertung_Stammdaten!I$13,IF(AW52&lt;Bewertung_Stammdaten!J$14,Bewertung_Stammdaten!I$14,IF(AW52&lt;Bewertung_Stammdaten!J$15,Bewertung_Stammdaten!I$15,IF(AW52&lt;Bewertung_Stammdaten!J$16,Bewertung_Stammdaten!I$16,IF(AW52&lt;Bewertung_Stammdaten!J$17,Bewertung_Stammdaten!I$17,IF(AW52&lt;Bewertung_Stammdaten!J$18,Bewertung_Stammdaten!I$18,IF(AW52&lt;Bewertung_Stammdaten!J$19,Bewertung_Stammdaten!I$19,Bewertung_Stammdaten!I$20)))))))))</f>
        <v>0.5</v>
      </c>
    </row>
    <row r="53" spans="1:52" x14ac:dyDescent="0.25">
      <c r="A53" s="44" t="s">
        <v>102</v>
      </c>
      <c r="B53" s="44" t="s">
        <v>103</v>
      </c>
      <c r="C53" s="36">
        <f t="shared" ca="1" si="7"/>
        <v>96.5</v>
      </c>
      <c r="D53" s="49"/>
      <c r="E53" s="12">
        <f ca="1">VLOOKUP(A53,KGV!A3:S68,18,FALSE)</f>
        <v>20.073888888888888</v>
      </c>
      <c r="F53" s="12">
        <f>VLOOKUP(A53,KGV!A3:S68,15,FALSE)</f>
        <v>18.100000000000001</v>
      </c>
      <c r="G53" s="13">
        <f ca="1">VLOOKUP(A53,KGV!A3:S68,19,FALSE)</f>
        <v>0.10905463474524235</v>
      </c>
      <c r="H53" s="19">
        <f t="shared" ca="1" si="8"/>
        <v>23.285711111111109</v>
      </c>
      <c r="I53" s="13">
        <f t="shared" ca="1" si="9"/>
        <v>0.28650337630448108</v>
      </c>
      <c r="J53" s="36">
        <f ca="1">IF(G53&lt;Bewertung_Stammdaten!B$11,Bewertung_Stammdaten!A$11,IF(G53&lt;Bewertung_Stammdaten!B$12,Bewertung_Stammdaten!A$12,IF(G53&lt;Bewertung_Stammdaten!B$13,Bewertung_Stammdaten!A$13,IF(G53&lt;Bewertung_Stammdaten!B$14,Bewertung_Stammdaten!A$14,IF(G53&lt;Bewertung_Stammdaten!B$15,Bewertung_Stammdaten!A$15,IF(G53&lt;Bewertung_Stammdaten!B$16,Bewertung_Stammdaten!A$16,IF(G53&lt;Bewertung_Stammdaten!B$17,Bewertung_Stammdaten!A$17,IF(G53&lt;Bewertung_Stammdaten!B$18,Bewertung_Stammdaten!A$18,IF(G53&lt;Bewertung_Stammdaten!B$19,Bewertung_Stammdaten!A$19,Bewertung_Stammdaten!A$20)))))))))</f>
        <v>6</v>
      </c>
      <c r="K53" s="36">
        <f ca="1">IF(I53&lt;Bewertung_Stammdaten!N$11,Bewertung_Stammdaten!M$11,IF(I53&lt;Bewertung_Stammdaten!N$12,Bewertung_Stammdaten!M$12,IF(I53&lt;Bewertung_Stammdaten!N$13,Bewertung_Stammdaten!M$13,IF(I53&lt;Bewertung_Stammdaten!N$14,Bewertung_Stammdaten!M$14,IF(I53&lt;Bewertung_Stammdaten!N$15,Bewertung_Stammdaten!M$15,IF(I53&lt;Bewertung_Stammdaten!N$16,Bewertung_Stammdaten!M$16,IF(I53&lt;Bewertung_Stammdaten!N$17,Bewertung_Stammdaten!M$17,IF(I53&lt;Bewertung_Stammdaten!N$18,Bewertung_Stammdaten!M$18,IF(I53&lt;Bewertung_Stammdaten!N$19,Bewertung_Stammdaten!M$19,Bewertung_Stammdaten!M$20)))))))))</f>
        <v>1</v>
      </c>
      <c r="L53" s="49"/>
      <c r="M53" s="12">
        <f ca="1">VLOOKUP(A53,Buchwert_je_Aktie!A3:AC68,18,FALSE)</f>
        <v>34.667222222222229</v>
      </c>
      <c r="N53" s="12">
        <f>VLOOKUP(A53,Buchwert_je_Aktie!A3:AC68,15,FALSE)</f>
        <v>24.225999999999999</v>
      </c>
      <c r="O53" s="13">
        <f ca="1">VLOOKUP(A53,Buchwert_je_Aktie!A3:AC68,19,FALSE)</f>
        <v>0.43099241402717037</v>
      </c>
      <c r="P53" s="13">
        <f>VLOOKUP(A53,Buchwert_je_Aktie!A3:AC68,29,FALSE)</f>
        <v>6.2357760582612665E-2</v>
      </c>
      <c r="Q53" s="19">
        <f t="shared" ca="1" si="6"/>
        <v>34.667222222222229</v>
      </c>
      <c r="R53" s="13">
        <f t="shared" ca="1" si="3"/>
        <v>0.43099241402717037</v>
      </c>
      <c r="S53" s="58">
        <f ca="1">IF(O53&lt;Bewertung_Stammdaten!D$24,Bewertung_Stammdaten!C$24,IF(O53&lt;Bewertung_Stammdaten!D$25,Bewertung_Stammdaten!C$25,IF(O53&lt;Bewertung_Stammdaten!D$26,Bewertung_Stammdaten!C$26,IF(O53&lt;Bewertung_Stammdaten!D$27,Bewertung_Stammdaten!C$27,IF(O53&lt;Bewertung_Stammdaten!D$28,Bewertung_Stammdaten!C$28,IF(O53&lt;Bewertung_Stammdaten!D$29,Bewertung_Stammdaten!C$29,IF(O53&lt;Bewertung_Stammdaten!D$30,Bewertung_Stammdaten!C$30,IF(O53&lt;Bewertung_Stammdaten!D$31,Bewertung_Stammdaten!C$31,IF(O53&lt;Bewertung_Stammdaten!D$32,Bewertung_Stammdaten!C$32,Bewertung_Stammdaten!C$33)))))))))</f>
        <v>12</v>
      </c>
      <c r="T53" s="58">
        <f>IF(P53&lt;Bewertung_Stammdaten!F$24,Bewertung_Stammdaten!E$24,IF(P53&lt;Bewertung_Stammdaten!F$25,Bewertung_Stammdaten!E$25,IF(P53&lt;Bewertung_Stammdaten!F$26,Bewertung_Stammdaten!E$26,IF(P53&lt;Bewertung_Stammdaten!F$27,Bewertung_Stammdaten!E$27,IF(P53&lt;Bewertung_Stammdaten!F$28,Bewertung_Stammdaten!E$28,IF(P53&lt;Bewertung_Stammdaten!F$29,Bewertung_Stammdaten!E$29,IF(P53&lt;Bewertung_Stammdaten!F$30,Bewertung_Stammdaten!E$30,IF(P53&lt;Bewertung_Stammdaten!F$31,Bewertung_Stammdaten!E$31,IF(P53&lt;Bewertung_Stammdaten!F$32,Bewertung_Stammdaten!E$32,Bewertung_Stammdaten!E$33)))))))))</f>
        <v>13.5</v>
      </c>
      <c r="U53" s="58">
        <f ca="1">IF(R53&lt;Bewertung_Stammdaten!H$24,Bewertung_Stammdaten!G$24,IF(R53&lt;Bewertung_Stammdaten!H$25,Bewertung_Stammdaten!G$25,IF(R53&lt;Bewertung_Stammdaten!H$26,Bewertung_Stammdaten!G$26,IF(R53&lt;Bewertung_Stammdaten!H$27,Bewertung_Stammdaten!G$27,IF(R53&lt;Bewertung_Stammdaten!H$28,Bewertung_Stammdaten!G$28,IF(R53&lt;Bewertung_Stammdaten!H$29,Bewertung_Stammdaten!G$29,IF(R53&lt;Bewertung_Stammdaten!H$30,Bewertung_Stammdaten!G$30,IF(R53&lt;Bewertung_Stammdaten!H$31,Bewertung_Stammdaten!G$31,IF(R53&lt;Bewertung_Stammdaten!H$32,Bewertung_Stammdaten!G$32,Bewertung_Stammdaten!G$33)))))))))</f>
        <v>6</v>
      </c>
      <c r="V53" s="49"/>
      <c r="W53" s="17">
        <f ca="1">VLOOKUP(A53,Ergebnis_je_Aktie_verwässert!A3:S68,18,FALSE)</f>
        <v>5.6056388888888886</v>
      </c>
      <c r="X53" s="17">
        <f>VLOOKUP(A53,Ergebnis_je_Aktie_verwässert!A3:S68,15,FALSE)</f>
        <v>3.3866666666666663</v>
      </c>
      <c r="Y53" s="13">
        <f ca="1">VLOOKUP(A53,Ergebnis_je_Aktie_verwässert!A3:S68,19,FALSE)</f>
        <v>0.65520833333333339</v>
      </c>
      <c r="Z53" s="46">
        <f>VLOOKUP(A53,Ergebnis_je_Aktie_verwässert!A3:AC68,29,FALSE)</f>
        <v>-0.13793103448275856</v>
      </c>
      <c r="AA53" s="19">
        <f t="shared" ca="1" si="10"/>
        <v>4.832447318007663</v>
      </c>
      <c r="AB53" s="13">
        <f t="shared" ca="1" si="11"/>
        <v>0.42690373563218409</v>
      </c>
      <c r="AC53" s="36">
        <f ca="1">IF(Y53&lt;Bewertung_Stammdaten!L$11,Bewertung_Stammdaten!K$11,IF(Y53&lt;Bewertung_Stammdaten!L$12,Bewertung_Stammdaten!K$12,IF(Y53&lt;Bewertung_Stammdaten!L$13,Bewertung_Stammdaten!K$13,IF(Y53&lt;Bewertung_Stammdaten!L$14,Bewertung_Stammdaten!K$14,IF(Y53&lt;Bewertung_Stammdaten!L$15,Bewertung_Stammdaten!K$15,IF(Y53&lt;Bewertung_Stammdaten!L$16,Bewertung_Stammdaten!K$16,IF(Y53&lt;Bewertung_Stammdaten!L$17,Bewertung_Stammdaten!K$17,IF(Y53&lt;Bewertung_Stammdaten!L$18,Bewertung_Stammdaten!K$18,IF(Y53&lt;Bewertung_Stammdaten!L$19,Bewertung_Stammdaten!K$19,Bewertung_Stammdaten!K$20)))))))))</f>
        <v>16</v>
      </c>
      <c r="AD53" s="36">
        <f>IF(Z53&lt;Bewertung_Stammdaten!R$11,Bewertung_Stammdaten!Q$11,IF(Z53&lt;Bewertung_Stammdaten!R$12,Bewertung_Stammdaten!Q$12,IF(Z53&lt;Bewertung_Stammdaten!R$13,Bewertung_Stammdaten!Q$13,IF(Z53&lt;Bewertung_Stammdaten!R$14,Bewertung_Stammdaten!Q$14,IF(Z53&lt;Bewertung_Stammdaten!R$15,Bewertung_Stammdaten!Q$15,IF(Z53&lt;Bewertung_Stammdaten!R$16,Bewertung_Stammdaten!Q$16,IF(Z53&lt;Bewertung_Stammdaten!R$17,Bewertung_Stammdaten!Q$17,IF(Z53&lt;Bewertung_Stammdaten!R$18,Bewertung_Stammdaten!Q$18,IF(Z53&lt;Bewertung_Stammdaten!R$19,Bewertung_Stammdaten!Q$19,Bewertung_Stammdaten!Q$20)))))))))</f>
        <v>6</v>
      </c>
      <c r="AE53" s="36">
        <f ca="1">IF(AB53&lt;Bewertung_Stammdaten!P$11,Bewertung_Stammdaten!O$11,IF(AB53&lt;Bewertung_Stammdaten!P$12,Bewertung_Stammdaten!O$12,IF(AB53&lt;Bewertung_Stammdaten!P$13,Bewertung_Stammdaten!O$13,IF(AB53&lt;Bewertung_Stammdaten!P$14,Bewertung_Stammdaten!O$14,IF(AB53&lt;Bewertung_Stammdaten!P$15,Bewertung_Stammdaten!O$15,IF(AB53&lt;Bewertung_Stammdaten!P$16,Bewertung_Stammdaten!O$16,IF(AB53&lt;Bewertung_Stammdaten!P$17,Bewertung_Stammdaten!O$17,IF(AB53&lt;Bewertung_Stammdaten!P$18,Bewertung_Stammdaten!O$18,IF(AB53&lt;Bewertung_Stammdaten!P$19,Bewertung_Stammdaten!O$19,Bewertung_Stammdaten!O$20)))))))))</f>
        <v>6</v>
      </c>
      <c r="AF53" s="49"/>
      <c r="AG53" s="13">
        <f ca="1">VLOOKUP(A53,Dividendenrendite!A3:S68,18,FALSE)</f>
        <v>2.9811111111111111E-2</v>
      </c>
      <c r="AH53" s="13">
        <f>VLOOKUP(A53,Dividendenrendite!A3:S68,15,FALSE)</f>
        <v>2.0283333333333334E-2</v>
      </c>
      <c r="AI53" s="13">
        <f ca="1">VLOOKUP(A53,Dividendenrendite!A3:S68,19,FALSE)</f>
        <v>0.46973431936455756</v>
      </c>
      <c r="AJ53" s="36">
        <f ca="1">IF(AG53&lt;Bewertung_Stammdaten!D$11,Bewertung_Stammdaten!C$11,IF(AG53&lt;Bewertung_Stammdaten!D$12,Bewertung_Stammdaten!C$12,IF(AG53&lt;Bewertung_Stammdaten!D$13,Bewertung_Stammdaten!C$13,IF(AG53&lt;Bewertung_Stammdaten!D$14,Bewertung_Stammdaten!C$14,IF(AG53&lt;Bewertung_Stammdaten!D$15,Bewertung_Stammdaten!C$15,IF(AG53&lt;Bewertung_Stammdaten!D$16,Bewertung_Stammdaten!C$16,IF(AG53&lt;Bewertung_Stammdaten!D$17,Bewertung_Stammdaten!C$17,IF(AG53&lt;Bewertung_Stammdaten!D$18,Bewertung_Stammdaten!C$18,IF(AG53&lt;Bewertung_Stammdaten!D$19,Bewertung_Stammdaten!C$19,Bewertung_Stammdaten!C$20)))))))))</f>
        <v>9</v>
      </c>
      <c r="AK53" s="36">
        <f>IF(AH53&lt;Bewertung_Stammdaten!T$11,Bewertung_Stammdaten!S$11,IF(AH53&lt;Bewertung_Stammdaten!T$12,Bewertung_Stammdaten!S$12,IF(AH53&lt;Bewertung_Stammdaten!T$13,Bewertung_Stammdaten!S$13,IF(AH53&lt;Bewertung_Stammdaten!T$14,Bewertung_Stammdaten!S$14,IF(AH53&lt;Bewertung_Stammdaten!T$15,Bewertung_Stammdaten!S$15,IF(AH53&lt;Bewertung_Stammdaten!T$16,Bewertung_Stammdaten!S$16,IF(AH53&lt;Bewertung_Stammdaten!T$17,Bewertung_Stammdaten!S$17,IF(AH53&lt;Bewertung_Stammdaten!T$18,Bewertung_Stammdaten!S$18,IF(AH53&lt;Bewertung_Stammdaten!T$19,Bewertung_Stammdaten!S$19,Bewertung_Stammdaten!S$20)))))))))</f>
        <v>5</v>
      </c>
      <c r="AL53" s="36">
        <f ca="1">IF(AI53&lt;Bewertung_Stammdaten!F$11,Bewertung_Stammdaten!E$11,IF(AI53&lt;Bewertung_Stammdaten!F$12,Bewertung_Stammdaten!E$12,IF(AI53&lt;Bewertung_Stammdaten!F$13,Bewertung_Stammdaten!E$13,IF(AI53&lt;Bewertung_Stammdaten!F$14,Bewertung_Stammdaten!E$14,IF(AI53&lt;Bewertung_Stammdaten!F$15,Bewertung_Stammdaten!E$15,IF(AI53&lt;Bewertung_Stammdaten!F$16,Bewertung_Stammdaten!E$16,IF(AI53&lt;Bewertung_Stammdaten!F$17,Bewertung_Stammdaten!E$17,IF(AI53&lt;Bewertung_Stammdaten!F$18,Bewertung_Stammdaten!E$18,IF(AI53&lt;Bewertung_Stammdaten!F$19,Bewertung_Stammdaten!E$19,Bewertung_Stammdaten!E$20)))))))))</f>
        <v>5</v>
      </c>
      <c r="AM53" s="49"/>
      <c r="AN53" s="13">
        <f>VLOOKUP(A53,Aktien_im_Umlauf_splitbereinigt!A3:W68,13,FALSE)</f>
        <v>6.2227753578092404E-4</v>
      </c>
      <c r="AO53" s="13">
        <f>VLOOKUP(A53,Aktien_im_Umlauf_splitbereinigt!A3:W68,22,FALSE)</f>
        <v>2.7682632200197606E-4</v>
      </c>
      <c r="AP53" s="13">
        <f>VLOOKUP(A53,Aktien_im_Umlauf_splitbereinigt!A3:W68,23,FALSE)</f>
        <v>-99.999989999999997</v>
      </c>
      <c r="AQ53" s="47">
        <f>IF(AN53&lt;Bewertung_Stammdaten!J$24,Bewertung_Stammdaten!I$24,IF(AN53&lt;Bewertung_Stammdaten!J$25,Bewertung_Stammdaten!I$25,IF(AN53&lt;Bewertung_Stammdaten!J$26,Bewertung_Stammdaten!I$26,IF(AN53&lt;Bewertung_Stammdaten!J$27,Bewertung_Stammdaten!I$27,IF(AN53&lt;Bewertung_Stammdaten!J$28,Bewertung_Stammdaten!I$28,IF(AN53&lt;Bewertung_Stammdaten!J$29,Bewertung_Stammdaten!I$29,IF(AN53&lt;Bewertung_Stammdaten!J$30,Bewertung_Stammdaten!I$30,IF(AN53&lt;Bewertung_Stammdaten!J$31,Bewertung_Stammdaten!I$31,IF(AN53&lt;Bewertung_Stammdaten!J$32,Bewertung_Stammdaten!I$32,Bewertung_Stammdaten!I$33)))))))))</f>
        <v>1</v>
      </c>
      <c r="AR53" s="47">
        <f>IF(AO53&lt;Bewertung_Stammdaten!L$24,Bewertung_Stammdaten!K$24,IF(AO53&lt;Bewertung_Stammdaten!L$25,Bewertung_Stammdaten!K$25,IF(AO53&lt;Bewertung_Stammdaten!L$26,Bewertung_Stammdaten!K$26,IF(AO53&lt;Bewertung_Stammdaten!L$27,Bewertung_Stammdaten!K$27,IF(AO53&lt;Bewertung_Stammdaten!L$28,Bewertung_Stammdaten!K$28,IF(AO53&lt;Bewertung_Stammdaten!L$29,Bewertung_Stammdaten!K$29,IF(AO53&lt;Bewertung_Stammdaten!L$30,Bewertung_Stammdaten!K$30,IF(AO53&lt;Bewertung_Stammdaten!L$31,Bewertung_Stammdaten!K$31,IF(AO53&lt;Bewertung_Stammdaten!L$32,Bewertung_Stammdaten!K$32,Bewertung_Stammdaten!K$33)))))))))</f>
        <v>1</v>
      </c>
      <c r="AS53" s="47">
        <f>IF(AP53&lt;Bewertung_Stammdaten!N$24,Bewertung_Stammdaten!M$24,IF(AP53&lt;Bewertung_Stammdaten!N$25,Bewertung_Stammdaten!M$25,IF(AP53&lt;Bewertung_Stammdaten!N$26,Bewertung_Stammdaten!M$26,IF(AP53&lt;Bewertung_Stammdaten!N$27,Bewertung_Stammdaten!M$27,IF(AP53&lt;Bewertung_Stammdaten!N$28,Bewertung_Stammdaten!M$28,IF(AP53&lt;Bewertung_Stammdaten!N$29,Bewertung_Stammdaten!M$29,IF(AP53&lt;Bewertung_Stammdaten!N$30,Bewertung_Stammdaten!M$30,IF(AP53&lt;Bewertung_Stammdaten!N$31,Bewertung_Stammdaten!M$31,IF(AP53&lt;Bewertung_Stammdaten!N$32,Bewertung_Stammdaten!M$32,Bewertung_Stammdaten!M$33)))))))))</f>
        <v>0.5</v>
      </c>
      <c r="AT53" s="49"/>
      <c r="AU53" s="13">
        <f ca="1">VLOOKUP(A53,Ausschüttungsquote!A3:S68,18,FALSE)</f>
        <v>0.59559853591360434</v>
      </c>
      <c r="AV53" s="13">
        <f>VLOOKUP(A53,Ausschüttungsquote!A3:S68,15,FALSE)</f>
        <v>0.35743973971777093</v>
      </c>
      <c r="AW53" s="13">
        <f ca="1">VLOOKUP(A53,Ausschüttungsquote!A3:S68,19,FALSE)</f>
        <v>0.66629076102136842</v>
      </c>
      <c r="AX53" s="36">
        <f ca="1">IF(AU53&lt;Bewertung_Stammdaten!H$11,Bewertung_Stammdaten!G$11,IF(AU53&lt;Bewertung_Stammdaten!H$12,Bewertung_Stammdaten!G$12,IF(AU53&lt;Bewertung_Stammdaten!H$13,Bewertung_Stammdaten!G$13,IF(AU53&lt;Bewertung_Stammdaten!H$14,Bewertung_Stammdaten!G$14,IF(AU53&lt;Bewertung_Stammdaten!H$15,Bewertung_Stammdaten!G$15,IF(AU53&lt;Bewertung_Stammdaten!H$16,Bewertung_Stammdaten!G$16,IF(AU53&lt;Bewertung_Stammdaten!H$17,Bewertung_Stammdaten!G$17,IF(AU53&lt;Bewertung_Stammdaten!H$18,Bewertung_Stammdaten!G$18,IF(AU53&lt;Bewertung_Stammdaten!H$19,Bewertung_Stammdaten!G$19,Bewertung_Stammdaten!G$20)))))))))</f>
        <v>3</v>
      </c>
      <c r="AY53" s="47">
        <f>IF(AV53&lt;Bewertung_Stammdaten!B$24,Bewertung_Stammdaten!A$24,IF(AV53&lt;Bewertung_Stammdaten!B$25,Bewertung_Stammdaten!A$25,IF(AV53&lt;Bewertung_Stammdaten!B$26,Bewertung_Stammdaten!A$26,IF(AV53&lt;Bewertung_Stammdaten!B$27,Bewertung_Stammdaten!A$27,IF(AV53&lt;Bewertung_Stammdaten!B$28,Bewertung_Stammdaten!A$28,IF(AV53&lt;Bewertung_Stammdaten!B$29,Bewertung_Stammdaten!A$29,IF(AV53&lt;Bewertung_Stammdaten!B$30,Bewertung_Stammdaten!A$30,IF(AV53&lt;Bewertung_Stammdaten!B$31,Bewertung_Stammdaten!A$31,IF(AV53&lt;Bewertung_Stammdaten!B$32,Bewertung_Stammdaten!A$32,Bewertung_Stammdaten!A$33)))))))))</f>
        <v>5</v>
      </c>
      <c r="AZ53" s="36">
        <f ca="1">IF(AW53&lt;Bewertung_Stammdaten!J$11,Bewertung_Stammdaten!I$11,IF(AW53&lt;Bewertung_Stammdaten!J$12,Bewertung_Stammdaten!I$12,IF(AW53&lt;Bewertung_Stammdaten!J$13,Bewertung_Stammdaten!I$13,IF(AW53&lt;Bewertung_Stammdaten!J$14,Bewertung_Stammdaten!I$14,IF(AW53&lt;Bewertung_Stammdaten!J$15,Bewertung_Stammdaten!I$15,IF(AW53&lt;Bewertung_Stammdaten!J$16,Bewertung_Stammdaten!I$16,IF(AW53&lt;Bewertung_Stammdaten!J$17,Bewertung_Stammdaten!I$17,IF(AW53&lt;Bewertung_Stammdaten!J$18,Bewertung_Stammdaten!I$18,IF(AW53&lt;Bewertung_Stammdaten!J$19,Bewertung_Stammdaten!I$19,Bewertung_Stammdaten!I$20)))))))))</f>
        <v>0.5</v>
      </c>
    </row>
    <row r="54" spans="1:52" x14ac:dyDescent="0.25">
      <c r="A54" s="44" t="s">
        <v>104</v>
      </c>
      <c r="B54" s="44" t="s">
        <v>105</v>
      </c>
      <c r="C54" s="36">
        <f t="shared" ca="1" si="7"/>
        <v>55</v>
      </c>
      <c r="D54" s="49"/>
      <c r="E54" s="12">
        <f ca="1">VLOOKUP(A54,KGV!A3:S68,18,FALSE)</f>
        <v>37.265555555555558</v>
      </c>
      <c r="F54" s="12">
        <f>VLOOKUP(A54,KGV!A3:S68,15,FALSE)</f>
        <v>28.9</v>
      </c>
      <c r="G54" s="13">
        <f ca="1">VLOOKUP(A54,KGV!A3:S68,19,FALSE)</f>
        <v>0.28946559015763174</v>
      </c>
      <c r="H54" s="19">
        <f t="shared" ca="1" si="8"/>
        <v>49.926822580013322</v>
      </c>
      <c r="I54" s="13">
        <f t="shared" ca="1" si="9"/>
        <v>0.72757171557139522</v>
      </c>
      <c r="J54" s="36">
        <f ca="1">IF(G54&lt;Bewertung_Stammdaten!B$11,Bewertung_Stammdaten!A$11,IF(G54&lt;Bewertung_Stammdaten!B$12,Bewertung_Stammdaten!A$12,IF(G54&lt;Bewertung_Stammdaten!B$13,Bewertung_Stammdaten!A$13,IF(G54&lt;Bewertung_Stammdaten!B$14,Bewertung_Stammdaten!A$14,IF(G54&lt;Bewertung_Stammdaten!B$15,Bewertung_Stammdaten!A$15,IF(G54&lt;Bewertung_Stammdaten!B$16,Bewertung_Stammdaten!A$16,IF(G54&lt;Bewertung_Stammdaten!B$17,Bewertung_Stammdaten!A$17,IF(G54&lt;Bewertung_Stammdaten!B$18,Bewertung_Stammdaten!A$18,IF(G54&lt;Bewertung_Stammdaten!B$19,Bewertung_Stammdaten!A$19,Bewertung_Stammdaten!A$20)))))))))</f>
        <v>2</v>
      </c>
      <c r="K54" s="36">
        <f ca="1">IF(I54&lt;Bewertung_Stammdaten!N$11,Bewertung_Stammdaten!M$11,IF(I54&lt;Bewertung_Stammdaten!N$12,Bewertung_Stammdaten!M$12,IF(I54&lt;Bewertung_Stammdaten!N$13,Bewertung_Stammdaten!M$13,IF(I54&lt;Bewertung_Stammdaten!N$14,Bewertung_Stammdaten!M$14,IF(I54&lt;Bewertung_Stammdaten!N$15,Bewertung_Stammdaten!M$15,IF(I54&lt;Bewertung_Stammdaten!N$16,Bewertung_Stammdaten!M$16,IF(I54&lt;Bewertung_Stammdaten!N$17,Bewertung_Stammdaten!M$17,IF(I54&lt;Bewertung_Stammdaten!N$18,Bewertung_Stammdaten!M$18,IF(I54&lt;Bewertung_Stammdaten!N$19,Bewertung_Stammdaten!M$19,Bewertung_Stammdaten!M$20)))))))))</f>
        <v>1</v>
      </c>
      <c r="L54" s="49"/>
      <c r="M54" s="12">
        <f ca="1">VLOOKUP(A54,Buchwert_je_Aktie!A3:AC68,18,FALSE)</f>
        <v>13177.077777777777</v>
      </c>
      <c r="N54" s="12">
        <f>VLOOKUP(A54,Buchwert_je_Aktie!A3:AC68,15,FALSE)</f>
        <v>12992.6</v>
      </c>
      <c r="O54" s="13">
        <f ca="1">VLOOKUP(A54,Buchwert_je_Aktie!A3:AC68,19,FALSE)</f>
        <v>1.4198680616487547E-2</v>
      </c>
      <c r="P54" s="13">
        <f>VLOOKUP(A54,Buchwert_je_Aktie!A3:AC68,29,FALSE)</f>
        <v>-0.26154416764542254</v>
      </c>
      <c r="Q54" s="19">
        <f t="shared" ca="1" si="6"/>
        <v>9730.6899383898945</v>
      </c>
      <c r="R54" s="13">
        <f t="shared" ca="1" si="3"/>
        <v>-0.25105906913243736</v>
      </c>
      <c r="S54" s="58">
        <f ca="1">IF(O54&lt;Bewertung_Stammdaten!D$24,Bewertung_Stammdaten!C$24,IF(O54&lt;Bewertung_Stammdaten!D$25,Bewertung_Stammdaten!C$25,IF(O54&lt;Bewertung_Stammdaten!D$26,Bewertung_Stammdaten!C$26,IF(O54&lt;Bewertung_Stammdaten!D$27,Bewertung_Stammdaten!C$27,IF(O54&lt;Bewertung_Stammdaten!D$28,Bewertung_Stammdaten!C$28,IF(O54&lt;Bewertung_Stammdaten!D$29,Bewertung_Stammdaten!C$29,IF(O54&lt;Bewertung_Stammdaten!D$30,Bewertung_Stammdaten!C$30,IF(O54&lt;Bewertung_Stammdaten!D$31,Bewertung_Stammdaten!C$31,IF(O54&lt;Bewertung_Stammdaten!D$32,Bewertung_Stammdaten!C$32,Bewertung_Stammdaten!C$33)))))))))</f>
        <v>4</v>
      </c>
      <c r="T54" s="58">
        <f>IF(P54&lt;Bewertung_Stammdaten!F$24,Bewertung_Stammdaten!E$24,IF(P54&lt;Bewertung_Stammdaten!F$25,Bewertung_Stammdaten!E$25,IF(P54&lt;Bewertung_Stammdaten!F$26,Bewertung_Stammdaten!E$26,IF(P54&lt;Bewertung_Stammdaten!F$27,Bewertung_Stammdaten!E$27,IF(P54&lt;Bewertung_Stammdaten!F$28,Bewertung_Stammdaten!E$28,IF(P54&lt;Bewertung_Stammdaten!F$29,Bewertung_Stammdaten!E$29,IF(P54&lt;Bewertung_Stammdaten!F$30,Bewertung_Stammdaten!E$30,IF(P54&lt;Bewertung_Stammdaten!F$31,Bewertung_Stammdaten!E$31,IF(P54&lt;Bewertung_Stammdaten!F$32,Bewertung_Stammdaten!E$32,Bewertung_Stammdaten!E$33)))))))))</f>
        <v>3</v>
      </c>
      <c r="U54" s="58">
        <f ca="1">IF(R54&lt;Bewertung_Stammdaten!H$24,Bewertung_Stammdaten!G$24,IF(R54&lt;Bewertung_Stammdaten!H$25,Bewertung_Stammdaten!G$25,IF(R54&lt;Bewertung_Stammdaten!H$26,Bewertung_Stammdaten!G$26,IF(R54&lt;Bewertung_Stammdaten!H$27,Bewertung_Stammdaten!G$27,IF(R54&lt;Bewertung_Stammdaten!H$28,Bewertung_Stammdaten!G$28,IF(R54&lt;Bewertung_Stammdaten!H$29,Bewertung_Stammdaten!G$29,IF(R54&lt;Bewertung_Stammdaten!H$30,Bewertung_Stammdaten!G$30,IF(R54&lt;Bewertung_Stammdaten!H$31,Bewertung_Stammdaten!G$31,IF(R54&lt;Bewertung_Stammdaten!H$32,Bewertung_Stammdaten!G$32,Bewertung_Stammdaten!G$33)))))))))</f>
        <v>1</v>
      </c>
      <c r="V54" s="49"/>
      <c r="W54" s="17">
        <f ca="1">VLOOKUP(A54,Ergebnis_je_Aktie_verwässert!A3:S68,18,FALSE)</f>
        <v>1583.2</v>
      </c>
      <c r="X54" s="17">
        <f>VLOOKUP(A54,Ergebnis_je_Aktie_verwässert!A3:S68,15,FALSE)</f>
        <v>1009.8300000000002</v>
      </c>
      <c r="Y54" s="13">
        <f ca="1">VLOOKUP(A54,Ergebnis_je_Aktie_verwässert!A3:S68,19,FALSE)</f>
        <v>0.56778863769149246</v>
      </c>
      <c r="Z54" s="46">
        <f>VLOOKUP(A54,Ergebnis_je_Aktie_verwässert!A3:AC68,29,FALSE)</f>
        <v>-0.25359649122807015</v>
      </c>
      <c r="AA54" s="19">
        <f t="shared" ca="1" si="10"/>
        <v>1181.7060350877193</v>
      </c>
      <c r="AB54" s="13">
        <f t="shared" ca="1" si="11"/>
        <v>0.17020294018569371</v>
      </c>
      <c r="AC54" s="36">
        <f ca="1">IF(Y54&lt;Bewertung_Stammdaten!L$11,Bewertung_Stammdaten!K$11,IF(Y54&lt;Bewertung_Stammdaten!L$12,Bewertung_Stammdaten!K$12,IF(Y54&lt;Bewertung_Stammdaten!L$13,Bewertung_Stammdaten!K$13,IF(Y54&lt;Bewertung_Stammdaten!L$14,Bewertung_Stammdaten!K$14,IF(Y54&lt;Bewertung_Stammdaten!L$15,Bewertung_Stammdaten!K$15,IF(Y54&lt;Bewertung_Stammdaten!L$16,Bewertung_Stammdaten!K$16,IF(Y54&lt;Bewertung_Stammdaten!L$17,Bewertung_Stammdaten!K$17,IF(Y54&lt;Bewertung_Stammdaten!L$18,Bewertung_Stammdaten!K$18,IF(Y54&lt;Bewertung_Stammdaten!L$19,Bewertung_Stammdaten!K$19,Bewertung_Stammdaten!K$20)))))))))</f>
        <v>14</v>
      </c>
      <c r="AD54" s="36">
        <f>IF(Z54&lt;Bewertung_Stammdaten!R$11,Bewertung_Stammdaten!Q$11,IF(Z54&lt;Bewertung_Stammdaten!R$12,Bewertung_Stammdaten!Q$12,IF(Z54&lt;Bewertung_Stammdaten!R$13,Bewertung_Stammdaten!Q$13,IF(Z54&lt;Bewertung_Stammdaten!R$14,Bewertung_Stammdaten!Q$14,IF(Z54&lt;Bewertung_Stammdaten!R$15,Bewertung_Stammdaten!Q$15,IF(Z54&lt;Bewertung_Stammdaten!R$16,Bewertung_Stammdaten!Q$16,IF(Z54&lt;Bewertung_Stammdaten!R$17,Bewertung_Stammdaten!Q$17,IF(Z54&lt;Bewertung_Stammdaten!R$18,Bewertung_Stammdaten!Q$18,IF(Z54&lt;Bewertung_Stammdaten!R$19,Bewertung_Stammdaten!Q$19,Bewertung_Stammdaten!Q$20)))))))))</f>
        <v>5</v>
      </c>
      <c r="AE54" s="36">
        <f ca="1">IF(AB54&lt;Bewertung_Stammdaten!P$11,Bewertung_Stammdaten!O$11,IF(AB54&lt;Bewertung_Stammdaten!P$12,Bewertung_Stammdaten!O$12,IF(AB54&lt;Bewertung_Stammdaten!P$13,Bewertung_Stammdaten!O$13,IF(AB54&lt;Bewertung_Stammdaten!P$14,Bewertung_Stammdaten!O$14,IF(AB54&lt;Bewertung_Stammdaten!P$15,Bewertung_Stammdaten!O$15,IF(AB54&lt;Bewertung_Stammdaten!P$16,Bewertung_Stammdaten!O$16,IF(AB54&lt;Bewertung_Stammdaten!P$17,Bewertung_Stammdaten!O$17,IF(AB54&lt;Bewertung_Stammdaten!P$18,Bewertung_Stammdaten!O$18,IF(AB54&lt;Bewertung_Stammdaten!P$19,Bewertung_Stammdaten!O$19,Bewertung_Stammdaten!O$20)))))))))</f>
        <v>3</v>
      </c>
      <c r="AF54" s="49"/>
      <c r="AG54" s="13">
        <f ca="1">VLOOKUP(A54,Dividendenrendite!A3:S68,18,FALSE)</f>
        <v>1.3243888888888888E-2</v>
      </c>
      <c r="AH54" s="13">
        <f>VLOOKUP(A54,Dividendenrendite!A3:S68,15,FALSE)</f>
        <v>1.311E-2</v>
      </c>
      <c r="AI54" s="13">
        <f ca="1">VLOOKUP(A54,Dividendenrendite!A3:S68,19,FALSE)</f>
        <v>1.021272989236377E-2</v>
      </c>
      <c r="AJ54" s="36">
        <f ca="1">IF(AG54&lt;Bewertung_Stammdaten!D$11,Bewertung_Stammdaten!C$11,IF(AG54&lt;Bewertung_Stammdaten!D$12,Bewertung_Stammdaten!C$12,IF(AG54&lt;Bewertung_Stammdaten!D$13,Bewertung_Stammdaten!C$13,IF(AG54&lt;Bewertung_Stammdaten!D$14,Bewertung_Stammdaten!C$14,IF(AG54&lt;Bewertung_Stammdaten!D$15,Bewertung_Stammdaten!C$15,IF(AG54&lt;Bewertung_Stammdaten!D$16,Bewertung_Stammdaten!C$16,IF(AG54&lt;Bewertung_Stammdaten!D$17,Bewertung_Stammdaten!C$17,IF(AG54&lt;Bewertung_Stammdaten!D$18,Bewertung_Stammdaten!C$18,IF(AG54&lt;Bewertung_Stammdaten!D$19,Bewertung_Stammdaten!C$19,Bewertung_Stammdaten!C$20)))))))))</f>
        <v>4.5</v>
      </c>
      <c r="AK54" s="36">
        <f>IF(AH54&lt;Bewertung_Stammdaten!T$11,Bewertung_Stammdaten!S$11,IF(AH54&lt;Bewertung_Stammdaten!T$12,Bewertung_Stammdaten!S$12,IF(AH54&lt;Bewertung_Stammdaten!T$13,Bewertung_Stammdaten!S$13,IF(AH54&lt;Bewertung_Stammdaten!T$14,Bewertung_Stammdaten!S$14,IF(AH54&lt;Bewertung_Stammdaten!T$15,Bewertung_Stammdaten!S$15,IF(AH54&lt;Bewertung_Stammdaten!T$16,Bewertung_Stammdaten!S$16,IF(AH54&lt;Bewertung_Stammdaten!T$17,Bewertung_Stammdaten!S$17,IF(AH54&lt;Bewertung_Stammdaten!T$18,Bewertung_Stammdaten!S$18,IF(AH54&lt;Bewertung_Stammdaten!T$19,Bewertung_Stammdaten!S$19,Bewertung_Stammdaten!S$20)))))))))</f>
        <v>3</v>
      </c>
      <c r="AL54" s="36">
        <f ca="1">IF(AI54&lt;Bewertung_Stammdaten!F$11,Bewertung_Stammdaten!E$11,IF(AI54&lt;Bewertung_Stammdaten!F$12,Bewertung_Stammdaten!E$12,IF(AI54&lt;Bewertung_Stammdaten!F$13,Bewertung_Stammdaten!E$13,IF(AI54&lt;Bewertung_Stammdaten!F$14,Bewertung_Stammdaten!E$14,IF(AI54&lt;Bewertung_Stammdaten!F$15,Bewertung_Stammdaten!E$15,IF(AI54&lt;Bewertung_Stammdaten!F$16,Bewertung_Stammdaten!E$16,IF(AI54&lt;Bewertung_Stammdaten!F$17,Bewertung_Stammdaten!E$17,IF(AI54&lt;Bewertung_Stammdaten!F$18,Bewertung_Stammdaten!E$18,IF(AI54&lt;Bewertung_Stammdaten!F$19,Bewertung_Stammdaten!E$19,Bewertung_Stammdaten!E$20)))))))))</f>
        <v>3</v>
      </c>
      <c r="AM54" s="49"/>
      <c r="AN54" s="13">
        <f>VLOOKUP(A54,Aktien_im_Umlauf_splitbereinigt!A3:W68,13,FALSE)</f>
        <v>0</v>
      </c>
      <c r="AO54" s="13">
        <f>VLOOKUP(A54,Aktien_im_Umlauf_splitbereinigt!A3:W68,22,FALSE)</f>
        <v>4.444444444444446E-2</v>
      </c>
      <c r="AP54" s="13">
        <f>VLOOKUP(A54,Aktien_im_Umlauf_splitbereinigt!A3:W68,23,FALSE)</f>
        <v>-99.999989999999997</v>
      </c>
      <c r="AQ54" s="47">
        <f>IF(AN54&lt;Bewertung_Stammdaten!J$24,Bewertung_Stammdaten!I$24,IF(AN54&lt;Bewertung_Stammdaten!J$25,Bewertung_Stammdaten!I$25,IF(AN54&lt;Bewertung_Stammdaten!J$26,Bewertung_Stammdaten!I$26,IF(AN54&lt;Bewertung_Stammdaten!J$27,Bewertung_Stammdaten!I$27,IF(AN54&lt;Bewertung_Stammdaten!J$28,Bewertung_Stammdaten!I$28,IF(AN54&lt;Bewertung_Stammdaten!J$29,Bewertung_Stammdaten!I$29,IF(AN54&lt;Bewertung_Stammdaten!J$30,Bewertung_Stammdaten!I$30,IF(AN54&lt;Bewertung_Stammdaten!J$31,Bewertung_Stammdaten!I$31,IF(AN54&lt;Bewertung_Stammdaten!J$32,Bewertung_Stammdaten!I$32,Bewertung_Stammdaten!I$33)))))))))</f>
        <v>1</v>
      </c>
      <c r="AR54" s="47">
        <f>IF(AO54&lt;Bewertung_Stammdaten!L$24,Bewertung_Stammdaten!K$24,IF(AO54&lt;Bewertung_Stammdaten!L$25,Bewertung_Stammdaten!K$25,IF(AO54&lt;Bewertung_Stammdaten!L$26,Bewertung_Stammdaten!K$26,IF(AO54&lt;Bewertung_Stammdaten!L$27,Bewertung_Stammdaten!K$27,IF(AO54&lt;Bewertung_Stammdaten!L$28,Bewertung_Stammdaten!K$28,IF(AO54&lt;Bewertung_Stammdaten!L$29,Bewertung_Stammdaten!K$29,IF(AO54&lt;Bewertung_Stammdaten!L$30,Bewertung_Stammdaten!K$30,IF(AO54&lt;Bewertung_Stammdaten!L$31,Bewertung_Stammdaten!K$31,IF(AO54&lt;Bewertung_Stammdaten!L$32,Bewertung_Stammdaten!K$32,Bewertung_Stammdaten!K$33)))))))))</f>
        <v>0.5</v>
      </c>
      <c r="AS54" s="47">
        <f>IF(AP54&lt;Bewertung_Stammdaten!N$24,Bewertung_Stammdaten!M$24,IF(AP54&lt;Bewertung_Stammdaten!N$25,Bewertung_Stammdaten!M$25,IF(AP54&lt;Bewertung_Stammdaten!N$26,Bewertung_Stammdaten!M$26,IF(AP54&lt;Bewertung_Stammdaten!N$27,Bewertung_Stammdaten!M$27,IF(AP54&lt;Bewertung_Stammdaten!N$28,Bewertung_Stammdaten!M$28,IF(AP54&lt;Bewertung_Stammdaten!N$29,Bewertung_Stammdaten!M$29,IF(AP54&lt;Bewertung_Stammdaten!N$30,Bewertung_Stammdaten!M$30,IF(AP54&lt;Bewertung_Stammdaten!N$31,Bewertung_Stammdaten!M$31,IF(AP54&lt;Bewertung_Stammdaten!N$32,Bewertung_Stammdaten!M$32,Bewertung_Stammdaten!M$33)))))))))</f>
        <v>0.5</v>
      </c>
      <c r="AT54" s="49"/>
      <c r="AU54" s="13">
        <f ca="1">VLOOKUP(A54,Ausschüttungsquote!A3:S68,18,FALSE)</f>
        <v>0.49246954813845611</v>
      </c>
      <c r="AV54" s="13">
        <f>VLOOKUP(A54,Ausschüttungsquote!A3:S68,15,FALSE)</f>
        <v>0.38089605823261879</v>
      </c>
      <c r="AW54" s="13">
        <f ca="1">VLOOKUP(A54,Ausschüttungsquote!A3:S68,19,FALSE)</f>
        <v>0.29292371893672309</v>
      </c>
      <c r="AX54" s="36">
        <f ca="1">IF(AU54&lt;Bewertung_Stammdaten!H$11,Bewertung_Stammdaten!G$11,IF(AU54&lt;Bewertung_Stammdaten!H$12,Bewertung_Stammdaten!G$12,IF(AU54&lt;Bewertung_Stammdaten!H$13,Bewertung_Stammdaten!G$13,IF(AU54&lt;Bewertung_Stammdaten!H$14,Bewertung_Stammdaten!G$14,IF(AU54&lt;Bewertung_Stammdaten!H$15,Bewertung_Stammdaten!G$15,IF(AU54&lt;Bewertung_Stammdaten!H$16,Bewertung_Stammdaten!G$16,IF(AU54&lt;Bewertung_Stammdaten!H$17,Bewertung_Stammdaten!G$17,IF(AU54&lt;Bewertung_Stammdaten!H$18,Bewertung_Stammdaten!G$18,IF(AU54&lt;Bewertung_Stammdaten!H$19,Bewertung_Stammdaten!G$19,Bewertung_Stammdaten!G$20)))))))))</f>
        <v>4</v>
      </c>
      <c r="AY54" s="47">
        <f>IF(AV54&lt;Bewertung_Stammdaten!B$24,Bewertung_Stammdaten!A$24,IF(AV54&lt;Bewertung_Stammdaten!B$25,Bewertung_Stammdaten!A$25,IF(AV54&lt;Bewertung_Stammdaten!B$26,Bewertung_Stammdaten!A$26,IF(AV54&lt;Bewertung_Stammdaten!B$27,Bewertung_Stammdaten!A$27,IF(AV54&lt;Bewertung_Stammdaten!B$28,Bewertung_Stammdaten!A$28,IF(AV54&lt;Bewertung_Stammdaten!B$29,Bewertung_Stammdaten!A$29,IF(AV54&lt;Bewertung_Stammdaten!B$30,Bewertung_Stammdaten!A$30,IF(AV54&lt;Bewertung_Stammdaten!B$31,Bewertung_Stammdaten!A$31,IF(AV54&lt;Bewertung_Stammdaten!B$32,Bewertung_Stammdaten!A$32,Bewertung_Stammdaten!A$33)))))))))</f>
        <v>5</v>
      </c>
      <c r="AZ54" s="36">
        <f ca="1">IF(AW54&lt;Bewertung_Stammdaten!J$11,Bewertung_Stammdaten!I$11,IF(AW54&lt;Bewertung_Stammdaten!J$12,Bewertung_Stammdaten!I$12,IF(AW54&lt;Bewertung_Stammdaten!J$13,Bewertung_Stammdaten!I$13,IF(AW54&lt;Bewertung_Stammdaten!J$14,Bewertung_Stammdaten!I$14,IF(AW54&lt;Bewertung_Stammdaten!J$15,Bewertung_Stammdaten!I$15,IF(AW54&lt;Bewertung_Stammdaten!J$16,Bewertung_Stammdaten!I$16,IF(AW54&lt;Bewertung_Stammdaten!J$17,Bewertung_Stammdaten!I$17,IF(AW54&lt;Bewertung_Stammdaten!J$18,Bewertung_Stammdaten!I$18,IF(AW54&lt;Bewertung_Stammdaten!J$19,Bewertung_Stammdaten!I$19,Bewertung_Stammdaten!I$20)))))))))</f>
        <v>0.5</v>
      </c>
    </row>
    <row r="55" spans="1:52" x14ac:dyDescent="0.25">
      <c r="A55" s="44" t="s">
        <v>106</v>
      </c>
      <c r="B55" s="44" t="s">
        <v>107</v>
      </c>
      <c r="C55" s="36">
        <f t="shared" ca="1" si="7"/>
        <v>121.5</v>
      </c>
      <c r="D55" s="49"/>
      <c r="E55" s="12">
        <f ca="1">VLOOKUP(A55,KGV!A3:S68,18,FALSE)</f>
        <v>17.072499999999998</v>
      </c>
      <c r="F55" s="12">
        <f>VLOOKUP(A55,KGV!A3:S68,15,FALSE)</f>
        <v>20.7</v>
      </c>
      <c r="G55" s="13">
        <f ca="1">VLOOKUP(A55,KGV!A3:S68,19,FALSE)</f>
        <v>-0.17524154589371987</v>
      </c>
      <c r="H55" s="19">
        <f t="shared" ca="1" si="8"/>
        <v>19.511428571428571</v>
      </c>
      <c r="I55" s="13">
        <f t="shared" ca="1" si="9"/>
        <v>-5.7418909592822587E-2</v>
      </c>
      <c r="J55" s="36">
        <f ca="1">IF(G55&lt;Bewertung_Stammdaten!B$11,Bewertung_Stammdaten!A$11,IF(G55&lt;Bewertung_Stammdaten!B$12,Bewertung_Stammdaten!A$12,IF(G55&lt;Bewertung_Stammdaten!B$13,Bewertung_Stammdaten!A$13,IF(G55&lt;Bewertung_Stammdaten!B$14,Bewertung_Stammdaten!A$14,IF(G55&lt;Bewertung_Stammdaten!B$15,Bewertung_Stammdaten!A$15,IF(G55&lt;Bewertung_Stammdaten!B$16,Bewertung_Stammdaten!A$16,IF(G55&lt;Bewertung_Stammdaten!B$17,Bewertung_Stammdaten!A$17,IF(G55&lt;Bewertung_Stammdaten!B$18,Bewertung_Stammdaten!A$18,IF(G55&lt;Bewertung_Stammdaten!B$19,Bewertung_Stammdaten!A$19,Bewertung_Stammdaten!A$20)))))))))</f>
        <v>18</v>
      </c>
      <c r="K55" s="36">
        <f ca="1">IF(I55&lt;Bewertung_Stammdaten!N$11,Bewertung_Stammdaten!M$11,IF(I55&lt;Bewertung_Stammdaten!N$12,Bewertung_Stammdaten!M$12,IF(I55&lt;Bewertung_Stammdaten!N$13,Bewertung_Stammdaten!M$13,IF(I55&lt;Bewertung_Stammdaten!N$14,Bewertung_Stammdaten!M$14,IF(I55&lt;Bewertung_Stammdaten!N$15,Bewertung_Stammdaten!M$15,IF(I55&lt;Bewertung_Stammdaten!N$16,Bewertung_Stammdaten!M$16,IF(I55&lt;Bewertung_Stammdaten!N$17,Bewertung_Stammdaten!M$17,IF(I55&lt;Bewertung_Stammdaten!N$18,Bewertung_Stammdaten!M$18,IF(I55&lt;Bewertung_Stammdaten!N$19,Bewertung_Stammdaten!M$19,Bewertung_Stammdaten!M$20)))))))))</f>
        <v>7</v>
      </c>
      <c r="L55" s="49"/>
      <c r="M55" s="12">
        <f ca="1">VLOOKUP(A55,Buchwert_je_Aktie!A3:AC68,18,FALSE)</f>
        <v>116.425</v>
      </c>
      <c r="N55" s="12">
        <f>VLOOKUP(A55,Buchwert_je_Aktie!A3:AC68,15,FALSE)</f>
        <v>71.301999999999992</v>
      </c>
      <c r="O55" s="13">
        <f ca="1">VLOOKUP(A55,Buchwert_je_Aktie!A3:AC68,19,FALSE)</f>
        <v>0.63284339850214599</v>
      </c>
      <c r="P55" s="13">
        <f>VLOOKUP(A55,Buchwert_je_Aktie!A3:AC68,29,FALSE)</f>
        <v>1.0547263681591978E-2</v>
      </c>
      <c r="Q55" s="19">
        <f t="shared" ca="1" si="6"/>
        <v>116.425</v>
      </c>
      <c r="R55" s="13">
        <f t="shared" ca="1" si="3"/>
        <v>0.63284339850214599</v>
      </c>
      <c r="S55" s="58">
        <f ca="1">IF(O55&lt;Bewertung_Stammdaten!D$24,Bewertung_Stammdaten!C$24,IF(O55&lt;Bewertung_Stammdaten!D$25,Bewertung_Stammdaten!C$25,IF(O55&lt;Bewertung_Stammdaten!D$26,Bewertung_Stammdaten!C$26,IF(O55&lt;Bewertung_Stammdaten!D$27,Bewertung_Stammdaten!C$27,IF(O55&lt;Bewertung_Stammdaten!D$28,Bewertung_Stammdaten!C$28,IF(O55&lt;Bewertung_Stammdaten!D$29,Bewertung_Stammdaten!C$29,IF(O55&lt;Bewertung_Stammdaten!D$30,Bewertung_Stammdaten!C$30,IF(O55&lt;Bewertung_Stammdaten!D$31,Bewertung_Stammdaten!C$31,IF(O55&lt;Bewertung_Stammdaten!D$32,Bewertung_Stammdaten!C$32,Bewertung_Stammdaten!C$33)))))))))</f>
        <v>16</v>
      </c>
      <c r="T55" s="58">
        <f>IF(P55&lt;Bewertung_Stammdaten!F$24,Bewertung_Stammdaten!E$24,IF(P55&lt;Bewertung_Stammdaten!F$25,Bewertung_Stammdaten!E$25,IF(P55&lt;Bewertung_Stammdaten!F$26,Bewertung_Stammdaten!E$26,IF(P55&lt;Bewertung_Stammdaten!F$27,Bewertung_Stammdaten!E$27,IF(P55&lt;Bewertung_Stammdaten!F$28,Bewertung_Stammdaten!E$28,IF(P55&lt;Bewertung_Stammdaten!F$29,Bewertung_Stammdaten!E$29,IF(P55&lt;Bewertung_Stammdaten!F$30,Bewertung_Stammdaten!E$30,IF(P55&lt;Bewertung_Stammdaten!F$31,Bewertung_Stammdaten!E$31,IF(P55&lt;Bewertung_Stammdaten!F$32,Bewertung_Stammdaten!E$32,Bewertung_Stammdaten!E$33)))))))))</f>
        <v>12</v>
      </c>
      <c r="U55" s="58">
        <f ca="1">IF(R55&lt;Bewertung_Stammdaten!H$24,Bewertung_Stammdaten!G$24,IF(R55&lt;Bewertung_Stammdaten!H$25,Bewertung_Stammdaten!G$25,IF(R55&lt;Bewertung_Stammdaten!H$26,Bewertung_Stammdaten!G$26,IF(R55&lt;Bewertung_Stammdaten!H$27,Bewertung_Stammdaten!G$27,IF(R55&lt;Bewertung_Stammdaten!H$28,Bewertung_Stammdaten!G$28,IF(R55&lt;Bewertung_Stammdaten!H$29,Bewertung_Stammdaten!G$29,IF(R55&lt;Bewertung_Stammdaten!H$30,Bewertung_Stammdaten!G$30,IF(R55&lt;Bewertung_Stammdaten!H$31,Bewertung_Stammdaten!G$31,IF(R55&lt;Bewertung_Stammdaten!H$32,Bewertung_Stammdaten!G$32,Bewertung_Stammdaten!G$33)))))))))</f>
        <v>8</v>
      </c>
      <c r="V55" s="49"/>
      <c r="W55" s="17">
        <f ca="1">VLOOKUP(A55,Ergebnis_je_Aktie_verwässert!A3:S68,18,FALSE)</f>
        <v>21.289166666666667</v>
      </c>
      <c r="X55" s="17">
        <f>VLOOKUP(A55,Ergebnis_je_Aktie_verwässert!A3:S68,15,FALSE)</f>
        <v>12.788999999999998</v>
      </c>
      <c r="Y55" s="13">
        <f ca="1">VLOOKUP(A55,Ergebnis_je_Aktie_verwässert!A3:S68,19,FALSE)</f>
        <v>0.6646467015925146</v>
      </c>
      <c r="Z55" s="46">
        <f>VLOOKUP(A55,Ergebnis_je_Aktie_verwässert!A3:AC68,29,FALSE)</f>
        <v>-0.125</v>
      </c>
      <c r="AA55" s="19">
        <f t="shared" ca="1" si="10"/>
        <v>18.628020833333334</v>
      </c>
      <c r="AB55" s="13">
        <f t="shared" ca="1" si="11"/>
        <v>0.45656586389345044</v>
      </c>
      <c r="AC55" s="36">
        <f ca="1">IF(Y55&lt;Bewertung_Stammdaten!L$11,Bewertung_Stammdaten!K$11,IF(Y55&lt;Bewertung_Stammdaten!L$12,Bewertung_Stammdaten!K$12,IF(Y55&lt;Bewertung_Stammdaten!L$13,Bewertung_Stammdaten!K$13,IF(Y55&lt;Bewertung_Stammdaten!L$14,Bewertung_Stammdaten!K$14,IF(Y55&lt;Bewertung_Stammdaten!L$15,Bewertung_Stammdaten!K$15,IF(Y55&lt;Bewertung_Stammdaten!L$16,Bewertung_Stammdaten!K$16,IF(Y55&lt;Bewertung_Stammdaten!L$17,Bewertung_Stammdaten!K$17,IF(Y55&lt;Bewertung_Stammdaten!L$18,Bewertung_Stammdaten!K$18,IF(Y55&lt;Bewertung_Stammdaten!L$19,Bewertung_Stammdaten!K$19,Bewertung_Stammdaten!K$20)))))))))</f>
        <v>16</v>
      </c>
      <c r="AD55" s="36">
        <f>IF(Z55&lt;Bewertung_Stammdaten!R$11,Bewertung_Stammdaten!Q$11,IF(Z55&lt;Bewertung_Stammdaten!R$12,Bewertung_Stammdaten!Q$12,IF(Z55&lt;Bewertung_Stammdaten!R$13,Bewertung_Stammdaten!Q$13,IF(Z55&lt;Bewertung_Stammdaten!R$14,Bewertung_Stammdaten!Q$14,IF(Z55&lt;Bewertung_Stammdaten!R$15,Bewertung_Stammdaten!Q$15,IF(Z55&lt;Bewertung_Stammdaten!R$16,Bewertung_Stammdaten!Q$16,IF(Z55&lt;Bewertung_Stammdaten!R$17,Bewertung_Stammdaten!Q$17,IF(Z55&lt;Bewertung_Stammdaten!R$18,Bewertung_Stammdaten!Q$18,IF(Z55&lt;Bewertung_Stammdaten!R$19,Bewertung_Stammdaten!Q$19,Bewertung_Stammdaten!Q$20)))))))))</f>
        <v>6</v>
      </c>
      <c r="AE55" s="36">
        <f ca="1">IF(AB55&lt;Bewertung_Stammdaten!P$11,Bewertung_Stammdaten!O$11,IF(AB55&lt;Bewertung_Stammdaten!P$12,Bewertung_Stammdaten!O$12,IF(AB55&lt;Bewertung_Stammdaten!P$13,Bewertung_Stammdaten!O$13,IF(AB55&lt;Bewertung_Stammdaten!P$14,Bewertung_Stammdaten!O$14,IF(AB55&lt;Bewertung_Stammdaten!P$15,Bewertung_Stammdaten!O$15,IF(AB55&lt;Bewertung_Stammdaten!P$16,Bewertung_Stammdaten!O$16,IF(AB55&lt;Bewertung_Stammdaten!P$17,Bewertung_Stammdaten!O$17,IF(AB55&lt;Bewertung_Stammdaten!P$18,Bewertung_Stammdaten!O$18,IF(AB55&lt;Bewertung_Stammdaten!P$19,Bewertung_Stammdaten!O$19,Bewertung_Stammdaten!O$20)))))))))</f>
        <v>6</v>
      </c>
      <c r="AF55" s="49"/>
      <c r="AG55" s="13">
        <f ca="1">VLOOKUP(A55,Dividendenrendite!A3:S68,18,FALSE)</f>
        <v>3.3828888888888888E-2</v>
      </c>
      <c r="AH55" s="13">
        <f>VLOOKUP(A55,Dividendenrendite!A3:S68,15,FALSE)</f>
        <v>1.882E-2</v>
      </c>
      <c r="AI55" s="13">
        <f ca="1">VLOOKUP(A55,Dividendenrendite!A3:S68,19,FALSE)</f>
        <v>0.79749675286338406</v>
      </c>
      <c r="AJ55" s="36">
        <f ca="1">IF(AG55&lt;Bewertung_Stammdaten!D$11,Bewertung_Stammdaten!C$11,IF(AG55&lt;Bewertung_Stammdaten!D$12,Bewertung_Stammdaten!C$12,IF(AG55&lt;Bewertung_Stammdaten!D$13,Bewertung_Stammdaten!C$13,IF(AG55&lt;Bewertung_Stammdaten!D$14,Bewertung_Stammdaten!C$14,IF(AG55&lt;Bewertung_Stammdaten!D$15,Bewertung_Stammdaten!C$15,IF(AG55&lt;Bewertung_Stammdaten!D$16,Bewertung_Stammdaten!C$16,IF(AG55&lt;Bewertung_Stammdaten!D$17,Bewertung_Stammdaten!C$17,IF(AG55&lt;Bewertung_Stammdaten!D$18,Bewertung_Stammdaten!C$18,IF(AG55&lt;Bewertung_Stammdaten!D$19,Bewertung_Stammdaten!C$19,Bewertung_Stammdaten!C$20)))))))))</f>
        <v>10.5</v>
      </c>
      <c r="AK55" s="36">
        <f>IF(AH55&lt;Bewertung_Stammdaten!T$11,Bewertung_Stammdaten!S$11,IF(AH55&lt;Bewertung_Stammdaten!T$12,Bewertung_Stammdaten!S$12,IF(AH55&lt;Bewertung_Stammdaten!T$13,Bewertung_Stammdaten!S$13,IF(AH55&lt;Bewertung_Stammdaten!T$14,Bewertung_Stammdaten!S$14,IF(AH55&lt;Bewertung_Stammdaten!T$15,Bewertung_Stammdaten!S$15,IF(AH55&lt;Bewertung_Stammdaten!T$16,Bewertung_Stammdaten!S$16,IF(AH55&lt;Bewertung_Stammdaten!T$17,Bewertung_Stammdaten!S$17,IF(AH55&lt;Bewertung_Stammdaten!T$18,Bewertung_Stammdaten!S$18,IF(AH55&lt;Bewertung_Stammdaten!T$19,Bewertung_Stammdaten!S$19,Bewertung_Stammdaten!S$20)))))))))</f>
        <v>4</v>
      </c>
      <c r="AL55" s="36">
        <f ca="1">IF(AI55&lt;Bewertung_Stammdaten!F$11,Bewertung_Stammdaten!E$11,IF(AI55&lt;Bewertung_Stammdaten!F$12,Bewertung_Stammdaten!E$12,IF(AI55&lt;Bewertung_Stammdaten!F$13,Bewertung_Stammdaten!E$13,IF(AI55&lt;Bewertung_Stammdaten!F$14,Bewertung_Stammdaten!E$14,IF(AI55&lt;Bewertung_Stammdaten!F$15,Bewertung_Stammdaten!E$15,IF(AI55&lt;Bewertung_Stammdaten!F$16,Bewertung_Stammdaten!E$16,IF(AI55&lt;Bewertung_Stammdaten!F$17,Bewertung_Stammdaten!E$17,IF(AI55&lt;Bewertung_Stammdaten!F$18,Bewertung_Stammdaten!E$18,IF(AI55&lt;Bewertung_Stammdaten!F$19,Bewertung_Stammdaten!E$19,Bewertung_Stammdaten!E$20)))))))))</f>
        <v>5</v>
      </c>
      <c r="AM55" s="49"/>
      <c r="AN55" s="13">
        <f>VLOOKUP(A55,Aktien_im_Umlauf_splitbereinigt!A3:W68,13,FALSE)</f>
        <v>1.0900370612598742E-4</v>
      </c>
      <c r="AO55" s="13">
        <f>VLOOKUP(A55,Aktien_im_Umlauf_splitbereinigt!A3:W68,22,FALSE)</f>
        <v>-2.233431942083006E-2</v>
      </c>
      <c r="AP55" s="13">
        <f>VLOOKUP(A55,Aktien_im_Umlauf_splitbereinigt!A3:W68,23,FALSE)</f>
        <v>-1.0048805474692157</v>
      </c>
      <c r="AQ55" s="47">
        <f>IF(AN55&lt;Bewertung_Stammdaten!J$24,Bewertung_Stammdaten!I$24,IF(AN55&lt;Bewertung_Stammdaten!J$25,Bewertung_Stammdaten!I$25,IF(AN55&lt;Bewertung_Stammdaten!J$26,Bewertung_Stammdaten!I$26,IF(AN55&lt;Bewertung_Stammdaten!J$27,Bewertung_Stammdaten!I$27,IF(AN55&lt;Bewertung_Stammdaten!J$28,Bewertung_Stammdaten!I$28,IF(AN55&lt;Bewertung_Stammdaten!J$29,Bewertung_Stammdaten!I$29,IF(AN55&lt;Bewertung_Stammdaten!J$30,Bewertung_Stammdaten!I$30,IF(AN55&lt;Bewertung_Stammdaten!J$31,Bewertung_Stammdaten!I$31,IF(AN55&lt;Bewertung_Stammdaten!J$32,Bewertung_Stammdaten!I$32,Bewertung_Stammdaten!I$33)))))))))</f>
        <v>1</v>
      </c>
      <c r="AR55" s="47">
        <f>IF(AO55&lt;Bewertung_Stammdaten!L$24,Bewertung_Stammdaten!K$24,IF(AO55&lt;Bewertung_Stammdaten!L$25,Bewertung_Stammdaten!K$25,IF(AO55&lt;Bewertung_Stammdaten!L$26,Bewertung_Stammdaten!K$26,IF(AO55&lt;Bewertung_Stammdaten!L$27,Bewertung_Stammdaten!K$27,IF(AO55&lt;Bewertung_Stammdaten!L$28,Bewertung_Stammdaten!K$28,IF(AO55&lt;Bewertung_Stammdaten!L$29,Bewertung_Stammdaten!K$29,IF(AO55&lt;Bewertung_Stammdaten!L$30,Bewertung_Stammdaten!K$30,IF(AO55&lt;Bewertung_Stammdaten!L$31,Bewertung_Stammdaten!K$31,IF(AO55&lt;Bewertung_Stammdaten!L$32,Bewertung_Stammdaten!K$32,Bewertung_Stammdaten!K$33)))))))))</f>
        <v>3.5</v>
      </c>
      <c r="AS55" s="47">
        <f>IF(AP55&lt;Bewertung_Stammdaten!N$24,Bewertung_Stammdaten!M$24,IF(AP55&lt;Bewertung_Stammdaten!N$25,Bewertung_Stammdaten!M$25,IF(AP55&lt;Bewertung_Stammdaten!N$26,Bewertung_Stammdaten!M$26,IF(AP55&lt;Bewertung_Stammdaten!N$27,Bewertung_Stammdaten!M$27,IF(AP55&lt;Bewertung_Stammdaten!N$28,Bewertung_Stammdaten!M$28,IF(AP55&lt;Bewertung_Stammdaten!N$29,Bewertung_Stammdaten!M$29,IF(AP55&lt;Bewertung_Stammdaten!N$30,Bewertung_Stammdaten!M$30,IF(AP55&lt;Bewertung_Stammdaten!N$31,Bewertung_Stammdaten!M$31,IF(AP55&lt;Bewertung_Stammdaten!N$32,Bewertung_Stammdaten!M$32,Bewertung_Stammdaten!M$33)))))))))</f>
        <v>1</v>
      </c>
      <c r="AT55" s="49"/>
      <c r="AU55" s="13">
        <f ca="1">VLOOKUP(A55,Ausschüttungsquote!A3:S68,18,FALSE)</f>
        <v>0.57747406779056554</v>
      </c>
      <c r="AV55" s="13">
        <f>VLOOKUP(A55,Ausschüttungsquote!A3:S68,15,FALSE)</f>
        <v>0.46712699235247507</v>
      </c>
      <c r="AW55" s="13">
        <f ca="1">VLOOKUP(A55,Ausschüttungsquote!A3:S68,19,FALSE)</f>
        <v>0.23622500357424658</v>
      </c>
      <c r="AX55" s="36">
        <f ca="1">IF(AU55&lt;Bewertung_Stammdaten!H$11,Bewertung_Stammdaten!G$11,IF(AU55&lt;Bewertung_Stammdaten!H$12,Bewertung_Stammdaten!G$12,IF(AU55&lt;Bewertung_Stammdaten!H$13,Bewertung_Stammdaten!G$13,IF(AU55&lt;Bewertung_Stammdaten!H$14,Bewertung_Stammdaten!G$14,IF(AU55&lt;Bewertung_Stammdaten!H$15,Bewertung_Stammdaten!G$15,IF(AU55&lt;Bewertung_Stammdaten!H$16,Bewertung_Stammdaten!G$16,IF(AU55&lt;Bewertung_Stammdaten!H$17,Bewertung_Stammdaten!G$17,IF(AU55&lt;Bewertung_Stammdaten!H$18,Bewertung_Stammdaten!G$18,IF(AU55&lt;Bewertung_Stammdaten!H$19,Bewertung_Stammdaten!G$19,Bewertung_Stammdaten!G$20)))))))))</f>
        <v>3</v>
      </c>
      <c r="AY55" s="47">
        <f>IF(AV55&lt;Bewertung_Stammdaten!B$24,Bewertung_Stammdaten!A$24,IF(AV55&lt;Bewertung_Stammdaten!B$25,Bewertung_Stammdaten!A$25,IF(AV55&lt;Bewertung_Stammdaten!B$26,Bewertung_Stammdaten!A$26,IF(AV55&lt;Bewertung_Stammdaten!B$27,Bewertung_Stammdaten!A$27,IF(AV55&lt;Bewertung_Stammdaten!B$28,Bewertung_Stammdaten!A$28,IF(AV55&lt;Bewertung_Stammdaten!B$29,Bewertung_Stammdaten!A$29,IF(AV55&lt;Bewertung_Stammdaten!B$30,Bewertung_Stammdaten!A$30,IF(AV55&lt;Bewertung_Stammdaten!B$31,Bewertung_Stammdaten!A$31,IF(AV55&lt;Bewertung_Stammdaten!B$32,Bewertung_Stammdaten!A$32,Bewertung_Stammdaten!A$33)))))))))</f>
        <v>4</v>
      </c>
      <c r="AZ55" s="36">
        <f ca="1">IF(AW55&lt;Bewertung_Stammdaten!J$11,Bewertung_Stammdaten!I$11,IF(AW55&lt;Bewertung_Stammdaten!J$12,Bewertung_Stammdaten!I$12,IF(AW55&lt;Bewertung_Stammdaten!J$13,Bewertung_Stammdaten!I$13,IF(AW55&lt;Bewertung_Stammdaten!J$14,Bewertung_Stammdaten!I$14,IF(AW55&lt;Bewertung_Stammdaten!J$15,Bewertung_Stammdaten!I$15,IF(AW55&lt;Bewertung_Stammdaten!J$16,Bewertung_Stammdaten!I$16,IF(AW55&lt;Bewertung_Stammdaten!J$17,Bewertung_Stammdaten!I$17,IF(AW55&lt;Bewertung_Stammdaten!J$18,Bewertung_Stammdaten!I$18,IF(AW55&lt;Bewertung_Stammdaten!J$19,Bewertung_Stammdaten!I$19,Bewertung_Stammdaten!I$20)))))))))</f>
        <v>0.5</v>
      </c>
    </row>
    <row r="56" spans="1:52" x14ac:dyDescent="0.25">
      <c r="A56" s="44" t="s">
        <v>108</v>
      </c>
      <c r="B56" s="44" t="s">
        <v>109</v>
      </c>
      <c r="C56" s="36">
        <f t="shared" ca="1" si="7"/>
        <v>99</v>
      </c>
      <c r="D56" s="49"/>
      <c r="E56" s="12">
        <f ca="1">VLOOKUP(A56,KGV!A3:S68,18,FALSE)</f>
        <v>19.575277777777778</v>
      </c>
      <c r="F56" s="12">
        <f>VLOOKUP(A56,KGV!A3:S68,15,FALSE)</f>
        <v>17.899999999999999</v>
      </c>
      <c r="G56" s="13">
        <f ca="1">VLOOKUP(A56,KGV!A3:S68,19,FALSE)</f>
        <v>9.3590937306021305E-2</v>
      </c>
      <c r="H56" s="19">
        <f t="shared" ca="1" si="8"/>
        <v>39.5700257936508</v>
      </c>
      <c r="I56" s="13">
        <f t="shared" ca="1" si="9"/>
        <v>1.2106159661257432</v>
      </c>
      <c r="J56" s="36">
        <f ca="1">IF(G56&lt;Bewertung_Stammdaten!B$11,Bewertung_Stammdaten!A$11,IF(G56&lt;Bewertung_Stammdaten!B$12,Bewertung_Stammdaten!A$12,IF(G56&lt;Bewertung_Stammdaten!B$13,Bewertung_Stammdaten!A$13,IF(G56&lt;Bewertung_Stammdaten!B$14,Bewertung_Stammdaten!A$14,IF(G56&lt;Bewertung_Stammdaten!B$15,Bewertung_Stammdaten!A$15,IF(G56&lt;Bewertung_Stammdaten!B$16,Bewertung_Stammdaten!A$16,IF(G56&lt;Bewertung_Stammdaten!B$17,Bewertung_Stammdaten!A$17,IF(G56&lt;Bewertung_Stammdaten!B$18,Bewertung_Stammdaten!A$18,IF(G56&lt;Bewertung_Stammdaten!B$19,Bewertung_Stammdaten!A$19,Bewertung_Stammdaten!A$20)))))))))</f>
        <v>8</v>
      </c>
      <c r="K56" s="36">
        <f ca="1">IF(I56&lt;Bewertung_Stammdaten!N$11,Bewertung_Stammdaten!M$11,IF(I56&lt;Bewertung_Stammdaten!N$12,Bewertung_Stammdaten!M$12,IF(I56&lt;Bewertung_Stammdaten!N$13,Bewertung_Stammdaten!M$13,IF(I56&lt;Bewertung_Stammdaten!N$14,Bewertung_Stammdaten!M$14,IF(I56&lt;Bewertung_Stammdaten!N$15,Bewertung_Stammdaten!M$15,IF(I56&lt;Bewertung_Stammdaten!N$16,Bewertung_Stammdaten!M$16,IF(I56&lt;Bewertung_Stammdaten!N$17,Bewertung_Stammdaten!M$17,IF(I56&lt;Bewertung_Stammdaten!N$18,Bewertung_Stammdaten!M$18,IF(I56&lt;Bewertung_Stammdaten!N$19,Bewertung_Stammdaten!M$19,Bewertung_Stammdaten!M$20)))))))))</f>
        <v>1</v>
      </c>
      <c r="L56" s="49"/>
      <c r="M56" s="12">
        <f ca="1">VLOOKUP(A56,Buchwert_je_Aktie!A3:AC68,18,FALSE)</f>
        <v>31.609722222222221</v>
      </c>
      <c r="N56" s="12">
        <f>VLOOKUP(A56,Buchwert_je_Aktie!A3:AC68,15,FALSE)</f>
        <v>16.145000000000003</v>
      </c>
      <c r="O56" s="13">
        <f ca="1">VLOOKUP(A56,Buchwert_je_Aktie!A3:AC68,19,FALSE)</f>
        <v>0.95786449193076595</v>
      </c>
      <c r="P56" s="13">
        <f>VLOOKUP(A56,Buchwert_je_Aktie!A3:AC68,29,FALSE)</f>
        <v>1.3404825737264314E-3</v>
      </c>
      <c r="Q56" s="19">
        <f t="shared" ca="1" si="6"/>
        <v>31.609722222222221</v>
      </c>
      <c r="R56" s="13">
        <f t="shared" ca="1" si="3"/>
        <v>0.95786449193076595</v>
      </c>
      <c r="S56" s="58">
        <f ca="1">IF(O56&lt;Bewertung_Stammdaten!D$24,Bewertung_Stammdaten!C$24,IF(O56&lt;Bewertung_Stammdaten!D$25,Bewertung_Stammdaten!C$25,IF(O56&lt;Bewertung_Stammdaten!D$26,Bewertung_Stammdaten!C$26,IF(O56&lt;Bewertung_Stammdaten!D$27,Bewertung_Stammdaten!C$27,IF(O56&lt;Bewertung_Stammdaten!D$28,Bewertung_Stammdaten!C$28,IF(O56&lt;Bewertung_Stammdaten!D$29,Bewertung_Stammdaten!C$29,IF(O56&lt;Bewertung_Stammdaten!D$30,Bewertung_Stammdaten!C$30,IF(O56&lt;Bewertung_Stammdaten!D$31,Bewertung_Stammdaten!C$31,IF(O56&lt;Bewertung_Stammdaten!D$32,Bewertung_Stammdaten!C$32,Bewertung_Stammdaten!C$33)))))))))</f>
        <v>20</v>
      </c>
      <c r="T56" s="58">
        <f>IF(P56&lt;Bewertung_Stammdaten!F$24,Bewertung_Stammdaten!E$24,IF(P56&lt;Bewertung_Stammdaten!F$25,Bewertung_Stammdaten!E$25,IF(P56&lt;Bewertung_Stammdaten!F$26,Bewertung_Stammdaten!E$26,IF(P56&lt;Bewertung_Stammdaten!F$27,Bewertung_Stammdaten!E$27,IF(P56&lt;Bewertung_Stammdaten!F$28,Bewertung_Stammdaten!E$28,IF(P56&lt;Bewertung_Stammdaten!F$29,Bewertung_Stammdaten!E$29,IF(P56&lt;Bewertung_Stammdaten!F$30,Bewertung_Stammdaten!E$30,IF(P56&lt;Bewertung_Stammdaten!F$31,Bewertung_Stammdaten!E$31,IF(P56&lt;Bewertung_Stammdaten!F$32,Bewertung_Stammdaten!E$32,Bewertung_Stammdaten!E$33)))))))))</f>
        <v>12</v>
      </c>
      <c r="U56" s="58">
        <f ca="1">IF(R56&lt;Bewertung_Stammdaten!H$24,Bewertung_Stammdaten!G$24,IF(R56&lt;Bewertung_Stammdaten!H$25,Bewertung_Stammdaten!G$25,IF(R56&lt;Bewertung_Stammdaten!H$26,Bewertung_Stammdaten!G$26,IF(R56&lt;Bewertung_Stammdaten!H$27,Bewertung_Stammdaten!G$27,IF(R56&lt;Bewertung_Stammdaten!H$28,Bewertung_Stammdaten!G$28,IF(R56&lt;Bewertung_Stammdaten!H$29,Bewertung_Stammdaten!G$29,IF(R56&lt;Bewertung_Stammdaten!H$30,Bewertung_Stammdaten!G$30,IF(R56&lt;Bewertung_Stammdaten!H$31,Bewertung_Stammdaten!G$31,IF(R56&lt;Bewertung_Stammdaten!H$32,Bewertung_Stammdaten!G$32,Bewertung_Stammdaten!G$33)))))))))</f>
        <v>10</v>
      </c>
      <c r="V56" s="49"/>
      <c r="W56" s="17">
        <f ca="1">VLOOKUP(A56,Ergebnis_je_Aktie_verwässert!A3:S68,18,FALSE)</f>
        <v>4.3790555555555564</v>
      </c>
      <c r="X56" s="17">
        <f>VLOOKUP(A56,Ergebnis_je_Aktie_verwässert!A3:S68,15,FALSE)</f>
        <v>2.4359999999999999</v>
      </c>
      <c r="Y56" s="13">
        <f ca="1">VLOOKUP(A56,Ergebnis_je_Aktie_verwässert!A3:S68,19,FALSE)</f>
        <v>0.79764185367633678</v>
      </c>
      <c r="Z56" s="46">
        <f>VLOOKUP(A56,Ergebnis_je_Aktie_verwässert!A3:AC68,29,FALSE)</f>
        <v>-0.5053003533568905</v>
      </c>
      <c r="AA56" s="19">
        <f t="shared" ca="1" si="10"/>
        <v>2.1663172359638794</v>
      </c>
      <c r="AB56" s="13">
        <f t="shared" ca="1" si="11"/>
        <v>-0.11070721019545182</v>
      </c>
      <c r="AC56" s="36">
        <f ca="1">IF(Y56&lt;Bewertung_Stammdaten!L$11,Bewertung_Stammdaten!K$11,IF(Y56&lt;Bewertung_Stammdaten!L$12,Bewertung_Stammdaten!K$12,IF(Y56&lt;Bewertung_Stammdaten!L$13,Bewertung_Stammdaten!K$13,IF(Y56&lt;Bewertung_Stammdaten!L$14,Bewertung_Stammdaten!K$14,IF(Y56&lt;Bewertung_Stammdaten!L$15,Bewertung_Stammdaten!K$15,IF(Y56&lt;Bewertung_Stammdaten!L$16,Bewertung_Stammdaten!K$16,IF(Y56&lt;Bewertung_Stammdaten!L$17,Bewertung_Stammdaten!K$17,IF(Y56&lt;Bewertung_Stammdaten!L$18,Bewertung_Stammdaten!K$18,IF(Y56&lt;Bewertung_Stammdaten!L$19,Bewertung_Stammdaten!K$19,Bewertung_Stammdaten!K$20)))))))))</f>
        <v>18</v>
      </c>
      <c r="AD56" s="36">
        <f>IF(Z56&lt;Bewertung_Stammdaten!R$11,Bewertung_Stammdaten!Q$11,IF(Z56&lt;Bewertung_Stammdaten!R$12,Bewertung_Stammdaten!Q$12,IF(Z56&lt;Bewertung_Stammdaten!R$13,Bewertung_Stammdaten!Q$13,IF(Z56&lt;Bewertung_Stammdaten!R$14,Bewertung_Stammdaten!Q$14,IF(Z56&lt;Bewertung_Stammdaten!R$15,Bewertung_Stammdaten!Q$15,IF(Z56&lt;Bewertung_Stammdaten!R$16,Bewertung_Stammdaten!Q$16,IF(Z56&lt;Bewertung_Stammdaten!R$17,Bewertung_Stammdaten!Q$17,IF(Z56&lt;Bewertung_Stammdaten!R$18,Bewertung_Stammdaten!Q$18,IF(Z56&lt;Bewertung_Stammdaten!R$19,Bewertung_Stammdaten!Q$19,Bewertung_Stammdaten!Q$20)))))))))</f>
        <v>2</v>
      </c>
      <c r="AE56" s="36">
        <f ca="1">IF(AB56&lt;Bewertung_Stammdaten!P$11,Bewertung_Stammdaten!O$11,IF(AB56&lt;Bewertung_Stammdaten!P$12,Bewertung_Stammdaten!O$12,IF(AB56&lt;Bewertung_Stammdaten!P$13,Bewertung_Stammdaten!O$13,IF(AB56&lt;Bewertung_Stammdaten!P$14,Bewertung_Stammdaten!O$14,IF(AB56&lt;Bewertung_Stammdaten!P$15,Bewertung_Stammdaten!O$15,IF(AB56&lt;Bewertung_Stammdaten!P$16,Bewertung_Stammdaten!O$16,IF(AB56&lt;Bewertung_Stammdaten!P$17,Bewertung_Stammdaten!O$17,IF(AB56&lt;Bewertung_Stammdaten!P$18,Bewertung_Stammdaten!O$18,IF(AB56&lt;Bewertung_Stammdaten!P$19,Bewertung_Stammdaten!O$19,Bewertung_Stammdaten!O$20)))))))))</f>
        <v>1</v>
      </c>
      <c r="AF56" s="49"/>
      <c r="AG56" s="13">
        <f ca="1">VLOOKUP(A56,Dividendenrendite!A3:S68,18,FALSE)</f>
        <v>1.6204166666666665E-2</v>
      </c>
      <c r="AH56" s="13">
        <f>VLOOKUP(A56,Dividendenrendite!A3:S68,15,FALSE)</f>
        <v>1.6460000000000002E-2</v>
      </c>
      <c r="AI56" s="13">
        <f ca="1">VLOOKUP(A56,Dividendenrendite!A3:S68,19,FALSE)</f>
        <v>-1.5542729850141934E-2</v>
      </c>
      <c r="AJ56" s="36">
        <f ca="1">IF(AG56&lt;Bewertung_Stammdaten!D$11,Bewertung_Stammdaten!C$11,IF(AG56&lt;Bewertung_Stammdaten!D$12,Bewertung_Stammdaten!C$12,IF(AG56&lt;Bewertung_Stammdaten!D$13,Bewertung_Stammdaten!C$13,IF(AG56&lt;Bewertung_Stammdaten!D$14,Bewertung_Stammdaten!C$14,IF(AG56&lt;Bewertung_Stammdaten!D$15,Bewertung_Stammdaten!C$15,IF(AG56&lt;Bewertung_Stammdaten!D$16,Bewertung_Stammdaten!C$16,IF(AG56&lt;Bewertung_Stammdaten!D$17,Bewertung_Stammdaten!C$17,IF(AG56&lt;Bewertung_Stammdaten!D$18,Bewertung_Stammdaten!C$18,IF(AG56&lt;Bewertung_Stammdaten!D$19,Bewertung_Stammdaten!C$19,Bewertung_Stammdaten!C$20)))))))))</f>
        <v>6</v>
      </c>
      <c r="AK56" s="36">
        <f>IF(AH56&lt;Bewertung_Stammdaten!T$11,Bewertung_Stammdaten!S$11,IF(AH56&lt;Bewertung_Stammdaten!T$12,Bewertung_Stammdaten!S$12,IF(AH56&lt;Bewertung_Stammdaten!T$13,Bewertung_Stammdaten!S$13,IF(AH56&lt;Bewertung_Stammdaten!T$14,Bewertung_Stammdaten!S$14,IF(AH56&lt;Bewertung_Stammdaten!T$15,Bewertung_Stammdaten!S$15,IF(AH56&lt;Bewertung_Stammdaten!T$16,Bewertung_Stammdaten!S$16,IF(AH56&lt;Bewertung_Stammdaten!T$17,Bewertung_Stammdaten!S$17,IF(AH56&lt;Bewertung_Stammdaten!T$18,Bewertung_Stammdaten!S$18,IF(AH56&lt;Bewertung_Stammdaten!T$19,Bewertung_Stammdaten!S$19,Bewertung_Stammdaten!S$20)))))))))</f>
        <v>4</v>
      </c>
      <c r="AL56" s="36">
        <f ca="1">IF(AI56&lt;Bewertung_Stammdaten!F$11,Bewertung_Stammdaten!E$11,IF(AI56&lt;Bewertung_Stammdaten!F$12,Bewertung_Stammdaten!E$12,IF(AI56&lt;Bewertung_Stammdaten!F$13,Bewertung_Stammdaten!E$13,IF(AI56&lt;Bewertung_Stammdaten!F$14,Bewertung_Stammdaten!E$14,IF(AI56&lt;Bewertung_Stammdaten!F$15,Bewertung_Stammdaten!E$15,IF(AI56&lt;Bewertung_Stammdaten!F$16,Bewertung_Stammdaten!E$16,IF(AI56&lt;Bewertung_Stammdaten!F$17,Bewertung_Stammdaten!E$17,IF(AI56&lt;Bewertung_Stammdaten!F$18,Bewertung_Stammdaten!E$18,IF(AI56&lt;Bewertung_Stammdaten!F$19,Bewertung_Stammdaten!E$19,Bewertung_Stammdaten!E$20)))))))))</f>
        <v>2.5</v>
      </c>
      <c r="AM56" s="49"/>
      <c r="AN56" s="13">
        <f>VLOOKUP(A56,Aktien_im_Umlauf_splitbereinigt!A3:W68,13,FALSE)</f>
        <v>0</v>
      </c>
      <c r="AO56" s="13">
        <f>VLOOKUP(A56,Aktien_im_Umlauf_splitbereinigt!A3:W68,22,FALSE)</f>
        <v>-1.0147133434809971E-5</v>
      </c>
      <c r="AP56" s="13">
        <f>VLOOKUP(A56,Aktien_im_Umlauf_splitbereinigt!A3:W68,23,FALSE)</f>
        <v>-1</v>
      </c>
      <c r="AQ56" s="47">
        <f>IF(AN56&lt;Bewertung_Stammdaten!J$24,Bewertung_Stammdaten!I$24,IF(AN56&lt;Bewertung_Stammdaten!J$25,Bewertung_Stammdaten!I$25,IF(AN56&lt;Bewertung_Stammdaten!J$26,Bewertung_Stammdaten!I$26,IF(AN56&lt;Bewertung_Stammdaten!J$27,Bewertung_Stammdaten!I$27,IF(AN56&lt;Bewertung_Stammdaten!J$28,Bewertung_Stammdaten!I$28,IF(AN56&lt;Bewertung_Stammdaten!J$29,Bewertung_Stammdaten!I$29,IF(AN56&lt;Bewertung_Stammdaten!J$30,Bewertung_Stammdaten!I$30,IF(AN56&lt;Bewertung_Stammdaten!J$31,Bewertung_Stammdaten!I$31,IF(AN56&lt;Bewertung_Stammdaten!J$32,Bewertung_Stammdaten!I$32,Bewertung_Stammdaten!I$33)))))))))</f>
        <v>1</v>
      </c>
      <c r="AR56" s="47">
        <f>IF(AO56&lt;Bewertung_Stammdaten!L$24,Bewertung_Stammdaten!K$24,IF(AO56&lt;Bewertung_Stammdaten!L$25,Bewertung_Stammdaten!K$25,IF(AO56&lt;Bewertung_Stammdaten!L$26,Bewertung_Stammdaten!K$26,IF(AO56&lt;Bewertung_Stammdaten!L$27,Bewertung_Stammdaten!K$27,IF(AO56&lt;Bewertung_Stammdaten!L$28,Bewertung_Stammdaten!K$28,IF(AO56&lt;Bewertung_Stammdaten!L$29,Bewertung_Stammdaten!K$29,IF(AO56&lt;Bewertung_Stammdaten!L$30,Bewertung_Stammdaten!K$30,IF(AO56&lt;Bewertung_Stammdaten!L$31,Bewertung_Stammdaten!K$31,IF(AO56&lt;Bewertung_Stammdaten!L$32,Bewertung_Stammdaten!K$32,Bewertung_Stammdaten!K$33)))))))))</f>
        <v>1.5</v>
      </c>
      <c r="AS56" s="47">
        <f>IF(AP56&lt;Bewertung_Stammdaten!N$24,Bewertung_Stammdaten!M$24,IF(AP56&lt;Bewertung_Stammdaten!N$25,Bewertung_Stammdaten!M$25,IF(AP56&lt;Bewertung_Stammdaten!N$26,Bewertung_Stammdaten!M$26,IF(AP56&lt;Bewertung_Stammdaten!N$27,Bewertung_Stammdaten!M$27,IF(AP56&lt;Bewertung_Stammdaten!N$28,Bewertung_Stammdaten!M$28,IF(AP56&lt;Bewertung_Stammdaten!N$29,Bewertung_Stammdaten!M$29,IF(AP56&lt;Bewertung_Stammdaten!N$30,Bewertung_Stammdaten!M$30,IF(AP56&lt;Bewertung_Stammdaten!N$31,Bewertung_Stammdaten!M$31,IF(AP56&lt;Bewertung_Stammdaten!N$32,Bewertung_Stammdaten!M$32,Bewertung_Stammdaten!M$33)))))))))</f>
        <v>1</v>
      </c>
      <c r="AT56" s="49"/>
      <c r="AU56" s="13">
        <f ca="1">VLOOKUP(A56,Ausschüttungsquote!A3:S68,18,FALSE)</f>
        <v>0.3169996985735436</v>
      </c>
      <c r="AV56" s="13">
        <f>VLOOKUP(A56,Ausschüttungsquote!A3:S68,15,FALSE)</f>
        <v>0.27482754497426087</v>
      </c>
      <c r="AW56" s="13">
        <f ca="1">VLOOKUP(A56,Ausschüttungsquote!A3:S68,19,FALSE)</f>
        <v>0.1534495154160489</v>
      </c>
      <c r="AX56" s="36">
        <f ca="1">IF(AU56&lt;Bewertung_Stammdaten!H$11,Bewertung_Stammdaten!G$11,IF(AU56&lt;Bewertung_Stammdaten!H$12,Bewertung_Stammdaten!G$12,IF(AU56&lt;Bewertung_Stammdaten!H$13,Bewertung_Stammdaten!G$13,IF(AU56&lt;Bewertung_Stammdaten!H$14,Bewertung_Stammdaten!G$14,IF(AU56&lt;Bewertung_Stammdaten!H$15,Bewertung_Stammdaten!G$15,IF(AU56&lt;Bewertung_Stammdaten!H$16,Bewertung_Stammdaten!G$16,IF(AU56&lt;Bewertung_Stammdaten!H$17,Bewertung_Stammdaten!G$17,IF(AU56&lt;Bewertung_Stammdaten!H$18,Bewertung_Stammdaten!G$18,IF(AU56&lt;Bewertung_Stammdaten!H$19,Bewertung_Stammdaten!G$19,Bewertung_Stammdaten!G$20)))))))))</f>
        <v>5</v>
      </c>
      <c r="AY56" s="47">
        <f>IF(AV56&lt;Bewertung_Stammdaten!B$24,Bewertung_Stammdaten!A$24,IF(AV56&lt;Bewertung_Stammdaten!B$25,Bewertung_Stammdaten!A$25,IF(AV56&lt;Bewertung_Stammdaten!B$26,Bewertung_Stammdaten!A$26,IF(AV56&lt;Bewertung_Stammdaten!B$27,Bewertung_Stammdaten!A$27,IF(AV56&lt;Bewertung_Stammdaten!B$28,Bewertung_Stammdaten!A$28,IF(AV56&lt;Bewertung_Stammdaten!B$29,Bewertung_Stammdaten!A$29,IF(AV56&lt;Bewertung_Stammdaten!B$30,Bewertung_Stammdaten!A$30,IF(AV56&lt;Bewertung_Stammdaten!B$31,Bewertung_Stammdaten!A$31,IF(AV56&lt;Bewertung_Stammdaten!B$32,Bewertung_Stammdaten!A$32,Bewertung_Stammdaten!A$33)))))))))</f>
        <v>5</v>
      </c>
      <c r="AZ56" s="36">
        <f ca="1">IF(AW56&lt;Bewertung_Stammdaten!J$11,Bewertung_Stammdaten!I$11,IF(AW56&lt;Bewertung_Stammdaten!J$12,Bewertung_Stammdaten!I$12,IF(AW56&lt;Bewertung_Stammdaten!J$13,Bewertung_Stammdaten!I$13,IF(AW56&lt;Bewertung_Stammdaten!J$14,Bewertung_Stammdaten!I$14,IF(AW56&lt;Bewertung_Stammdaten!J$15,Bewertung_Stammdaten!I$15,IF(AW56&lt;Bewertung_Stammdaten!J$16,Bewertung_Stammdaten!I$16,IF(AW56&lt;Bewertung_Stammdaten!J$17,Bewertung_Stammdaten!I$17,IF(AW56&lt;Bewertung_Stammdaten!J$18,Bewertung_Stammdaten!I$18,IF(AW56&lt;Bewertung_Stammdaten!J$19,Bewertung_Stammdaten!I$19,Bewertung_Stammdaten!I$20)))))))))</f>
        <v>1</v>
      </c>
    </row>
    <row r="57" spans="1:52" x14ac:dyDescent="0.25">
      <c r="A57" s="44" t="s">
        <v>110</v>
      </c>
      <c r="B57" s="44" t="s">
        <v>111</v>
      </c>
      <c r="C57" s="36">
        <f t="shared" ca="1" si="7"/>
        <v>108.5</v>
      </c>
      <c r="D57" s="49"/>
      <c r="E57" s="12">
        <f ca="1">VLOOKUP(A57,KGV!A3:S68,18,FALSE)</f>
        <v>20.546666666666667</v>
      </c>
      <c r="F57" s="12">
        <f>VLOOKUP(A57,KGV!A3:S68,15,FALSE)</f>
        <v>22.75</v>
      </c>
      <c r="G57" s="13">
        <f ca="1">VLOOKUP(A57,KGV!A3:S68,19,FALSE)</f>
        <v>-9.6849816849816861E-2</v>
      </c>
      <c r="H57" s="19">
        <f t="shared" ca="1" si="8"/>
        <v>20.967212475633531</v>
      </c>
      <c r="I57" s="13">
        <f t="shared" ca="1" si="9"/>
        <v>-7.8364286785339354E-2</v>
      </c>
      <c r="J57" s="36">
        <f ca="1">IF(G57&lt;Bewertung_Stammdaten!B$11,Bewertung_Stammdaten!A$11,IF(G57&lt;Bewertung_Stammdaten!B$12,Bewertung_Stammdaten!A$12,IF(G57&lt;Bewertung_Stammdaten!B$13,Bewertung_Stammdaten!A$13,IF(G57&lt;Bewertung_Stammdaten!B$14,Bewertung_Stammdaten!A$14,IF(G57&lt;Bewertung_Stammdaten!B$15,Bewertung_Stammdaten!A$15,IF(G57&lt;Bewertung_Stammdaten!B$16,Bewertung_Stammdaten!A$16,IF(G57&lt;Bewertung_Stammdaten!B$17,Bewertung_Stammdaten!A$17,IF(G57&lt;Bewertung_Stammdaten!B$18,Bewertung_Stammdaten!A$18,IF(G57&lt;Bewertung_Stammdaten!B$19,Bewertung_Stammdaten!A$19,Bewertung_Stammdaten!A$20)))))))))</f>
        <v>14</v>
      </c>
      <c r="K57" s="36">
        <f ca="1">IF(I57&lt;Bewertung_Stammdaten!N$11,Bewertung_Stammdaten!M$11,IF(I57&lt;Bewertung_Stammdaten!N$12,Bewertung_Stammdaten!M$12,IF(I57&lt;Bewertung_Stammdaten!N$13,Bewertung_Stammdaten!M$13,IF(I57&lt;Bewertung_Stammdaten!N$14,Bewertung_Stammdaten!M$14,IF(I57&lt;Bewertung_Stammdaten!N$15,Bewertung_Stammdaten!M$15,IF(I57&lt;Bewertung_Stammdaten!N$16,Bewertung_Stammdaten!M$16,IF(I57&lt;Bewertung_Stammdaten!N$17,Bewertung_Stammdaten!M$17,IF(I57&lt;Bewertung_Stammdaten!N$18,Bewertung_Stammdaten!M$18,IF(I57&lt;Bewertung_Stammdaten!N$19,Bewertung_Stammdaten!M$19,Bewertung_Stammdaten!M$20)))))))))</f>
        <v>7</v>
      </c>
      <c r="L57" s="49"/>
      <c r="M57" s="12">
        <f ca="1">VLOOKUP(A57,Buchwert_je_Aktie!A3:AC68,18,FALSE)</f>
        <v>37.248055555555553</v>
      </c>
      <c r="N57" s="12">
        <f>VLOOKUP(A57,Buchwert_je_Aktie!A3:AC68,15,FALSE)</f>
        <v>25.088000000000001</v>
      </c>
      <c r="O57" s="13">
        <f ca="1">VLOOKUP(A57,Buchwert_je_Aktie!A3:AC68,19,FALSE)</f>
        <v>0.48469609197845798</v>
      </c>
      <c r="P57" s="13">
        <f>VLOOKUP(A57,Buchwert_je_Aktie!A3:AC68,29,FALSE)</f>
        <v>-0.10934664246823955</v>
      </c>
      <c r="Q57" s="19">
        <f t="shared" ca="1" si="6"/>
        <v>33.175105742085094</v>
      </c>
      <c r="R57" s="13">
        <f t="shared" ca="1" si="3"/>
        <v>0.32234955923489683</v>
      </c>
      <c r="S57" s="58">
        <f ca="1">IF(O57&lt;Bewertung_Stammdaten!D$24,Bewertung_Stammdaten!C$24,IF(O57&lt;Bewertung_Stammdaten!D$25,Bewertung_Stammdaten!C$25,IF(O57&lt;Bewertung_Stammdaten!D$26,Bewertung_Stammdaten!C$26,IF(O57&lt;Bewertung_Stammdaten!D$27,Bewertung_Stammdaten!C$27,IF(O57&lt;Bewertung_Stammdaten!D$28,Bewertung_Stammdaten!C$28,IF(O57&lt;Bewertung_Stammdaten!D$29,Bewertung_Stammdaten!C$29,IF(O57&lt;Bewertung_Stammdaten!D$30,Bewertung_Stammdaten!C$30,IF(O57&lt;Bewertung_Stammdaten!D$31,Bewertung_Stammdaten!C$31,IF(O57&lt;Bewertung_Stammdaten!D$32,Bewertung_Stammdaten!C$32,Bewertung_Stammdaten!C$33)))))))))</f>
        <v>12</v>
      </c>
      <c r="T57" s="58">
        <f>IF(P57&lt;Bewertung_Stammdaten!F$24,Bewertung_Stammdaten!E$24,IF(P57&lt;Bewertung_Stammdaten!F$25,Bewertung_Stammdaten!E$25,IF(P57&lt;Bewertung_Stammdaten!F$26,Bewertung_Stammdaten!E$26,IF(P57&lt;Bewertung_Stammdaten!F$27,Bewertung_Stammdaten!E$27,IF(P57&lt;Bewertung_Stammdaten!F$28,Bewertung_Stammdaten!E$28,IF(P57&lt;Bewertung_Stammdaten!F$29,Bewertung_Stammdaten!E$29,IF(P57&lt;Bewertung_Stammdaten!F$30,Bewertung_Stammdaten!E$30,IF(P57&lt;Bewertung_Stammdaten!F$31,Bewertung_Stammdaten!E$31,IF(P57&lt;Bewertung_Stammdaten!F$32,Bewertung_Stammdaten!E$32,Bewertung_Stammdaten!E$33)))))))))</f>
        <v>7.5</v>
      </c>
      <c r="U57" s="58">
        <f ca="1">IF(R57&lt;Bewertung_Stammdaten!H$24,Bewertung_Stammdaten!G$24,IF(R57&lt;Bewertung_Stammdaten!H$25,Bewertung_Stammdaten!G$25,IF(R57&lt;Bewertung_Stammdaten!H$26,Bewertung_Stammdaten!G$26,IF(R57&lt;Bewertung_Stammdaten!H$27,Bewertung_Stammdaten!G$27,IF(R57&lt;Bewertung_Stammdaten!H$28,Bewertung_Stammdaten!G$28,IF(R57&lt;Bewertung_Stammdaten!H$29,Bewertung_Stammdaten!G$29,IF(R57&lt;Bewertung_Stammdaten!H$30,Bewertung_Stammdaten!G$30,IF(R57&lt;Bewertung_Stammdaten!H$31,Bewertung_Stammdaten!G$31,IF(R57&lt;Bewertung_Stammdaten!H$32,Bewertung_Stammdaten!G$32,Bewertung_Stammdaten!G$33)))))))))</f>
        <v>5</v>
      </c>
      <c r="V57" s="49"/>
      <c r="W57" s="17">
        <f ca="1">VLOOKUP(A57,Ergebnis_je_Aktie_verwässert!A3:S68,18,FALSE)</f>
        <v>6.1999722222222218</v>
      </c>
      <c r="X57" s="17">
        <f>VLOOKUP(A57,Ergebnis_je_Aktie_verwässert!A3:S68,15,FALSE)</f>
        <v>3.6680000000000001</v>
      </c>
      <c r="Y57" s="13">
        <f ca="1">VLOOKUP(A57,Ergebnis_je_Aktie_verwässert!A3:S68,19,FALSE)</f>
        <v>0.69028686538228512</v>
      </c>
      <c r="Z57" s="46">
        <f>VLOOKUP(A57,Ergebnis_je_Aktie_verwässert!A3:AC68,29,FALSE)</f>
        <v>-2.0057306590257951E-2</v>
      </c>
      <c r="AA57" s="19">
        <f t="shared" ca="1" si="10"/>
        <v>6.0756174785100274</v>
      </c>
      <c r="AB57" s="13">
        <f t="shared" ca="1" si="11"/>
        <v>0.6563842634978263</v>
      </c>
      <c r="AC57" s="36">
        <f ca="1">IF(Y57&lt;Bewertung_Stammdaten!L$11,Bewertung_Stammdaten!K$11,IF(Y57&lt;Bewertung_Stammdaten!L$12,Bewertung_Stammdaten!K$12,IF(Y57&lt;Bewertung_Stammdaten!L$13,Bewertung_Stammdaten!K$13,IF(Y57&lt;Bewertung_Stammdaten!L$14,Bewertung_Stammdaten!K$14,IF(Y57&lt;Bewertung_Stammdaten!L$15,Bewertung_Stammdaten!K$15,IF(Y57&lt;Bewertung_Stammdaten!L$16,Bewertung_Stammdaten!K$16,IF(Y57&lt;Bewertung_Stammdaten!L$17,Bewertung_Stammdaten!K$17,IF(Y57&lt;Bewertung_Stammdaten!L$18,Bewertung_Stammdaten!K$18,IF(Y57&lt;Bewertung_Stammdaten!L$19,Bewertung_Stammdaten!K$19,Bewertung_Stammdaten!K$20)))))))))</f>
        <v>16</v>
      </c>
      <c r="AD57" s="36">
        <f>IF(Z57&lt;Bewertung_Stammdaten!R$11,Bewertung_Stammdaten!Q$11,IF(Z57&lt;Bewertung_Stammdaten!R$12,Bewertung_Stammdaten!Q$12,IF(Z57&lt;Bewertung_Stammdaten!R$13,Bewertung_Stammdaten!Q$13,IF(Z57&lt;Bewertung_Stammdaten!R$14,Bewertung_Stammdaten!Q$14,IF(Z57&lt;Bewertung_Stammdaten!R$15,Bewertung_Stammdaten!Q$15,IF(Z57&lt;Bewertung_Stammdaten!R$16,Bewertung_Stammdaten!Q$16,IF(Z57&lt;Bewertung_Stammdaten!R$17,Bewertung_Stammdaten!Q$17,IF(Z57&lt;Bewertung_Stammdaten!R$18,Bewertung_Stammdaten!Q$18,IF(Z57&lt;Bewertung_Stammdaten!R$19,Bewertung_Stammdaten!Q$19,Bewertung_Stammdaten!Q$20)))))))))</f>
        <v>7</v>
      </c>
      <c r="AE57" s="36">
        <f ca="1">IF(AB57&lt;Bewertung_Stammdaten!P$11,Bewertung_Stammdaten!O$11,IF(AB57&lt;Bewertung_Stammdaten!P$12,Bewertung_Stammdaten!O$12,IF(AB57&lt;Bewertung_Stammdaten!P$13,Bewertung_Stammdaten!O$13,IF(AB57&lt;Bewertung_Stammdaten!P$14,Bewertung_Stammdaten!O$14,IF(AB57&lt;Bewertung_Stammdaten!P$15,Bewertung_Stammdaten!O$15,IF(AB57&lt;Bewertung_Stammdaten!P$16,Bewertung_Stammdaten!O$16,IF(AB57&lt;Bewertung_Stammdaten!P$17,Bewertung_Stammdaten!O$17,IF(AB57&lt;Bewertung_Stammdaten!P$18,Bewertung_Stammdaten!O$18,IF(AB57&lt;Bewertung_Stammdaten!P$19,Bewertung_Stammdaten!O$19,Bewertung_Stammdaten!O$20)))))))))</f>
        <v>8</v>
      </c>
      <c r="AF57" s="49"/>
      <c r="AG57" s="13">
        <f ca="1">VLOOKUP(A57,Dividendenrendite!A3:S68,18,FALSE)</f>
        <v>2.2526111111111115E-2</v>
      </c>
      <c r="AH57" s="13">
        <f>VLOOKUP(A57,Dividendenrendite!A3:S68,15,FALSE)</f>
        <v>1.9049999999999997E-2</v>
      </c>
      <c r="AI57" s="13">
        <f ca="1">VLOOKUP(A57,Dividendenrendite!A3:S68,19,FALSE)</f>
        <v>0.18247302420530809</v>
      </c>
      <c r="AJ57" s="36">
        <f ca="1">IF(AG57&lt;Bewertung_Stammdaten!D$11,Bewertung_Stammdaten!C$11,IF(AG57&lt;Bewertung_Stammdaten!D$12,Bewertung_Stammdaten!C$12,IF(AG57&lt;Bewertung_Stammdaten!D$13,Bewertung_Stammdaten!C$13,IF(AG57&lt;Bewertung_Stammdaten!D$14,Bewertung_Stammdaten!C$14,IF(AG57&lt;Bewertung_Stammdaten!D$15,Bewertung_Stammdaten!C$15,IF(AG57&lt;Bewertung_Stammdaten!D$16,Bewertung_Stammdaten!C$16,IF(AG57&lt;Bewertung_Stammdaten!D$17,Bewertung_Stammdaten!C$17,IF(AG57&lt;Bewertung_Stammdaten!D$18,Bewertung_Stammdaten!C$18,IF(AG57&lt;Bewertung_Stammdaten!D$19,Bewertung_Stammdaten!C$19,Bewertung_Stammdaten!C$20)))))))))</f>
        <v>7.5</v>
      </c>
      <c r="AK57" s="36">
        <f>IF(AH57&lt;Bewertung_Stammdaten!T$11,Bewertung_Stammdaten!S$11,IF(AH57&lt;Bewertung_Stammdaten!T$12,Bewertung_Stammdaten!S$12,IF(AH57&lt;Bewertung_Stammdaten!T$13,Bewertung_Stammdaten!S$13,IF(AH57&lt;Bewertung_Stammdaten!T$14,Bewertung_Stammdaten!S$14,IF(AH57&lt;Bewertung_Stammdaten!T$15,Bewertung_Stammdaten!S$15,IF(AH57&lt;Bewertung_Stammdaten!T$16,Bewertung_Stammdaten!S$16,IF(AH57&lt;Bewertung_Stammdaten!T$17,Bewertung_Stammdaten!S$17,IF(AH57&lt;Bewertung_Stammdaten!T$18,Bewertung_Stammdaten!S$18,IF(AH57&lt;Bewertung_Stammdaten!T$19,Bewertung_Stammdaten!S$19,Bewertung_Stammdaten!S$20)))))))))</f>
        <v>4</v>
      </c>
      <c r="AL57" s="36">
        <f ca="1">IF(AI57&lt;Bewertung_Stammdaten!F$11,Bewertung_Stammdaten!E$11,IF(AI57&lt;Bewertung_Stammdaten!F$12,Bewertung_Stammdaten!E$12,IF(AI57&lt;Bewertung_Stammdaten!F$13,Bewertung_Stammdaten!E$13,IF(AI57&lt;Bewertung_Stammdaten!F$14,Bewertung_Stammdaten!E$14,IF(AI57&lt;Bewertung_Stammdaten!F$15,Bewertung_Stammdaten!E$15,IF(AI57&lt;Bewertung_Stammdaten!F$16,Bewertung_Stammdaten!E$16,IF(AI57&lt;Bewertung_Stammdaten!F$17,Bewertung_Stammdaten!E$17,IF(AI57&lt;Bewertung_Stammdaten!F$18,Bewertung_Stammdaten!E$18,IF(AI57&lt;Bewertung_Stammdaten!F$19,Bewertung_Stammdaten!E$19,Bewertung_Stammdaten!E$20)))))))))</f>
        <v>4.5</v>
      </c>
      <c r="AM57" s="49"/>
      <c r="AN57" s="13">
        <f>VLOOKUP(A57,Aktien_im_Umlauf_splitbereinigt!A3:W68,13,FALSE)</f>
        <v>-4.7798163630689006E-3</v>
      </c>
      <c r="AO57" s="13">
        <f>VLOOKUP(A57,Aktien_im_Umlauf_splitbereinigt!A3:W68,22,FALSE)</f>
        <v>-1.1583452605457727E-2</v>
      </c>
      <c r="AP57" s="13">
        <f>VLOOKUP(A57,Aktien_im_Umlauf_splitbereinigt!A3:W68,23,FALSE)</f>
        <v>-0.58735823196472403</v>
      </c>
      <c r="AQ57" s="47">
        <f>IF(AN57&lt;Bewertung_Stammdaten!J$24,Bewertung_Stammdaten!I$24,IF(AN57&lt;Bewertung_Stammdaten!J$25,Bewertung_Stammdaten!I$25,IF(AN57&lt;Bewertung_Stammdaten!J$26,Bewertung_Stammdaten!I$26,IF(AN57&lt;Bewertung_Stammdaten!J$27,Bewertung_Stammdaten!I$27,IF(AN57&lt;Bewertung_Stammdaten!J$28,Bewertung_Stammdaten!I$28,IF(AN57&lt;Bewertung_Stammdaten!J$29,Bewertung_Stammdaten!I$29,IF(AN57&lt;Bewertung_Stammdaten!J$30,Bewertung_Stammdaten!I$30,IF(AN57&lt;Bewertung_Stammdaten!J$31,Bewertung_Stammdaten!I$31,IF(AN57&lt;Bewertung_Stammdaten!J$32,Bewertung_Stammdaten!I$32,Bewertung_Stammdaten!I$33)))))))))</f>
        <v>1.5</v>
      </c>
      <c r="AR57" s="47">
        <f>IF(AO57&lt;Bewertung_Stammdaten!L$24,Bewertung_Stammdaten!K$24,IF(AO57&lt;Bewertung_Stammdaten!L$25,Bewertung_Stammdaten!K$25,IF(AO57&lt;Bewertung_Stammdaten!L$26,Bewertung_Stammdaten!K$26,IF(AO57&lt;Bewertung_Stammdaten!L$27,Bewertung_Stammdaten!K$27,IF(AO57&lt;Bewertung_Stammdaten!L$28,Bewertung_Stammdaten!K$28,IF(AO57&lt;Bewertung_Stammdaten!L$29,Bewertung_Stammdaten!K$29,IF(AO57&lt;Bewertung_Stammdaten!L$30,Bewertung_Stammdaten!K$30,IF(AO57&lt;Bewertung_Stammdaten!L$31,Bewertung_Stammdaten!K$31,IF(AO57&lt;Bewertung_Stammdaten!L$32,Bewertung_Stammdaten!K$32,Bewertung_Stammdaten!K$33)))))))))</f>
        <v>2.5</v>
      </c>
      <c r="AS57" s="47">
        <f>IF(AP57&lt;Bewertung_Stammdaten!N$24,Bewertung_Stammdaten!M$24,IF(AP57&lt;Bewertung_Stammdaten!N$25,Bewertung_Stammdaten!M$25,IF(AP57&lt;Bewertung_Stammdaten!N$26,Bewertung_Stammdaten!M$26,IF(AP57&lt;Bewertung_Stammdaten!N$27,Bewertung_Stammdaten!M$27,IF(AP57&lt;Bewertung_Stammdaten!N$28,Bewertung_Stammdaten!M$28,IF(AP57&lt;Bewertung_Stammdaten!N$29,Bewertung_Stammdaten!M$29,IF(AP57&lt;Bewertung_Stammdaten!N$30,Bewertung_Stammdaten!M$30,IF(AP57&lt;Bewertung_Stammdaten!N$31,Bewertung_Stammdaten!M$31,IF(AP57&lt;Bewertung_Stammdaten!N$32,Bewertung_Stammdaten!M$32,Bewertung_Stammdaten!M$33)))))))))</f>
        <v>1.5</v>
      </c>
      <c r="AT57" s="49"/>
      <c r="AU57" s="13">
        <f ca="1">VLOOKUP(A57,Ausschüttungsquote!A3:S68,18,FALSE)</f>
        <v>0.4648615683829509</v>
      </c>
      <c r="AV57" s="13">
        <f>VLOOKUP(A57,Ausschüttungsquote!A3:S68,15,FALSE)</f>
        <v>0.42434420741514201</v>
      </c>
      <c r="AW57" s="13">
        <f ca="1">VLOOKUP(A57,Ausschüttungsquote!A3:S68,19,FALSE)</f>
        <v>9.5482300122857966E-2</v>
      </c>
      <c r="AX57" s="36">
        <f ca="1">IF(AU57&lt;Bewertung_Stammdaten!H$11,Bewertung_Stammdaten!G$11,IF(AU57&lt;Bewertung_Stammdaten!H$12,Bewertung_Stammdaten!G$12,IF(AU57&lt;Bewertung_Stammdaten!H$13,Bewertung_Stammdaten!G$13,IF(AU57&lt;Bewertung_Stammdaten!H$14,Bewertung_Stammdaten!G$14,IF(AU57&lt;Bewertung_Stammdaten!H$15,Bewertung_Stammdaten!G$15,IF(AU57&lt;Bewertung_Stammdaten!H$16,Bewertung_Stammdaten!G$16,IF(AU57&lt;Bewertung_Stammdaten!H$17,Bewertung_Stammdaten!G$17,IF(AU57&lt;Bewertung_Stammdaten!H$18,Bewertung_Stammdaten!G$18,IF(AU57&lt;Bewertung_Stammdaten!H$19,Bewertung_Stammdaten!G$19,Bewertung_Stammdaten!G$20)))))))))</f>
        <v>4</v>
      </c>
      <c r="AY57" s="47">
        <f>IF(AV57&lt;Bewertung_Stammdaten!B$24,Bewertung_Stammdaten!A$24,IF(AV57&lt;Bewertung_Stammdaten!B$25,Bewertung_Stammdaten!A$25,IF(AV57&lt;Bewertung_Stammdaten!B$26,Bewertung_Stammdaten!A$26,IF(AV57&lt;Bewertung_Stammdaten!B$27,Bewertung_Stammdaten!A$27,IF(AV57&lt;Bewertung_Stammdaten!B$28,Bewertung_Stammdaten!A$28,IF(AV57&lt;Bewertung_Stammdaten!B$29,Bewertung_Stammdaten!A$29,IF(AV57&lt;Bewertung_Stammdaten!B$30,Bewertung_Stammdaten!A$30,IF(AV57&lt;Bewertung_Stammdaten!B$31,Bewertung_Stammdaten!A$31,IF(AV57&lt;Bewertung_Stammdaten!B$32,Bewertung_Stammdaten!A$32,Bewertung_Stammdaten!A$33)))))))))</f>
        <v>4.5</v>
      </c>
      <c r="AZ57" s="36">
        <f ca="1">IF(AW57&lt;Bewertung_Stammdaten!J$11,Bewertung_Stammdaten!I$11,IF(AW57&lt;Bewertung_Stammdaten!J$12,Bewertung_Stammdaten!I$12,IF(AW57&lt;Bewertung_Stammdaten!J$13,Bewertung_Stammdaten!I$13,IF(AW57&lt;Bewertung_Stammdaten!J$14,Bewertung_Stammdaten!I$14,IF(AW57&lt;Bewertung_Stammdaten!J$15,Bewertung_Stammdaten!I$15,IF(AW57&lt;Bewertung_Stammdaten!J$16,Bewertung_Stammdaten!I$16,IF(AW57&lt;Bewertung_Stammdaten!J$17,Bewertung_Stammdaten!I$17,IF(AW57&lt;Bewertung_Stammdaten!J$18,Bewertung_Stammdaten!I$18,IF(AW57&lt;Bewertung_Stammdaten!J$19,Bewertung_Stammdaten!I$19,Bewertung_Stammdaten!I$20)))))))))</f>
        <v>2</v>
      </c>
    </row>
    <row r="58" spans="1:52" x14ac:dyDescent="0.25">
      <c r="A58" s="44" t="s">
        <v>112</v>
      </c>
      <c r="B58" s="44" t="s">
        <v>113</v>
      </c>
      <c r="C58" s="36">
        <f t="shared" ca="1" si="7"/>
        <v>73.5</v>
      </c>
      <c r="D58" s="49"/>
      <c r="E58" s="12">
        <f ca="1">VLOOKUP(A58,KGV!A3:S68,18,FALSE)</f>
        <v>18.251944444444444</v>
      </c>
      <c r="F58" s="12">
        <f>VLOOKUP(A58,KGV!A3:S68,15,FALSE)</f>
        <v>16.100000000000001</v>
      </c>
      <c r="G58" s="13">
        <f ca="1">VLOOKUP(A58,KGV!A3:S68,19,FALSE)</f>
        <v>0.13366114561766729</v>
      </c>
      <c r="H58" s="19">
        <f t="shared" ca="1" si="8"/>
        <v>99</v>
      </c>
      <c r="I58" s="13">
        <f t="shared" ca="1" si="9"/>
        <v>5.1490683229813659</v>
      </c>
      <c r="J58" s="36">
        <f ca="1">IF(G58&lt;Bewertung_Stammdaten!B$11,Bewertung_Stammdaten!A$11,IF(G58&lt;Bewertung_Stammdaten!B$12,Bewertung_Stammdaten!A$12,IF(G58&lt;Bewertung_Stammdaten!B$13,Bewertung_Stammdaten!A$13,IF(G58&lt;Bewertung_Stammdaten!B$14,Bewertung_Stammdaten!A$14,IF(G58&lt;Bewertung_Stammdaten!B$15,Bewertung_Stammdaten!A$15,IF(G58&lt;Bewertung_Stammdaten!B$16,Bewertung_Stammdaten!A$16,IF(G58&lt;Bewertung_Stammdaten!B$17,Bewertung_Stammdaten!A$17,IF(G58&lt;Bewertung_Stammdaten!B$18,Bewertung_Stammdaten!A$18,IF(G58&lt;Bewertung_Stammdaten!B$19,Bewertung_Stammdaten!A$19,Bewertung_Stammdaten!A$20)))))))))</f>
        <v>6</v>
      </c>
      <c r="K58" s="36">
        <f ca="1">IF(I58&lt;Bewertung_Stammdaten!N$11,Bewertung_Stammdaten!M$11,IF(I58&lt;Bewertung_Stammdaten!N$12,Bewertung_Stammdaten!M$12,IF(I58&lt;Bewertung_Stammdaten!N$13,Bewertung_Stammdaten!M$13,IF(I58&lt;Bewertung_Stammdaten!N$14,Bewertung_Stammdaten!M$14,IF(I58&lt;Bewertung_Stammdaten!N$15,Bewertung_Stammdaten!M$15,IF(I58&lt;Bewertung_Stammdaten!N$16,Bewertung_Stammdaten!M$16,IF(I58&lt;Bewertung_Stammdaten!N$17,Bewertung_Stammdaten!M$17,IF(I58&lt;Bewertung_Stammdaten!N$18,Bewertung_Stammdaten!M$18,IF(I58&lt;Bewertung_Stammdaten!N$19,Bewertung_Stammdaten!M$19,Bewertung_Stammdaten!M$20)))))))))</f>
        <v>1</v>
      </c>
      <c r="L58" s="49"/>
      <c r="M58" s="12">
        <f ca="1">VLOOKUP(A58,Buchwert_je_Aktie!A3:AC68,18,FALSE)</f>
        <v>43.901388888888889</v>
      </c>
      <c r="N58" s="12">
        <f>VLOOKUP(A58,Buchwert_je_Aktie!A3:AC68,15,FALSE)</f>
        <v>37.804000000000009</v>
      </c>
      <c r="O58" s="13">
        <f ca="1">VLOOKUP(A58,Buchwert_je_Aktie!A3:AC68,19,FALSE)</f>
        <v>0.16128951668841607</v>
      </c>
      <c r="P58" s="13">
        <f>VLOOKUP(A58,Buchwert_je_Aktie!A3:AC68,29,FALSE)</f>
        <v>-0.14526854219948848</v>
      </c>
      <c r="Q58" s="19">
        <f t="shared" ca="1" si="6"/>
        <v>37.523898124467181</v>
      </c>
      <c r="R58" s="13">
        <f t="shared" ca="1" si="3"/>
        <v>-7.4093184724587369E-3</v>
      </c>
      <c r="S58" s="58">
        <f ca="1">IF(O58&lt;Bewertung_Stammdaten!D$24,Bewertung_Stammdaten!C$24,IF(O58&lt;Bewertung_Stammdaten!D$25,Bewertung_Stammdaten!C$25,IF(O58&lt;Bewertung_Stammdaten!D$26,Bewertung_Stammdaten!C$26,IF(O58&lt;Bewertung_Stammdaten!D$27,Bewertung_Stammdaten!C$27,IF(O58&lt;Bewertung_Stammdaten!D$28,Bewertung_Stammdaten!C$28,IF(O58&lt;Bewertung_Stammdaten!D$29,Bewertung_Stammdaten!C$29,IF(O58&lt;Bewertung_Stammdaten!D$30,Bewertung_Stammdaten!C$30,IF(O58&lt;Bewertung_Stammdaten!D$31,Bewertung_Stammdaten!C$31,IF(O58&lt;Bewertung_Stammdaten!D$32,Bewertung_Stammdaten!C$32,Bewertung_Stammdaten!C$33)))))))))</f>
        <v>6</v>
      </c>
      <c r="T58" s="58">
        <f>IF(P58&lt;Bewertung_Stammdaten!F$24,Bewertung_Stammdaten!E$24,IF(P58&lt;Bewertung_Stammdaten!F$25,Bewertung_Stammdaten!E$25,IF(P58&lt;Bewertung_Stammdaten!F$26,Bewertung_Stammdaten!E$26,IF(P58&lt;Bewertung_Stammdaten!F$27,Bewertung_Stammdaten!E$27,IF(P58&lt;Bewertung_Stammdaten!F$28,Bewertung_Stammdaten!E$28,IF(P58&lt;Bewertung_Stammdaten!F$29,Bewertung_Stammdaten!E$29,IF(P58&lt;Bewertung_Stammdaten!F$30,Bewertung_Stammdaten!E$30,IF(P58&lt;Bewertung_Stammdaten!F$31,Bewertung_Stammdaten!E$31,IF(P58&lt;Bewertung_Stammdaten!F$32,Bewertung_Stammdaten!E$32,Bewertung_Stammdaten!E$33)))))))))</f>
        <v>7.5</v>
      </c>
      <c r="U58" s="58">
        <f ca="1">IF(R58&lt;Bewertung_Stammdaten!H$24,Bewertung_Stammdaten!G$24,IF(R58&lt;Bewertung_Stammdaten!H$25,Bewertung_Stammdaten!G$25,IF(R58&lt;Bewertung_Stammdaten!H$26,Bewertung_Stammdaten!G$26,IF(R58&lt;Bewertung_Stammdaten!H$27,Bewertung_Stammdaten!G$27,IF(R58&lt;Bewertung_Stammdaten!H$28,Bewertung_Stammdaten!G$28,IF(R58&lt;Bewertung_Stammdaten!H$29,Bewertung_Stammdaten!G$29,IF(R58&lt;Bewertung_Stammdaten!H$30,Bewertung_Stammdaten!G$30,IF(R58&lt;Bewertung_Stammdaten!H$31,Bewertung_Stammdaten!G$31,IF(R58&lt;Bewertung_Stammdaten!H$32,Bewertung_Stammdaten!G$32,Bewertung_Stammdaten!G$33)))))))))</f>
        <v>1</v>
      </c>
      <c r="V58" s="49"/>
      <c r="W58" s="17">
        <f ca="1">VLOOKUP(A58,Ergebnis_je_Aktie_verwässert!A3:S68,18,FALSE)</f>
        <v>4.1918055555555558</v>
      </c>
      <c r="X58" s="17">
        <f>VLOOKUP(A58,Ergebnis_je_Aktie_verwässert!A3:S68,15,FALSE)</f>
        <v>2.657</v>
      </c>
      <c r="Y58" s="13">
        <f ca="1">VLOOKUP(A58,Ergebnis_je_Aktie_verwässert!A3:S68,19,FALSE)</f>
        <v>0.57764605026554605</v>
      </c>
      <c r="Z58" s="46">
        <f>VLOOKUP(A58,Ergebnis_je_Aktie_verwässert!A3:AC68,29,FALSE)</f>
        <v>-1.4296675191815855</v>
      </c>
      <c r="AA58" s="19">
        <f t="shared" ca="1" si="10"/>
        <v>-1.8010826939471436</v>
      </c>
      <c r="AB58" s="13">
        <f t="shared" ca="1" si="11"/>
        <v>-1.6778632645642242</v>
      </c>
      <c r="AC58" s="36">
        <f ca="1">IF(Y58&lt;Bewertung_Stammdaten!L$11,Bewertung_Stammdaten!K$11,IF(Y58&lt;Bewertung_Stammdaten!L$12,Bewertung_Stammdaten!K$12,IF(Y58&lt;Bewertung_Stammdaten!L$13,Bewertung_Stammdaten!K$13,IF(Y58&lt;Bewertung_Stammdaten!L$14,Bewertung_Stammdaten!K$14,IF(Y58&lt;Bewertung_Stammdaten!L$15,Bewertung_Stammdaten!K$15,IF(Y58&lt;Bewertung_Stammdaten!L$16,Bewertung_Stammdaten!K$16,IF(Y58&lt;Bewertung_Stammdaten!L$17,Bewertung_Stammdaten!K$17,IF(Y58&lt;Bewertung_Stammdaten!L$18,Bewertung_Stammdaten!K$18,IF(Y58&lt;Bewertung_Stammdaten!L$19,Bewertung_Stammdaten!K$19,Bewertung_Stammdaten!K$20)))))))))</f>
        <v>14</v>
      </c>
      <c r="AD58" s="36">
        <f>IF(Z58&lt;Bewertung_Stammdaten!R$11,Bewertung_Stammdaten!Q$11,IF(Z58&lt;Bewertung_Stammdaten!R$12,Bewertung_Stammdaten!Q$12,IF(Z58&lt;Bewertung_Stammdaten!R$13,Bewertung_Stammdaten!Q$13,IF(Z58&lt;Bewertung_Stammdaten!R$14,Bewertung_Stammdaten!Q$14,IF(Z58&lt;Bewertung_Stammdaten!R$15,Bewertung_Stammdaten!Q$15,IF(Z58&lt;Bewertung_Stammdaten!R$16,Bewertung_Stammdaten!Q$16,IF(Z58&lt;Bewertung_Stammdaten!R$17,Bewertung_Stammdaten!Q$17,IF(Z58&lt;Bewertung_Stammdaten!R$18,Bewertung_Stammdaten!Q$18,IF(Z58&lt;Bewertung_Stammdaten!R$19,Bewertung_Stammdaten!Q$19,Bewertung_Stammdaten!Q$20)))))))))</f>
        <v>1</v>
      </c>
      <c r="AE58" s="36">
        <f ca="1">IF(AB58&lt;Bewertung_Stammdaten!P$11,Bewertung_Stammdaten!O$11,IF(AB58&lt;Bewertung_Stammdaten!P$12,Bewertung_Stammdaten!O$12,IF(AB58&lt;Bewertung_Stammdaten!P$13,Bewertung_Stammdaten!O$13,IF(AB58&lt;Bewertung_Stammdaten!P$14,Bewertung_Stammdaten!O$14,IF(AB58&lt;Bewertung_Stammdaten!P$15,Bewertung_Stammdaten!O$15,IF(AB58&lt;Bewertung_Stammdaten!P$16,Bewertung_Stammdaten!O$16,IF(AB58&lt;Bewertung_Stammdaten!P$17,Bewertung_Stammdaten!O$17,IF(AB58&lt;Bewertung_Stammdaten!P$18,Bewertung_Stammdaten!O$18,IF(AB58&lt;Bewertung_Stammdaten!P$19,Bewertung_Stammdaten!O$19,Bewertung_Stammdaten!O$20)))))))))</f>
        <v>1</v>
      </c>
      <c r="AF58" s="49"/>
      <c r="AG58" s="13">
        <f ca="1">VLOOKUP(A58,Dividendenrendite!A3:S68,18,FALSE)</f>
        <v>3.8906944444444438E-2</v>
      </c>
      <c r="AH58" s="13">
        <f>VLOOKUP(A58,Dividendenrendite!A3:S68,15,FALSE)</f>
        <v>3.6490000000000002E-2</v>
      </c>
      <c r="AI58" s="13">
        <f ca="1">VLOOKUP(A58,Dividendenrendite!A3:S68,19,FALSE)</f>
        <v>6.6235802807466104E-2</v>
      </c>
      <c r="AJ58" s="36">
        <f ca="1">IF(AG58&lt;Bewertung_Stammdaten!D$11,Bewertung_Stammdaten!C$11,IF(AG58&lt;Bewertung_Stammdaten!D$12,Bewertung_Stammdaten!C$12,IF(AG58&lt;Bewertung_Stammdaten!D$13,Bewertung_Stammdaten!C$13,IF(AG58&lt;Bewertung_Stammdaten!D$14,Bewertung_Stammdaten!C$14,IF(AG58&lt;Bewertung_Stammdaten!D$15,Bewertung_Stammdaten!C$15,IF(AG58&lt;Bewertung_Stammdaten!D$16,Bewertung_Stammdaten!C$16,IF(AG58&lt;Bewertung_Stammdaten!D$17,Bewertung_Stammdaten!C$17,IF(AG58&lt;Bewertung_Stammdaten!D$18,Bewertung_Stammdaten!C$18,IF(AG58&lt;Bewertung_Stammdaten!D$19,Bewertung_Stammdaten!C$19,Bewertung_Stammdaten!C$20)))))))))</f>
        <v>12</v>
      </c>
      <c r="AK58" s="36">
        <f>IF(AH58&lt;Bewertung_Stammdaten!T$11,Bewertung_Stammdaten!S$11,IF(AH58&lt;Bewertung_Stammdaten!T$12,Bewertung_Stammdaten!S$12,IF(AH58&lt;Bewertung_Stammdaten!T$13,Bewertung_Stammdaten!S$13,IF(AH58&lt;Bewertung_Stammdaten!T$14,Bewertung_Stammdaten!S$14,IF(AH58&lt;Bewertung_Stammdaten!T$15,Bewertung_Stammdaten!S$15,IF(AH58&lt;Bewertung_Stammdaten!T$16,Bewertung_Stammdaten!S$16,IF(AH58&lt;Bewertung_Stammdaten!T$17,Bewertung_Stammdaten!S$17,IF(AH58&lt;Bewertung_Stammdaten!T$18,Bewertung_Stammdaten!S$18,IF(AH58&lt;Bewertung_Stammdaten!T$19,Bewertung_Stammdaten!S$19,Bewertung_Stammdaten!S$20)))))))))</f>
        <v>8</v>
      </c>
      <c r="AL58" s="36">
        <f ca="1">IF(AI58&lt;Bewertung_Stammdaten!F$11,Bewertung_Stammdaten!E$11,IF(AI58&lt;Bewertung_Stammdaten!F$12,Bewertung_Stammdaten!E$12,IF(AI58&lt;Bewertung_Stammdaten!F$13,Bewertung_Stammdaten!E$13,IF(AI58&lt;Bewertung_Stammdaten!F$14,Bewertung_Stammdaten!E$14,IF(AI58&lt;Bewertung_Stammdaten!F$15,Bewertung_Stammdaten!E$15,IF(AI58&lt;Bewertung_Stammdaten!F$16,Bewertung_Stammdaten!E$16,IF(AI58&lt;Bewertung_Stammdaten!F$17,Bewertung_Stammdaten!E$17,IF(AI58&lt;Bewertung_Stammdaten!F$18,Bewertung_Stammdaten!E$18,IF(AI58&lt;Bewertung_Stammdaten!F$19,Bewertung_Stammdaten!E$19,Bewertung_Stammdaten!E$20)))))))))</f>
        <v>3.5</v>
      </c>
      <c r="AM58" s="49"/>
      <c r="AN58" s="13">
        <f>VLOOKUP(A58,Aktien_im_Umlauf_splitbereinigt!A3:W68,13,FALSE)</f>
        <v>-1.5082956259426794E-3</v>
      </c>
      <c r="AO58" s="13">
        <f>VLOOKUP(A58,Aktien_im_Umlauf_splitbereinigt!A3:W68,22,FALSE)</f>
        <v>5.3556382604241698E-2</v>
      </c>
      <c r="AP58" s="13">
        <f>VLOOKUP(A58,Aktien_im_Umlauf_splitbereinigt!A3:W68,23,FALSE)</f>
        <v>1.0281627614226361</v>
      </c>
      <c r="AQ58" s="47">
        <f>IF(AN58&lt;Bewertung_Stammdaten!J$24,Bewertung_Stammdaten!I$24,IF(AN58&lt;Bewertung_Stammdaten!J$25,Bewertung_Stammdaten!I$25,IF(AN58&lt;Bewertung_Stammdaten!J$26,Bewertung_Stammdaten!I$26,IF(AN58&lt;Bewertung_Stammdaten!J$27,Bewertung_Stammdaten!I$27,IF(AN58&lt;Bewertung_Stammdaten!J$28,Bewertung_Stammdaten!I$28,IF(AN58&lt;Bewertung_Stammdaten!J$29,Bewertung_Stammdaten!I$29,IF(AN58&lt;Bewertung_Stammdaten!J$30,Bewertung_Stammdaten!I$30,IF(AN58&lt;Bewertung_Stammdaten!J$31,Bewertung_Stammdaten!I$31,IF(AN58&lt;Bewertung_Stammdaten!J$32,Bewertung_Stammdaten!I$32,Bewertung_Stammdaten!I$33)))))))))</f>
        <v>1.5</v>
      </c>
      <c r="AR58" s="47">
        <f>IF(AO58&lt;Bewertung_Stammdaten!L$24,Bewertung_Stammdaten!K$24,IF(AO58&lt;Bewertung_Stammdaten!L$25,Bewertung_Stammdaten!K$25,IF(AO58&lt;Bewertung_Stammdaten!L$26,Bewertung_Stammdaten!K$26,IF(AO58&lt;Bewertung_Stammdaten!L$27,Bewertung_Stammdaten!K$27,IF(AO58&lt;Bewertung_Stammdaten!L$28,Bewertung_Stammdaten!K$28,IF(AO58&lt;Bewertung_Stammdaten!L$29,Bewertung_Stammdaten!K$29,IF(AO58&lt;Bewertung_Stammdaten!L$30,Bewertung_Stammdaten!K$30,IF(AO58&lt;Bewertung_Stammdaten!L$31,Bewertung_Stammdaten!K$31,IF(AO58&lt;Bewertung_Stammdaten!L$32,Bewertung_Stammdaten!K$32,Bewertung_Stammdaten!K$33)))))))))</f>
        <v>0.5</v>
      </c>
      <c r="AS58" s="47">
        <f>IF(AP58&lt;Bewertung_Stammdaten!N$24,Bewertung_Stammdaten!M$24,IF(AP58&lt;Bewertung_Stammdaten!N$25,Bewertung_Stammdaten!M$25,IF(AP58&lt;Bewertung_Stammdaten!N$26,Bewertung_Stammdaten!M$26,IF(AP58&lt;Bewertung_Stammdaten!N$27,Bewertung_Stammdaten!M$27,IF(AP58&lt;Bewertung_Stammdaten!N$28,Bewertung_Stammdaten!M$28,IF(AP58&lt;Bewertung_Stammdaten!N$29,Bewertung_Stammdaten!M$29,IF(AP58&lt;Bewertung_Stammdaten!N$30,Bewertung_Stammdaten!M$30,IF(AP58&lt;Bewertung_Stammdaten!N$31,Bewertung_Stammdaten!M$31,IF(AP58&lt;Bewertung_Stammdaten!N$32,Bewertung_Stammdaten!M$32,Bewertung_Stammdaten!M$33)))))))))</f>
        <v>5</v>
      </c>
      <c r="AT58" s="49"/>
      <c r="AU58" s="13">
        <f ca="1">VLOOKUP(A58,Ausschüttungsquote!A3:S68,18,FALSE)</f>
        <v>0.70834737827715355</v>
      </c>
      <c r="AV58" s="13">
        <f>VLOOKUP(A58,Ausschüttungsquote!A3:S68,15,FALSE)</f>
        <v>0.70417627069738797</v>
      </c>
      <c r="AW58" s="13">
        <f ca="1">VLOOKUP(A58,Ausschüttungsquote!A3:S68,19,FALSE)</f>
        <v>5.923385597237818E-3</v>
      </c>
      <c r="AX58" s="36">
        <f ca="1">IF(AU58&lt;Bewertung_Stammdaten!H$11,Bewertung_Stammdaten!G$11,IF(AU58&lt;Bewertung_Stammdaten!H$12,Bewertung_Stammdaten!G$12,IF(AU58&lt;Bewertung_Stammdaten!H$13,Bewertung_Stammdaten!G$13,IF(AU58&lt;Bewertung_Stammdaten!H$14,Bewertung_Stammdaten!G$14,IF(AU58&lt;Bewertung_Stammdaten!H$15,Bewertung_Stammdaten!G$15,IF(AU58&lt;Bewertung_Stammdaten!H$16,Bewertung_Stammdaten!G$16,IF(AU58&lt;Bewertung_Stammdaten!H$17,Bewertung_Stammdaten!G$17,IF(AU58&lt;Bewertung_Stammdaten!H$18,Bewertung_Stammdaten!G$18,IF(AU58&lt;Bewertung_Stammdaten!H$19,Bewertung_Stammdaten!G$19,Bewertung_Stammdaten!G$20)))))))))</f>
        <v>1.5</v>
      </c>
      <c r="AY58" s="47">
        <f>IF(AV58&lt;Bewertung_Stammdaten!B$24,Bewertung_Stammdaten!A$24,IF(AV58&lt;Bewertung_Stammdaten!B$25,Bewertung_Stammdaten!A$25,IF(AV58&lt;Bewertung_Stammdaten!B$26,Bewertung_Stammdaten!A$26,IF(AV58&lt;Bewertung_Stammdaten!B$27,Bewertung_Stammdaten!A$27,IF(AV58&lt;Bewertung_Stammdaten!B$28,Bewertung_Stammdaten!A$28,IF(AV58&lt;Bewertung_Stammdaten!B$29,Bewertung_Stammdaten!A$29,IF(AV58&lt;Bewertung_Stammdaten!B$30,Bewertung_Stammdaten!A$30,IF(AV58&lt;Bewertung_Stammdaten!B$31,Bewertung_Stammdaten!A$31,IF(AV58&lt;Bewertung_Stammdaten!B$32,Bewertung_Stammdaten!A$32,Bewertung_Stammdaten!A$33)))))))))</f>
        <v>1.5</v>
      </c>
      <c r="AZ58" s="36">
        <f ca="1">IF(AW58&lt;Bewertung_Stammdaten!J$11,Bewertung_Stammdaten!I$11,IF(AW58&lt;Bewertung_Stammdaten!J$12,Bewertung_Stammdaten!I$12,IF(AW58&lt;Bewertung_Stammdaten!J$13,Bewertung_Stammdaten!I$13,IF(AW58&lt;Bewertung_Stammdaten!J$14,Bewertung_Stammdaten!I$14,IF(AW58&lt;Bewertung_Stammdaten!J$15,Bewertung_Stammdaten!I$15,IF(AW58&lt;Bewertung_Stammdaten!J$16,Bewertung_Stammdaten!I$16,IF(AW58&lt;Bewertung_Stammdaten!J$17,Bewertung_Stammdaten!I$17,IF(AW58&lt;Bewertung_Stammdaten!J$18,Bewertung_Stammdaten!I$18,IF(AW58&lt;Bewertung_Stammdaten!J$19,Bewertung_Stammdaten!I$19,Bewertung_Stammdaten!I$20)))))))))</f>
        <v>2.5</v>
      </c>
    </row>
    <row r="59" spans="1:52" x14ac:dyDescent="0.25">
      <c r="A59" s="44" t="s">
        <v>114</v>
      </c>
      <c r="B59" s="44" t="s">
        <v>115</v>
      </c>
      <c r="C59" s="36">
        <f t="shared" ca="1" si="7"/>
        <v>104</v>
      </c>
      <c r="D59" s="49"/>
      <c r="E59" s="12">
        <f ca="1">VLOOKUP(A59,KGV!A3:S68,18,FALSE)</f>
        <v>17.716388888888886</v>
      </c>
      <c r="F59" s="12">
        <f>VLOOKUP(A59,KGV!A3:S68,15,FALSE)</f>
        <v>16.5</v>
      </c>
      <c r="G59" s="13">
        <f ca="1">VLOOKUP(A59,KGV!A3:S68,19,FALSE)</f>
        <v>7.3720538720538631E-2</v>
      </c>
      <c r="H59" s="19">
        <f t="shared" ca="1" si="8"/>
        <v>21.581782828282826</v>
      </c>
      <c r="I59" s="13">
        <f t="shared" ca="1" si="9"/>
        <v>0.30798683807774707</v>
      </c>
      <c r="J59" s="36">
        <f ca="1">IF(G59&lt;Bewertung_Stammdaten!B$11,Bewertung_Stammdaten!A$11,IF(G59&lt;Bewertung_Stammdaten!B$12,Bewertung_Stammdaten!A$12,IF(G59&lt;Bewertung_Stammdaten!B$13,Bewertung_Stammdaten!A$13,IF(G59&lt;Bewertung_Stammdaten!B$14,Bewertung_Stammdaten!A$14,IF(G59&lt;Bewertung_Stammdaten!B$15,Bewertung_Stammdaten!A$15,IF(G59&lt;Bewertung_Stammdaten!B$16,Bewertung_Stammdaten!A$16,IF(G59&lt;Bewertung_Stammdaten!B$17,Bewertung_Stammdaten!A$17,IF(G59&lt;Bewertung_Stammdaten!B$18,Bewertung_Stammdaten!A$18,IF(G59&lt;Bewertung_Stammdaten!B$19,Bewertung_Stammdaten!A$19,Bewertung_Stammdaten!A$20)))))))))</f>
        <v>8</v>
      </c>
      <c r="K59" s="36">
        <f ca="1">IF(I59&lt;Bewertung_Stammdaten!N$11,Bewertung_Stammdaten!M$11,IF(I59&lt;Bewertung_Stammdaten!N$12,Bewertung_Stammdaten!M$12,IF(I59&lt;Bewertung_Stammdaten!N$13,Bewertung_Stammdaten!M$13,IF(I59&lt;Bewertung_Stammdaten!N$14,Bewertung_Stammdaten!M$14,IF(I59&lt;Bewertung_Stammdaten!N$15,Bewertung_Stammdaten!M$15,IF(I59&lt;Bewertung_Stammdaten!N$16,Bewertung_Stammdaten!M$16,IF(I59&lt;Bewertung_Stammdaten!N$17,Bewertung_Stammdaten!M$17,IF(I59&lt;Bewertung_Stammdaten!N$18,Bewertung_Stammdaten!M$18,IF(I59&lt;Bewertung_Stammdaten!N$19,Bewertung_Stammdaten!M$19,Bewertung_Stammdaten!M$20)))))))))</f>
        <v>1</v>
      </c>
      <c r="L59" s="49"/>
      <c r="M59" s="12">
        <f ca="1">VLOOKUP(A59,Buchwert_je_Aktie!A3:AC68,18,FALSE)</f>
        <v>3.4159166666666669</v>
      </c>
      <c r="N59" s="12">
        <f>VLOOKUP(A59,Buchwert_je_Aktie!A3:AC68,15,FALSE)</f>
        <v>1.5559999999999998</v>
      </c>
      <c r="O59" s="13">
        <f ca="1">VLOOKUP(A59,Buchwert_je_Aktie!A3:AC68,19,FALSE)</f>
        <v>1.1953191945158532</v>
      </c>
      <c r="P59" s="13">
        <f>VLOOKUP(A59,Buchwert_je_Aktie!A3:AC68,29,FALSE)</f>
        <v>-8.8000000000000078E-2</v>
      </c>
      <c r="Q59" s="19">
        <f t="shared" ca="1" si="6"/>
        <v>3.115316</v>
      </c>
      <c r="R59" s="13">
        <f t="shared" ca="1" si="3"/>
        <v>1.0021311053984578</v>
      </c>
      <c r="S59" s="58">
        <f ca="1">IF(O59&lt;Bewertung_Stammdaten!D$24,Bewertung_Stammdaten!C$24,IF(O59&lt;Bewertung_Stammdaten!D$25,Bewertung_Stammdaten!C$25,IF(O59&lt;Bewertung_Stammdaten!D$26,Bewertung_Stammdaten!C$26,IF(O59&lt;Bewertung_Stammdaten!D$27,Bewertung_Stammdaten!C$27,IF(O59&lt;Bewertung_Stammdaten!D$28,Bewertung_Stammdaten!C$28,IF(O59&lt;Bewertung_Stammdaten!D$29,Bewertung_Stammdaten!C$29,IF(O59&lt;Bewertung_Stammdaten!D$30,Bewertung_Stammdaten!C$30,IF(O59&lt;Bewertung_Stammdaten!D$31,Bewertung_Stammdaten!C$31,IF(O59&lt;Bewertung_Stammdaten!D$32,Bewertung_Stammdaten!C$32,Bewertung_Stammdaten!C$33)))))))))</f>
        <v>20</v>
      </c>
      <c r="T59" s="58">
        <f>IF(P59&lt;Bewertung_Stammdaten!F$24,Bewertung_Stammdaten!E$24,IF(P59&lt;Bewertung_Stammdaten!F$25,Bewertung_Stammdaten!E$25,IF(P59&lt;Bewertung_Stammdaten!F$26,Bewertung_Stammdaten!E$26,IF(P59&lt;Bewertung_Stammdaten!F$27,Bewertung_Stammdaten!E$27,IF(P59&lt;Bewertung_Stammdaten!F$28,Bewertung_Stammdaten!E$28,IF(P59&lt;Bewertung_Stammdaten!F$29,Bewertung_Stammdaten!E$29,IF(P59&lt;Bewertung_Stammdaten!F$30,Bewertung_Stammdaten!E$30,IF(P59&lt;Bewertung_Stammdaten!F$31,Bewertung_Stammdaten!E$31,IF(P59&lt;Bewertung_Stammdaten!F$32,Bewertung_Stammdaten!E$32,Bewertung_Stammdaten!E$33)))))))))</f>
        <v>9</v>
      </c>
      <c r="U59" s="58">
        <f ca="1">IF(R59&lt;Bewertung_Stammdaten!H$24,Bewertung_Stammdaten!G$24,IF(R59&lt;Bewertung_Stammdaten!H$25,Bewertung_Stammdaten!G$25,IF(R59&lt;Bewertung_Stammdaten!H$26,Bewertung_Stammdaten!G$26,IF(R59&lt;Bewertung_Stammdaten!H$27,Bewertung_Stammdaten!G$27,IF(R59&lt;Bewertung_Stammdaten!H$28,Bewertung_Stammdaten!G$28,IF(R59&lt;Bewertung_Stammdaten!H$29,Bewertung_Stammdaten!G$29,IF(R59&lt;Bewertung_Stammdaten!H$30,Bewertung_Stammdaten!G$30,IF(R59&lt;Bewertung_Stammdaten!H$31,Bewertung_Stammdaten!G$31,IF(R59&lt;Bewertung_Stammdaten!H$32,Bewertung_Stammdaten!G$32,Bewertung_Stammdaten!G$33)))))))))</f>
        <v>10</v>
      </c>
      <c r="V59" s="49"/>
      <c r="W59" s="17">
        <f ca="1">VLOOKUP(A59,Ergebnis_je_Aktie_verwässert!A3:S68,18,FALSE)</f>
        <v>1.0233861111111111</v>
      </c>
      <c r="X59" s="17">
        <f>VLOOKUP(A59,Ergebnis_je_Aktie_verwässert!A3:S68,15,FALSE)</f>
        <v>0.65599999999999992</v>
      </c>
      <c r="Y59" s="13">
        <f ca="1">VLOOKUP(A59,Ergebnis_je_Aktie_verwässert!A3:S68,19,FALSE)</f>
        <v>0.5600398035230354</v>
      </c>
      <c r="Z59" s="46">
        <f>VLOOKUP(A59,Ergebnis_je_Aktie_verwässert!A3:AC68,29,FALSE)</f>
        <v>-0.17910447761194026</v>
      </c>
      <c r="AA59" s="19">
        <f t="shared" ca="1" si="10"/>
        <v>0.84009307628524055</v>
      </c>
      <c r="AB59" s="13">
        <f t="shared" ca="1" si="11"/>
        <v>0.28062968945920841</v>
      </c>
      <c r="AC59" s="36">
        <f ca="1">IF(Y59&lt;Bewertung_Stammdaten!L$11,Bewertung_Stammdaten!K$11,IF(Y59&lt;Bewertung_Stammdaten!L$12,Bewertung_Stammdaten!K$12,IF(Y59&lt;Bewertung_Stammdaten!L$13,Bewertung_Stammdaten!K$13,IF(Y59&lt;Bewertung_Stammdaten!L$14,Bewertung_Stammdaten!K$14,IF(Y59&lt;Bewertung_Stammdaten!L$15,Bewertung_Stammdaten!K$15,IF(Y59&lt;Bewertung_Stammdaten!L$16,Bewertung_Stammdaten!K$16,IF(Y59&lt;Bewertung_Stammdaten!L$17,Bewertung_Stammdaten!K$17,IF(Y59&lt;Bewertung_Stammdaten!L$18,Bewertung_Stammdaten!K$18,IF(Y59&lt;Bewertung_Stammdaten!L$19,Bewertung_Stammdaten!K$19,Bewertung_Stammdaten!K$20)))))))))</f>
        <v>14</v>
      </c>
      <c r="AD59" s="36">
        <f>IF(Z59&lt;Bewertung_Stammdaten!R$11,Bewertung_Stammdaten!Q$11,IF(Z59&lt;Bewertung_Stammdaten!R$12,Bewertung_Stammdaten!Q$12,IF(Z59&lt;Bewertung_Stammdaten!R$13,Bewertung_Stammdaten!Q$13,IF(Z59&lt;Bewertung_Stammdaten!R$14,Bewertung_Stammdaten!Q$14,IF(Z59&lt;Bewertung_Stammdaten!R$15,Bewertung_Stammdaten!Q$15,IF(Z59&lt;Bewertung_Stammdaten!R$16,Bewertung_Stammdaten!Q$16,IF(Z59&lt;Bewertung_Stammdaten!R$17,Bewertung_Stammdaten!Q$17,IF(Z59&lt;Bewertung_Stammdaten!R$18,Bewertung_Stammdaten!Q$18,IF(Z59&lt;Bewertung_Stammdaten!R$19,Bewertung_Stammdaten!Q$19,Bewertung_Stammdaten!Q$20)))))))))</f>
        <v>6</v>
      </c>
      <c r="AE59" s="36">
        <f ca="1">IF(AB59&lt;Bewertung_Stammdaten!P$11,Bewertung_Stammdaten!O$11,IF(AB59&lt;Bewertung_Stammdaten!P$12,Bewertung_Stammdaten!O$12,IF(AB59&lt;Bewertung_Stammdaten!P$13,Bewertung_Stammdaten!O$13,IF(AB59&lt;Bewertung_Stammdaten!P$14,Bewertung_Stammdaten!O$14,IF(AB59&lt;Bewertung_Stammdaten!P$15,Bewertung_Stammdaten!O$15,IF(AB59&lt;Bewertung_Stammdaten!P$16,Bewertung_Stammdaten!O$16,IF(AB59&lt;Bewertung_Stammdaten!P$17,Bewertung_Stammdaten!O$17,IF(AB59&lt;Bewertung_Stammdaten!P$18,Bewertung_Stammdaten!O$18,IF(AB59&lt;Bewertung_Stammdaten!P$19,Bewertung_Stammdaten!O$19,Bewertung_Stammdaten!O$20)))))))))</f>
        <v>4</v>
      </c>
      <c r="AF59" s="49"/>
      <c r="AG59" s="13">
        <f ca="1">VLOOKUP(A59,Dividendenrendite!A3:S68,18,FALSE)</f>
        <v>2.944666666666667E-2</v>
      </c>
      <c r="AH59" s="13">
        <f>VLOOKUP(A59,Dividendenrendite!A3:S68,15,FALSE)</f>
        <v>3.3700000000000001E-2</v>
      </c>
      <c r="AI59" s="13">
        <f ca="1">VLOOKUP(A59,Dividendenrendite!A3:S68,19,FALSE)</f>
        <v>-0.12621167161226499</v>
      </c>
      <c r="AJ59" s="36">
        <f ca="1">IF(AG59&lt;Bewertung_Stammdaten!D$11,Bewertung_Stammdaten!C$11,IF(AG59&lt;Bewertung_Stammdaten!D$12,Bewertung_Stammdaten!C$12,IF(AG59&lt;Bewertung_Stammdaten!D$13,Bewertung_Stammdaten!C$13,IF(AG59&lt;Bewertung_Stammdaten!D$14,Bewertung_Stammdaten!C$14,IF(AG59&lt;Bewertung_Stammdaten!D$15,Bewertung_Stammdaten!C$15,IF(AG59&lt;Bewertung_Stammdaten!D$16,Bewertung_Stammdaten!C$16,IF(AG59&lt;Bewertung_Stammdaten!D$17,Bewertung_Stammdaten!C$17,IF(AG59&lt;Bewertung_Stammdaten!D$18,Bewertung_Stammdaten!C$18,IF(AG59&lt;Bewertung_Stammdaten!D$19,Bewertung_Stammdaten!C$19,Bewertung_Stammdaten!C$20)))))))))</f>
        <v>9</v>
      </c>
      <c r="AK59" s="36">
        <f>IF(AH59&lt;Bewertung_Stammdaten!T$11,Bewertung_Stammdaten!S$11,IF(AH59&lt;Bewertung_Stammdaten!T$12,Bewertung_Stammdaten!S$12,IF(AH59&lt;Bewertung_Stammdaten!T$13,Bewertung_Stammdaten!S$13,IF(AH59&lt;Bewertung_Stammdaten!T$14,Bewertung_Stammdaten!S$14,IF(AH59&lt;Bewertung_Stammdaten!T$15,Bewertung_Stammdaten!S$15,IF(AH59&lt;Bewertung_Stammdaten!T$16,Bewertung_Stammdaten!S$16,IF(AH59&lt;Bewertung_Stammdaten!T$17,Bewertung_Stammdaten!S$17,IF(AH59&lt;Bewertung_Stammdaten!T$18,Bewertung_Stammdaten!S$18,IF(AH59&lt;Bewertung_Stammdaten!T$19,Bewertung_Stammdaten!S$19,Bewertung_Stammdaten!S$20)))))))))</f>
        <v>7</v>
      </c>
      <c r="AL59" s="36">
        <f ca="1">IF(AI59&lt;Bewertung_Stammdaten!F$11,Bewertung_Stammdaten!E$11,IF(AI59&lt;Bewertung_Stammdaten!F$12,Bewertung_Stammdaten!E$12,IF(AI59&lt;Bewertung_Stammdaten!F$13,Bewertung_Stammdaten!E$13,IF(AI59&lt;Bewertung_Stammdaten!F$14,Bewertung_Stammdaten!E$14,IF(AI59&lt;Bewertung_Stammdaten!F$15,Bewertung_Stammdaten!E$15,IF(AI59&lt;Bewertung_Stammdaten!F$16,Bewertung_Stammdaten!E$16,IF(AI59&lt;Bewertung_Stammdaten!F$17,Bewertung_Stammdaten!E$17,IF(AI59&lt;Bewertung_Stammdaten!F$18,Bewertung_Stammdaten!E$18,IF(AI59&lt;Bewertung_Stammdaten!F$19,Bewertung_Stammdaten!E$19,Bewertung_Stammdaten!E$20)))))))))</f>
        <v>1.5</v>
      </c>
      <c r="AM59" s="49"/>
      <c r="AN59" s="13">
        <f>VLOOKUP(A59,Aktien_im_Umlauf_splitbereinigt!A3:W68,13,FALSE)</f>
        <v>0</v>
      </c>
      <c r="AO59" s="13">
        <f>VLOOKUP(A59,Aktien_im_Umlauf_splitbereinigt!A3:W68,22,FALSE)</f>
        <v>-1.140083965500264E-2</v>
      </c>
      <c r="AP59" s="13">
        <f>VLOOKUP(A59,Aktien_im_Umlauf_splitbereinigt!A3:W68,23,FALSE)</f>
        <v>-1</v>
      </c>
      <c r="AQ59" s="47">
        <f>IF(AN59&lt;Bewertung_Stammdaten!J$24,Bewertung_Stammdaten!I$24,IF(AN59&lt;Bewertung_Stammdaten!J$25,Bewertung_Stammdaten!I$25,IF(AN59&lt;Bewertung_Stammdaten!J$26,Bewertung_Stammdaten!I$26,IF(AN59&lt;Bewertung_Stammdaten!J$27,Bewertung_Stammdaten!I$27,IF(AN59&lt;Bewertung_Stammdaten!J$28,Bewertung_Stammdaten!I$28,IF(AN59&lt;Bewertung_Stammdaten!J$29,Bewertung_Stammdaten!I$29,IF(AN59&lt;Bewertung_Stammdaten!J$30,Bewertung_Stammdaten!I$30,IF(AN59&lt;Bewertung_Stammdaten!J$31,Bewertung_Stammdaten!I$31,IF(AN59&lt;Bewertung_Stammdaten!J$32,Bewertung_Stammdaten!I$32,Bewertung_Stammdaten!I$33)))))))))</f>
        <v>1</v>
      </c>
      <c r="AR59" s="47">
        <f>IF(AO59&lt;Bewertung_Stammdaten!L$24,Bewertung_Stammdaten!K$24,IF(AO59&lt;Bewertung_Stammdaten!L$25,Bewertung_Stammdaten!K$25,IF(AO59&lt;Bewertung_Stammdaten!L$26,Bewertung_Stammdaten!K$26,IF(AO59&lt;Bewertung_Stammdaten!L$27,Bewertung_Stammdaten!K$27,IF(AO59&lt;Bewertung_Stammdaten!L$28,Bewertung_Stammdaten!K$28,IF(AO59&lt;Bewertung_Stammdaten!L$29,Bewertung_Stammdaten!K$29,IF(AO59&lt;Bewertung_Stammdaten!L$30,Bewertung_Stammdaten!K$30,IF(AO59&lt;Bewertung_Stammdaten!L$31,Bewertung_Stammdaten!K$31,IF(AO59&lt;Bewertung_Stammdaten!L$32,Bewertung_Stammdaten!K$32,Bewertung_Stammdaten!K$33)))))))))</f>
        <v>2.5</v>
      </c>
      <c r="AS59" s="47">
        <f>IF(AP59&lt;Bewertung_Stammdaten!N$24,Bewertung_Stammdaten!M$24,IF(AP59&lt;Bewertung_Stammdaten!N$25,Bewertung_Stammdaten!M$25,IF(AP59&lt;Bewertung_Stammdaten!N$26,Bewertung_Stammdaten!M$26,IF(AP59&lt;Bewertung_Stammdaten!N$27,Bewertung_Stammdaten!M$27,IF(AP59&lt;Bewertung_Stammdaten!N$28,Bewertung_Stammdaten!M$28,IF(AP59&lt;Bewertung_Stammdaten!N$29,Bewertung_Stammdaten!M$29,IF(AP59&lt;Bewertung_Stammdaten!N$30,Bewertung_Stammdaten!M$30,IF(AP59&lt;Bewertung_Stammdaten!N$31,Bewertung_Stammdaten!M$31,IF(AP59&lt;Bewertung_Stammdaten!N$32,Bewertung_Stammdaten!M$32,Bewertung_Stammdaten!M$33)))))))))</f>
        <v>1</v>
      </c>
      <c r="AT59" s="49"/>
      <c r="AU59" s="13">
        <f ca="1">VLOOKUP(A59,Ausschüttungsquote!A3:S68,18,FALSE)</f>
        <v>0.52314568026826425</v>
      </c>
      <c r="AV59" s="13">
        <f>VLOOKUP(A59,Ausschüttungsquote!A3:S68,15,FALSE)</f>
        <v>0.56019228840757074</v>
      </c>
      <c r="AW59" s="13">
        <f ca="1">VLOOKUP(A59,Ausschüttungsquote!A3:S68,19,FALSE)</f>
        <v>-6.6131949521506139E-2</v>
      </c>
      <c r="AX59" s="36">
        <f ca="1">IF(AU59&lt;Bewertung_Stammdaten!H$11,Bewertung_Stammdaten!G$11,IF(AU59&lt;Bewertung_Stammdaten!H$12,Bewertung_Stammdaten!G$12,IF(AU59&lt;Bewertung_Stammdaten!H$13,Bewertung_Stammdaten!G$13,IF(AU59&lt;Bewertung_Stammdaten!H$14,Bewertung_Stammdaten!G$14,IF(AU59&lt;Bewertung_Stammdaten!H$15,Bewertung_Stammdaten!G$15,IF(AU59&lt;Bewertung_Stammdaten!H$16,Bewertung_Stammdaten!G$16,IF(AU59&lt;Bewertung_Stammdaten!H$17,Bewertung_Stammdaten!G$17,IF(AU59&lt;Bewertung_Stammdaten!H$18,Bewertung_Stammdaten!G$18,IF(AU59&lt;Bewertung_Stammdaten!H$19,Bewertung_Stammdaten!G$19,Bewertung_Stammdaten!G$20)))))))))</f>
        <v>3.5</v>
      </c>
      <c r="AY59" s="47">
        <f>IF(AV59&lt;Bewertung_Stammdaten!B$24,Bewertung_Stammdaten!A$24,IF(AV59&lt;Bewertung_Stammdaten!B$25,Bewertung_Stammdaten!A$25,IF(AV59&lt;Bewertung_Stammdaten!B$26,Bewertung_Stammdaten!A$26,IF(AV59&lt;Bewertung_Stammdaten!B$27,Bewertung_Stammdaten!A$27,IF(AV59&lt;Bewertung_Stammdaten!B$28,Bewertung_Stammdaten!A$28,IF(AV59&lt;Bewertung_Stammdaten!B$29,Bewertung_Stammdaten!A$29,IF(AV59&lt;Bewertung_Stammdaten!B$30,Bewertung_Stammdaten!A$30,IF(AV59&lt;Bewertung_Stammdaten!B$31,Bewertung_Stammdaten!A$31,IF(AV59&lt;Bewertung_Stammdaten!B$32,Bewertung_Stammdaten!A$32,Bewertung_Stammdaten!A$33)))))))))</f>
        <v>3</v>
      </c>
      <c r="AZ59" s="36">
        <f ca="1">IF(AW59&lt;Bewertung_Stammdaten!J$11,Bewertung_Stammdaten!I$11,IF(AW59&lt;Bewertung_Stammdaten!J$12,Bewertung_Stammdaten!I$12,IF(AW59&lt;Bewertung_Stammdaten!J$13,Bewertung_Stammdaten!I$13,IF(AW59&lt;Bewertung_Stammdaten!J$14,Bewertung_Stammdaten!I$14,IF(AW59&lt;Bewertung_Stammdaten!J$15,Bewertung_Stammdaten!I$15,IF(AW59&lt;Bewertung_Stammdaten!J$16,Bewertung_Stammdaten!I$16,IF(AW59&lt;Bewertung_Stammdaten!J$17,Bewertung_Stammdaten!I$17,IF(AW59&lt;Bewertung_Stammdaten!J$18,Bewertung_Stammdaten!I$18,IF(AW59&lt;Bewertung_Stammdaten!J$19,Bewertung_Stammdaten!I$19,Bewertung_Stammdaten!I$20)))))))))</f>
        <v>3.5</v>
      </c>
    </row>
    <row r="60" spans="1:52" x14ac:dyDescent="0.25">
      <c r="A60" s="44" t="s">
        <v>116</v>
      </c>
      <c r="B60" s="44" t="s">
        <v>117</v>
      </c>
      <c r="C60" s="36">
        <f t="shared" ca="1" si="7"/>
        <v>67</v>
      </c>
      <c r="D60" s="49"/>
      <c r="E60" s="12">
        <f ca="1">VLOOKUP(A60,KGV!A3:S68,18,FALSE)</f>
        <v>26.063666666666666</v>
      </c>
      <c r="F60" s="12">
        <f>VLOOKUP(A60,KGV!A3:S68,15,FALSE)</f>
        <v>15.1</v>
      </c>
      <c r="G60" s="13">
        <f ca="1">VLOOKUP(A60,KGV!A3:S68,19,FALSE)</f>
        <v>0.72607064017660039</v>
      </c>
      <c r="H60" s="19">
        <f t="shared" ca="1" si="8"/>
        <v>33.729450980392158</v>
      </c>
      <c r="I60" s="13">
        <f t="shared" ca="1" si="9"/>
        <v>1.2337384755226597</v>
      </c>
      <c r="J60" s="36">
        <f ca="1">IF(G60&lt;Bewertung_Stammdaten!B$11,Bewertung_Stammdaten!A$11,IF(G60&lt;Bewertung_Stammdaten!B$12,Bewertung_Stammdaten!A$12,IF(G60&lt;Bewertung_Stammdaten!B$13,Bewertung_Stammdaten!A$13,IF(G60&lt;Bewertung_Stammdaten!B$14,Bewertung_Stammdaten!A$14,IF(G60&lt;Bewertung_Stammdaten!B$15,Bewertung_Stammdaten!A$15,IF(G60&lt;Bewertung_Stammdaten!B$16,Bewertung_Stammdaten!A$16,IF(G60&lt;Bewertung_Stammdaten!B$17,Bewertung_Stammdaten!A$17,IF(G60&lt;Bewertung_Stammdaten!B$18,Bewertung_Stammdaten!A$18,IF(G60&lt;Bewertung_Stammdaten!B$19,Bewertung_Stammdaten!A$19,Bewertung_Stammdaten!A$20)))))))))</f>
        <v>2</v>
      </c>
      <c r="K60" s="36">
        <f ca="1">IF(I60&lt;Bewertung_Stammdaten!N$11,Bewertung_Stammdaten!M$11,IF(I60&lt;Bewertung_Stammdaten!N$12,Bewertung_Stammdaten!M$12,IF(I60&lt;Bewertung_Stammdaten!N$13,Bewertung_Stammdaten!M$13,IF(I60&lt;Bewertung_Stammdaten!N$14,Bewertung_Stammdaten!M$14,IF(I60&lt;Bewertung_Stammdaten!N$15,Bewertung_Stammdaten!M$15,IF(I60&lt;Bewertung_Stammdaten!N$16,Bewertung_Stammdaten!M$16,IF(I60&lt;Bewertung_Stammdaten!N$17,Bewertung_Stammdaten!M$17,IF(I60&lt;Bewertung_Stammdaten!N$18,Bewertung_Stammdaten!M$18,IF(I60&lt;Bewertung_Stammdaten!N$19,Bewertung_Stammdaten!M$19,Bewertung_Stammdaten!M$20)))))))))</f>
        <v>1</v>
      </c>
      <c r="L60" s="49"/>
      <c r="M60" s="12">
        <f ca="1">VLOOKUP(A60,Buchwert_je_Aktie!A3:AC68,18,FALSE)</f>
        <v>17.146666666666668</v>
      </c>
      <c r="N60" s="12">
        <f>VLOOKUP(A60,Buchwert_je_Aktie!A3:AC68,15,FALSE)</f>
        <v>12.454285714285716</v>
      </c>
      <c r="O60" s="13">
        <f ca="1">VLOOKUP(A60,Buchwert_je_Aktie!A3:AC68,19,FALSE)</f>
        <v>0.3767683719507533</v>
      </c>
      <c r="P60" s="13">
        <f>VLOOKUP(A60,Buchwert_je_Aktie!A3:AC68,29,FALSE)</f>
        <v>-0.16738197424892709</v>
      </c>
      <c r="Q60" s="19">
        <f t="shared" ca="1" si="6"/>
        <v>14.276623748211732</v>
      </c>
      <c r="R60" s="13">
        <f t="shared" ca="1" si="3"/>
        <v>0.14632216377015506</v>
      </c>
      <c r="S60" s="58">
        <f ca="1">IF(O60&lt;Bewertung_Stammdaten!D$24,Bewertung_Stammdaten!C$24,IF(O60&lt;Bewertung_Stammdaten!D$25,Bewertung_Stammdaten!C$25,IF(O60&lt;Bewertung_Stammdaten!D$26,Bewertung_Stammdaten!C$26,IF(O60&lt;Bewertung_Stammdaten!D$27,Bewertung_Stammdaten!C$27,IF(O60&lt;Bewertung_Stammdaten!D$28,Bewertung_Stammdaten!C$28,IF(O60&lt;Bewertung_Stammdaten!D$29,Bewertung_Stammdaten!C$29,IF(O60&lt;Bewertung_Stammdaten!D$30,Bewertung_Stammdaten!C$30,IF(O60&lt;Bewertung_Stammdaten!D$31,Bewertung_Stammdaten!C$31,IF(O60&lt;Bewertung_Stammdaten!D$32,Bewertung_Stammdaten!C$32,Bewertung_Stammdaten!C$33)))))))))</f>
        <v>10</v>
      </c>
      <c r="T60" s="58">
        <f>IF(P60&lt;Bewertung_Stammdaten!F$24,Bewertung_Stammdaten!E$24,IF(P60&lt;Bewertung_Stammdaten!F$25,Bewertung_Stammdaten!E$25,IF(P60&lt;Bewertung_Stammdaten!F$26,Bewertung_Stammdaten!E$26,IF(P60&lt;Bewertung_Stammdaten!F$27,Bewertung_Stammdaten!E$27,IF(P60&lt;Bewertung_Stammdaten!F$28,Bewertung_Stammdaten!E$28,IF(P60&lt;Bewertung_Stammdaten!F$29,Bewertung_Stammdaten!E$29,IF(P60&lt;Bewertung_Stammdaten!F$30,Bewertung_Stammdaten!E$30,IF(P60&lt;Bewertung_Stammdaten!F$31,Bewertung_Stammdaten!E$31,IF(P60&lt;Bewertung_Stammdaten!F$32,Bewertung_Stammdaten!E$32,Bewertung_Stammdaten!E$33)))))))))</f>
        <v>6</v>
      </c>
      <c r="U60" s="58">
        <f ca="1">IF(R60&lt;Bewertung_Stammdaten!H$24,Bewertung_Stammdaten!G$24,IF(R60&lt;Bewertung_Stammdaten!H$25,Bewertung_Stammdaten!G$25,IF(R60&lt;Bewertung_Stammdaten!H$26,Bewertung_Stammdaten!G$26,IF(R60&lt;Bewertung_Stammdaten!H$27,Bewertung_Stammdaten!G$27,IF(R60&lt;Bewertung_Stammdaten!H$28,Bewertung_Stammdaten!G$28,IF(R60&lt;Bewertung_Stammdaten!H$29,Bewertung_Stammdaten!G$29,IF(R60&lt;Bewertung_Stammdaten!H$30,Bewertung_Stammdaten!G$30,IF(R60&lt;Bewertung_Stammdaten!H$31,Bewertung_Stammdaten!G$31,IF(R60&lt;Bewertung_Stammdaten!H$32,Bewertung_Stammdaten!G$32,Bewertung_Stammdaten!G$33)))))))))</f>
        <v>3</v>
      </c>
      <c r="V60" s="49"/>
      <c r="W60" s="17">
        <f ca="1">VLOOKUP(A60,Ergebnis_je_Aktie_verwässert!A3:S68,18,FALSE)</f>
        <v>2.2708333333333335</v>
      </c>
      <c r="X60" s="17">
        <f>VLOOKUP(A60,Ergebnis_je_Aktie_verwässert!A3:S68,15,FALSE)</f>
        <v>1.5871428571428567</v>
      </c>
      <c r="Y60" s="13">
        <f ca="1">VLOOKUP(A60,Ergebnis_je_Aktie_verwässert!A3:S68,19,FALSE)</f>
        <v>0.43076807680768114</v>
      </c>
      <c r="Z60" s="46">
        <f>VLOOKUP(A60,Ergebnis_je_Aktie_verwässert!A3:AC68,29,FALSE)</f>
        <v>-0.22727272727272729</v>
      </c>
      <c r="AA60" s="19">
        <f t="shared" ca="1" si="10"/>
        <v>1.7547348484848486</v>
      </c>
      <c r="AB60" s="13">
        <f t="shared" ca="1" si="11"/>
        <v>0.10559351389684468</v>
      </c>
      <c r="AC60" s="36">
        <f ca="1">IF(Y60&lt;Bewertung_Stammdaten!L$11,Bewertung_Stammdaten!K$11,IF(Y60&lt;Bewertung_Stammdaten!L$12,Bewertung_Stammdaten!K$12,IF(Y60&lt;Bewertung_Stammdaten!L$13,Bewertung_Stammdaten!K$13,IF(Y60&lt;Bewertung_Stammdaten!L$14,Bewertung_Stammdaten!K$14,IF(Y60&lt;Bewertung_Stammdaten!L$15,Bewertung_Stammdaten!K$15,IF(Y60&lt;Bewertung_Stammdaten!L$16,Bewertung_Stammdaten!K$16,IF(Y60&lt;Bewertung_Stammdaten!L$17,Bewertung_Stammdaten!K$17,IF(Y60&lt;Bewertung_Stammdaten!L$18,Bewertung_Stammdaten!K$18,IF(Y60&lt;Bewertung_Stammdaten!L$19,Bewertung_Stammdaten!K$19,Bewertung_Stammdaten!K$20)))))))))</f>
        <v>12</v>
      </c>
      <c r="AD60" s="36">
        <f>IF(Z60&lt;Bewertung_Stammdaten!R$11,Bewertung_Stammdaten!Q$11,IF(Z60&lt;Bewertung_Stammdaten!R$12,Bewertung_Stammdaten!Q$12,IF(Z60&lt;Bewertung_Stammdaten!R$13,Bewertung_Stammdaten!Q$13,IF(Z60&lt;Bewertung_Stammdaten!R$14,Bewertung_Stammdaten!Q$14,IF(Z60&lt;Bewertung_Stammdaten!R$15,Bewertung_Stammdaten!Q$15,IF(Z60&lt;Bewertung_Stammdaten!R$16,Bewertung_Stammdaten!Q$16,IF(Z60&lt;Bewertung_Stammdaten!R$17,Bewertung_Stammdaten!Q$17,IF(Z60&lt;Bewertung_Stammdaten!R$18,Bewertung_Stammdaten!Q$18,IF(Z60&lt;Bewertung_Stammdaten!R$19,Bewertung_Stammdaten!Q$19,Bewertung_Stammdaten!Q$20)))))))))</f>
        <v>5</v>
      </c>
      <c r="AE60" s="36">
        <f ca="1">IF(AB60&lt;Bewertung_Stammdaten!P$11,Bewertung_Stammdaten!O$11,IF(AB60&lt;Bewertung_Stammdaten!P$12,Bewertung_Stammdaten!O$12,IF(AB60&lt;Bewertung_Stammdaten!P$13,Bewertung_Stammdaten!O$13,IF(AB60&lt;Bewertung_Stammdaten!P$14,Bewertung_Stammdaten!O$14,IF(AB60&lt;Bewertung_Stammdaten!P$15,Bewertung_Stammdaten!O$15,IF(AB60&lt;Bewertung_Stammdaten!P$16,Bewertung_Stammdaten!O$16,IF(AB60&lt;Bewertung_Stammdaten!P$17,Bewertung_Stammdaten!O$17,IF(AB60&lt;Bewertung_Stammdaten!P$18,Bewertung_Stammdaten!O$18,IF(AB60&lt;Bewertung_Stammdaten!P$19,Bewertung_Stammdaten!O$19,Bewertung_Stammdaten!O$20)))))))))</f>
        <v>3</v>
      </c>
      <c r="AF60" s="49"/>
      <c r="AG60" s="13">
        <f ca="1">VLOOKUP(A60,Dividendenrendite!A3:S68,18,FALSE)</f>
        <v>1.9305555555555555E-2</v>
      </c>
      <c r="AH60" s="13">
        <f>VLOOKUP(A60,Dividendenrendite!A3:S68,15,FALSE)</f>
        <v>2.7585714285714286E-2</v>
      </c>
      <c r="AI60" s="13">
        <f ca="1">VLOOKUP(A60,Dividendenrendite!A3:S68,19,FALSE)</f>
        <v>-0.3001611139881466</v>
      </c>
      <c r="AJ60" s="36">
        <f ca="1">IF(AG60&lt;Bewertung_Stammdaten!D$11,Bewertung_Stammdaten!C$11,IF(AG60&lt;Bewertung_Stammdaten!D$12,Bewertung_Stammdaten!C$12,IF(AG60&lt;Bewertung_Stammdaten!D$13,Bewertung_Stammdaten!C$13,IF(AG60&lt;Bewertung_Stammdaten!D$14,Bewertung_Stammdaten!C$14,IF(AG60&lt;Bewertung_Stammdaten!D$15,Bewertung_Stammdaten!C$15,IF(AG60&lt;Bewertung_Stammdaten!D$16,Bewertung_Stammdaten!C$16,IF(AG60&lt;Bewertung_Stammdaten!D$17,Bewertung_Stammdaten!C$17,IF(AG60&lt;Bewertung_Stammdaten!D$18,Bewertung_Stammdaten!C$18,IF(AG60&lt;Bewertung_Stammdaten!D$19,Bewertung_Stammdaten!C$19,Bewertung_Stammdaten!C$20)))))))))</f>
        <v>6</v>
      </c>
      <c r="AK60" s="36">
        <f>IF(AH60&lt;Bewertung_Stammdaten!T$11,Bewertung_Stammdaten!S$11,IF(AH60&lt;Bewertung_Stammdaten!T$12,Bewertung_Stammdaten!S$12,IF(AH60&lt;Bewertung_Stammdaten!T$13,Bewertung_Stammdaten!S$13,IF(AH60&lt;Bewertung_Stammdaten!T$14,Bewertung_Stammdaten!S$14,IF(AH60&lt;Bewertung_Stammdaten!T$15,Bewertung_Stammdaten!S$15,IF(AH60&lt;Bewertung_Stammdaten!T$16,Bewertung_Stammdaten!S$16,IF(AH60&lt;Bewertung_Stammdaten!T$17,Bewertung_Stammdaten!S$17,IF(AH60&lt;Bewertung_Stammdaten!T$18,Bewertung_Stammdaten!S$18,IF(AH60&lt;Bewertung_Stammdaten!T$19,Bewertung_Stammdaten!S$19,Bewertung_Stammdaten!S$20)))))))))</f>
        <v>6</v>
      </c>
      <c r="AL60" s="36">
        <f ca="1">IF(AI60&lt;Bewertung_Stammdaten!F$11,Bewertung_Stammdaten!E$11,IF(AI60&lt;Bewertung_Stammdaten!F$12,Bewertung_Stammdaten!E$12,IF(AI60&lt;Bewertung_Stammdaten!F$13,Bewertung_Stammdaten!E$13,IF(AI60&lt;Bewertung_Stammdaten!F$14,Bewertung_Stammdaten!E$14,IF(AI60&lt;Bewertung_Stammdaten!F$15,Bewertung_Stammdaten!E$15,IF(AI60&lt;Bewertung_Stammdaten!F$16,Bewertung_Stammdaten!E$16,IF(AI60&lt;Bewertung_Stammdaten!F$17,Bewertung_Stammdaten!E$17,IF(AI60&lt;Bewertung_Stammdaten!F$18,Bewertung_Stammdaten!E$18,IF(AI60&lt;Bewertung_Stammdaten!F$19,Bewertung_Stammdaten!E$19,Bewertung_Stammdaten!E$20)))))))))</f>
        <v>0.5</v>
      </c>
      <c r="AM60" s="49"/>
      <c r="AN60" s="13">
        <f>VLOOKUP(A60,Aktien_im_Umlauf_splitbereinigt!A3:W68,13,FALSE)</f>
        <v>3.6057692307691624E-3</v>
      </c>
      <c r="AO60" s="13">
        <f>VLOOKUP(A60,Aktien_im_Umlauf_splitbereinigt!A3:W68,22,FALSE)</f>
        <v>1.1708513776318208E-2</v>
      </c>
      <c r="AP60" s="13">
        <f>VLOOKUP(A60,Aktien_im_Umlauf_splitbereinigt!A3:W68,23,FALSE)</f>
        <v>-99.999989999999997</v>
      </c>
      <c r="AQ60" s="47">
        <f>IF(AN60&lt;Bewertung_Stammdaten!J$24,Bewertung_Stammdaten!I$24,IF(AN60&lt;Bewertung_Stammdaten!J$25,Bewertung_Stammdaten!I$25,IF(AN60&lt;Bewertung_Stammdaten!J$26,Bewertung_Stammdaten!I$26,IF(AN60&lt;Bewertung_Stammdaten!J$27,Bewertung_Stammdaten!I$27,IF(AN60&lt;Bewertung_Stammdaten!J$28,Bewertung_Stammdaten!I$28,IF(AN60&lt;Bewertung_Stammdaten!J$29,Bewertung_Stammdaten!I$29,IF(AN60&lt;Bewertung_Stammdaten!J$30,Bewertung_Stammdaten!I$30,IF(AN60&lt;Bewertung_Stammdaten!J$31,Bewertung_Stammdaten!I$31,IF(AN60&lt;Bewertung_Stammdaten!J$32,Bewertung_Stammdaten!I$32,Bewertung_Stammdaten!I$33)))))))))</f>
        <v>1</v>
      </c>
      <c r="AR60" s="47">
        <f>IF(AO60&lt;Bewertung_Stammdaten!L$24,Bewertung_Stammdaten!K$24,IF(AO60&lt;Bewertung_Stammdaten!L$25,Bewertung_Stammdaten!K$25,IF(AO60&lt;Bewertung_Stammdaten!L$26,Bewertung_Stammdaten!K$26,IF(AO60&lt;Bewertung_Stammdaten!L$27,Bewertung_Stammdaten!K$27,IF(AO60&lt;Bewertung_Stammdaten!L$28,Bewertung_Stammdaten!K$28,IF(AO60&lt;Bewertung_Stammdaten!L$29,Bewertung_Stammdaten!K$29,IF(AO60&lt;Bewertung_Stammdaten!L$30,Bewertung_Stammdaten!K$30,IF(AO60&lt;Bewertung_Stammdaten!L$31,Bewertung_Stammdaten!K$31,IF(AO60&lt;Bewertung_Stammdaten!L$32,Bewertung_Stammdaten!K$32,Bewertung_Stammdaten!K$33)))))))))</f>
        <v>0.5</v>
      </c>
      <c r="AS60" s="47">
        <f>IF(AP60&lt;Bewertung_Stammdaten!N$24,Bewertung_Stammdaten!M$24,IF(AP60&lt;Bewertung_Stammdaten!N$25,Bewertung_Stammdaten!M$25,IF(AP60&lt;Bewertung_Stammdaten!N$26,Bewertung_Stammdaten!M$26,IF(AP60&lt;Bewertung_Stammdaten!N$27,Bewertung_Stammdaten!M$27,IF(AP60&lt;Bewertung_Stammdaten!N$28,Bewertung_Stammdaten!M$28,IF(AP60&lt;Bewertung_Stammdaten!N$29,Bewertung_Stammdaten!M$29,IF(AP60&lt;Bewertung_Stammdaten!N$30,Bewertung_Stammdaten!M$30,IF(AP60&lt;Bewertung_Stammdaten!N$31,Bewertung_Stammdaten!M$31,IF(AP60&lt;Bewertung_Stammdaten!N$32,Bewertung_Stammdaten!M$32,Bewertung_Stammdaten!M$33)))))))))</f>
        <v>0.5</v>
      </c>
      <c r="AT60" s="49"/>
      <c r="AU60" s="13">
        <f ca="1">VLOOKUP(A60,Ausschüttungsquote!A3:S68,18,FALSE)</f>
        <v>0.49212300276493182</v>
      </c>
      <c r="AV60" s="13">
        <f>VLOOKUP(A60,Ausschüttungsquote!A3:S68,15,FALSE)</f>
        <v>0.4687782957680095</v>
      </c>
      <c r="AW60" s="13">
        <f ca="1">VLOOKUP(A60,Ausschüttungsquote!A3:S68,19,FALSE)</f>
        <v>4.979903550926168E-2</v>
      </c>
      <c r="AX60" s="36">
        <f ca="1">IF(AU60&lt;Bewertung_Stammdaten!H$11,Bewertung_Stammdaten!G$11,IF(AU60&lt;Bewertung_Stammdaten!H$12,Bewertung_Stammdaten!G$12,IF(AU60&lt;Bewertung_Stammdaten!H$13,Bewertung_Stammdaten!G$13,IF(AU60&lt;Bewertung_Stammdaten!H$14,Bewertung_Stammdaten!G$14,IF(AU60&lt;Bewertung_Stammdaten!H$15,Bewertung_Stammdaten!G$15,IF(AU60&lt;Bewertung_Stammdaten!H$16,Bewertung_Stammdaten!G$16,IF(AU60&lt;Bewertung_Stammdaten!H$17,Bewertung_Stammdaten!G$17,IF(AU60&lt;Bewertung_Stammdaten!H$18,Bewertung_Stammdaten!G$18,IF(AU60&lt;Bewertung_Stammdaten!H$19,Bewertung_Stammdaten!G$19,Bewertung_Stammdaten!G$20)))))))))</f>
        <v>4</v>
      </c>
      <c r="AY60" s="47">
        <f>IF(AV60&lt;Bewertung_Stammdaten!B$24,Bewertung_Stammdaten!A$24,IF(AV60&lt;Bewertung_Stammdaten!B$25,Bewertung_Stammdaten!A$25,IF(AV60&lt;Bewertung_Stammdaten!B$26,Bewertung_Stammdaten!A$26,IF(AV60&lt;Bewertung_Stammdaten!B$27,Bewertung_Stammdaten!A$27,IF(AV60&lt;Bewertung_Stammdaten!B$28,Bewertung_Stammdaten!A$28,IF(AV60&lt;Bewertung_Stammdaten!B$29,Bewertung_Stammdaten!A$29,IF(AV60&lt;Bewertung_Stammdaten!B$30,Bewertung_Stammdaten!A$30,IF(AV60&lt;Bewertung_Stammdaten!B$31,Bewertung_Stammdaten!A$31,IF(AV60&lt;Bewertung_Stammdaten!B$32,Bewertung_Stammdaten!A$32,Bewertung_Stammdaten!A$33)))))))))</f>
        <v>4</v>
      </c>
      <c r="AZ60" s="36">
        <f ca="1">IF(AW60&lt;Bewertung_Stammdaten!J$11,Bewertung_Stammdaten!I$11,IF(AW60&lt;Bewertung_Stammdaten!J$12,Bewertung_Stammdaten!I$12,IF(AW60&lt;Bewertung_Stammdaten!J$13,Bewertung_Stammdaten!I$13,IF(AW60&lt;Bewertung_Stammdaten!J$14,Bewertung_Stammdaten!I$14,IF(AW60&lt;Bewertung_Stammdaten!J$15,Bewertung_Stammdaten!I$15,IF(AW60&lt;Bewertung_Stammdaten!J$16,Bewertung_Stammdaten!I$16,IF(AW60&lt;Bewertung_Stammdaten!J$17,Bewertung_Stammdaten!I$17,IF(AW60&lt;Bewertung_Stammdaten!J$18,Bewertung_Stammdaten!I$18,IF(AW60&lt;Bewertung_Stammdaten!J$19,Bewertung_Stammdaten!I$19,Bewertung_Stammdaten!I$20)))))))))</f>
        <v>2.5</v>
      </c>
    </row>
    <row r="61" spans="1:52" x14ac:dyDescent="0.25">
      <c r="A61" s="44" t="s">
        <v>118</v>
      </c>
      <c r="B61" s="44" t="s">
        <v>119</v>
      </c>
      <c r="C61" s="36">
        <f t="shared" ca="1" si="7"/>
        <v>56</v>
      </c>
      <c r="D61" s="49"/>
      <c r="E61" s="12">
        <f ca="1">VLOOKUP(A61,KGV!A3:S68,18,FALSE)</f>
        <v>16.954722222222223</v>
      </c>
      <c r="F61" s="12">
        <f>VLOOKUP(A61,KGV!A3:S68,15,FALSE)</f>
        <v>14.350000000000001</v>
      </c>
      <c r="G61" s="13">
        <f ca="1">VLOOKUP(A61,KGV!A3:S68,19,FALSE)</f>
        <v>0.18151374370886564</v>
      </c>
      <c r="H61" s="19">
        <f t="shared" ca="1" si="8"/>
        <v>57.222187500000004</v>
      </c>
      <c r="I61" s="13">
        <f t="shared" ca="1" si="9"/>
        <v>2.9876088850174214</v>
      </c>
      <c r="J61" s="36">
        <f ca="1">IF(G61&lt;Bewertung_Stammdaten!B$11,Bewertung_Stammdaten!A$11,IF(G61&lt;Bewertung_Stammdaten!B$12,Bewertung_Stammdaten!A$12,IF(G61&lt;Bewertung_Stammdaten!B$13,Bewertung_Stammdaten!A$13,IF(G61&lt;Bewertung_Stammdaten!B$14,Bewertung_Stammdaten!A$14,IF(G61&lt;Bewertung_Stammdaten!B$15,Bewertung_Stammdaten!A$15,IF(G61&lt;Bewertung_Stammdaten!B$16,Bewertung_Stammdaten!A$16,IF(G61&lt;Bewertung_Stammdaten!B$17,Bewertung_Stammdaten!A$17,IF(G61&lt;Bewertung_Stammdaten!B$18,Bewertung_Stammdaten!A$18,IF(G61&lt;Bewertung_Stammdaten!B$19,Bewertung_Stammdaten!A$19,Bewertung_Stammdaten!A$20)))))))))</f>
        <v>4</v>
      </c>
      <c r="K61" s="36">
        <f ca="1">IF(I61&lt;Bewertung_Stammdaten!N$11,Bewertung_Stammdaten!M$11,IF(I61&lt;Bewertung_Stammdaten!N$12,Bewertung_Stammdaten!M$12,IF(I61&lt;Bewertung_Stammdaten!N$13,Bewertung_Stammdaten!M$13,IF(I61&lt;Bewertung_Stammdaten!N$14,Bewertung_Stammdaten!M$14,IF(I61&lt;Bewertung_Stammdaten!N$15,Bewertung_Stammdaten!M$15,IF(I61&lt;Bewertung_Stammdaten!N$16,Bewertung_Stammdaten!M$16,IF(I61&lt;Bewertung_Stammdaten!N$17,Bewertung_Stammdaten!M$17,IF(I61&lt;Bewertung_Stammdaten!N$18,Bewertung_Stammdaten!M$18,IF(I61&lt;Bewertung_Stammdaten!N$19,Bewertung_Stammdaten!M$19,Bewertung_Stammdaten!M$20)))))))))</f>
        <v>1</v>
      </c>
      <c r="L61" s="49"/>
      <c r="M61" s="12">
        <f ca="1">VLOOKUP(A61,Buchwert_je_Aktie!A3:AC68,18,FALSE)</f>
        <v>1.3097222222222222</v>
      </c>
      <c r="N61" s="12">
        <f>VLOOKUP(A61,Buchwert_je_Aktie!A3:AC68,15,FALSE)</f>
        <v>1.3980000000000001</v>
      </c>
      <c r="O61" s="13">
        <f ca="1">VLOOKUP(A61,Buchwert_je_Aktie!A3:AC68,19,FALSE)</f>
        <v>-6.3145763789540732E-2</v>
      </c>
      <c r="P61" s="13">
        <f>VLOOKUP(A61,Buchwert_je_Aktie!A3:AC68,29,FALSE)</f>
        <v>-0.2551724137931034</v>
      </c>
      <c r="Q61" s="19">
        <f t="shared" ca="1" si="6"/>
        <v>0.9755172413793104</v>
      </c>
      <c r="R61" s="13">
        <f t="shared" ca="1" si="3"/>
        <v>-0.30220512061565785</v>
      </c>
      <c r="S61" s="58">
        <f ca="1">IF(O61&lt;Bewertung_Stammdaten!D$24,Bewertung_Stammdaten!C$24,IF(O61&lt;Bewertung_Stammdaten!D$25,Bewertung_Stammdaten!C$25,IF(O61&lt;Bewertung_Stammdaten!D$26,Bewertung_Stammdaten!C$26,IF(O61&lt;Bewertung_Stammdaten!D$27,Bewertung_Stammdaten!C$27,IF(O61&lt;Bewertung_Stammdaten!D$28,Bewertung_Stammdaten!C$28,IF(O61&lt;Bewertung_Stammdaten!D$29,Bewertung_Stammdaten!C$29,IF(O61&lt;Bewertung_Stammdaten!D$30,Bewertung_Stammdaten!C$30,IF(O61&lt;Bewertung_Stammdaten!D$31,Bewertung_Stammdaten!C$31,IF(O61&lt;Bewertung_Stammdaten!D$32,Bewertung_Stammdaten!C$32,Bewertung_Stammdaten!C$33)))))))))</f>
        <v>2</v>
      </c>
      <c r="T61" s="58">
        <f>IF(P61&lt;Bewertung_Stammdaten!F$24,Bewertung_Stammdaten!E$24,IF(P61&lt;Bewertung_Stammdaten!F$25,Bewertung_Stammdaten!E$25,IF(P61&lt;Bewertung_Stammdaten!F$26,Bewertung_Stammdaten!E$26,IF(P61&lt;Bewertung_Stammdaten!F$27,Bewertung_Stammdaten!E$27,IF(P61&lt;Bewertung_Stammdaten!F$28,Bewertung_Stammdaten!E$28,IF(P61&lt;Bewertung_Stammdaten!F$29,Bewertung_Stammdaten!E$29,IF(P61&lt;Bewertung_Stammdaten!F$30,Bewertung_Stammdaten!E$30,IF(P61&lt;Bewertung_Stammdaten!F$31,Bewertung_Stammdaten!E$31,IF(P61&lt;Bewertung_Stammdaten!F$32,Bewertung_Stammdaten!E$32,Bewertung_Stammdaten!E$33)))))))))</f>
        <v>3</v>
      </c>
      <c r="U61" s="58">
        <f ca="1">IF(R61&lt;Bewertung_Stammdaten!H$24,Bewertung_Stammdaten!G$24,IF(R61&lt;Bewertung_Stammdaten!H$25,Bewertung_Stammdaten!G$25,IF(R61&lt;Bewertung_Stammdaten!H$26,Bewertung_Stammdaten!G$26,IF(R61&lt;Bewertung_Stammdaten!H$27,Bewertung_Stammdaten!G$27,IF(R61&lt;Bewertung_Stammdaten!H$28,Bewertung_Stammdaten!G$28,IF(R61&lt;Bewertung_Stammdaten!H$29,Bewertung_Stammdaten!G$29,IF(R61&lt;Bewertung_Stammdaten!H$30,Bewertung_Stammdaten!G$30,IF(R61&lt;Bewertung_Stammdaten!H$31,Bewertung_Stammdaten!G$31,IF(R61&lt;Bewertung_Stammdaten!H$32,Bewertung_Stammdaten!G$32,Bewertung_Stammdaten!G$33)))))))))</f>
        <v>1</v>
      </c>
      <c r="V61" s="49"/>
      <c r="W61" s="17">
        <f ca="1">VLOOKUP(A61,Ergebnis_je_Aktie_verwässert!A3:S68,18,FALSE)</f>
        <v>0.92146944444444445</v>
      </c>
      <c r="X61" s="17">
        <f>VLOOKUP(A61,Ergebnis_je_Aktie_verwässert!A3:S68,15,FALSE)</f>
        <v>0.88000000000000012</v>
      </c>
      <c r="Y61" s="13">
        <f ca="1">VLOOKUP(A61,Ergebnis_je_Aktie_verwässert!A3:S68,19,FALSE)</f>
        <v>4.7124368686868534E-2</v>
      </c>
      <c r="Z61" s="46">
        <f>VLOOKUP(A61,Ergebnis_je_Aktie_verwässert!A3:AC68,29,FALSE)</f>
        <v>-0.70370370370370372</v>
      </c>
      <c r="AA61" s="19">
        <f t="shared" ca="1" si="10"/>
        <v>0.27302798353909463</v>
      </c>
      <c r="AB61" s="13">
        <f t="shared" ca="1" si="11"/>
        <v>-0.68974092779648344</v>
      </c>
      <c r="AC61" s="36">
        <f ca="1">IF(Y61&lt;Bewertung_Stammdaten!L$11,Bewertung_Stammdaten!K$11,IF(Y61&lt;Bewertung_Stammdaten!L$12,Bewertung_Stammdaten!K$12,IF(Y61&lt;Bewertung_Stammdaten!L$13,Bewertung_Stammdaten!K$13,IF(Y61&lt;Bewertung_Stammdaten!L$14,Bewertung_Stammdaten!K$14,IF(Y61&lt;Bewertung_Stammdaten!L$15,Bewertung_Stammdaten!K$15,IF(Y61&lt;Bewertung_Stammdaten!L$16,Bewertung_Stammdaten!K$16,IF(Y61&lt;Bewertung_Stammdaten!L$17,Bewertung_Stammdaten!K$17,IF(Y61&lt;Bewertung_Stammdaten!L$18,Bewertung_Stammdaten!K$18,IF(Y61&lt;Bewertung_Stammdaten!L$19,Bewertung_Stammdaten!K$19,Bewertung_Stammdaten!K$20)))))))))</f>
        <v>4</v>
      </c>
      <c r="AD61" s="36">
        <f>IF(Z61&lt;Bewertung_Stammdaten!R$11,Bewertung_Stammdaten!Q$11,IF(Z61&lt;Bewertung_Stammdaten!R$12,Bewertung_Stammdaten!Q$12,IF(Z61&lt;Bewertung_Stammdaten!R$13,Bewertung_Stammdaten!Q$13,IF(Z61&lt;Bewertung_Stammdaten!R$14,Bewertung_Stammdaten!Q$14,IF(Z61&lt;Bewertung_Stammdaten!R$15,Bewertung_Stammdaten!Q$15,IF(Z61&lt;Bewertung_Stammdaten!R$16,Bewertung_Stammdaten!Q$16,IF(Z61&lt;Bewertung_Stammdaten!R$17,Bewertung_Stammdaten!Q$17,IF(Z61&lt;Bewertung_Stammdaten!R$18,Bewertung_Stammdaten!Q$18,IF(Z61&lt;Bewertung_Stammdaten!R$19,Bewertung_Stammdaten!Q$19,Bewertung_Stammdaten!Q$20)))))))))</f>
        <v>1</v>
      </c>
      <c r="AE61" s="36">
        <f ca="1">IF(AB61&lt;Bewertung_Stammdaten!P$11,Bewertung_Stammdaten!O$11,IF(AB61&lt;Bewertung_Stammdaten!P$12,Bewertung_Stammdaten!O$12,IF(AB61&lt;Bewertung_Stammdaten!P$13,Bewertung_Stammdaten!O$13,IF(AB61&lt;Bewertung_Stammdaten!P$14,Bewertung_Stammdaten!O$14,IF(AB61&lt;Bewertung_Stammdaten!P$15,Bewertung_Stammdaten!O$15,IF(AB61&lt;Bewertung_Stammdaten!P$16,Bewertung_Stammdaten!O$16,IF(AB61&lt;Bewertung_Stammdaten!P$17,Bewertung_Stammdaten!O$17,IF(AB61&lt;Bewertung_Stammdaten!P$18,Bewertung_Stammdaten!O$18,IF(AB61&lt;Bewertung_Stammdaten!P$19,Bewertung_Stammdaten!O$19,Bewertung_Stammdaten!O$20)))))))))</f>
        <v>1</v>
      </c>
      <c r="AF61" s="49"/>
      <c r="AG61" s="13">
        <f ca="1">VLOOKUP(A61,Dividendenrendite!A3:S68,18,FALSE)</f>
        <v>5.2164444444444444E-2</v>
      </c>
      <c r="AH61" s="13">
        <f>VLOOKUP(A61,Dividendenrendite!A3:S68,15,FALSE)</f>
        <v>4.2220000000000001E-2</v>
      </c>
      <c r="AI61" s="13">
        <f ca="1">VLOOKUP(A61,Dividendenrendite!A3:S68,19,FALSE)</f>
        <v>0.23553871256381909</v>
      </c>
      <c r="AJ61" s="36">
        <f ca="1">IF(AG61&lt;Bewertung_Stammdaten!D$11,Bewertung_Stammdaten!C$11,IF(AG61&lt;Bewertung_Stammdaten!D$12,Bewertung_Stammdaten!C$12,IF(AG61&lt;Bewertung_Stammdaten!D$13,Bewertung_Stammdaten!C$13,IF(AG61&lt;Bewertung_Stammdaten!D$14,Bewertung_Stammdaten!C$14,IF(AG61&lt;Bewertung_Stammdaten!D$15,Bewertung_Stammdaten!C$15,IF(AG61&lt;Bewertung_Stammdaten!D$16,Bewertung_Stammdaten!C$16,IF(AG61&lt;Bewertung_Stammdaten!D$17,Bewertung_Stammdaten!C$17,IF(AG61&lt;Bewertung_Stammdaten!D$18,Bewertung_Stammdaten!C$18,IF(AG61&lt;Bewertung_Stammdaten!D$19,Bewertung_Stammdaten!C$19,Bewertung_Stammdaten!C$20)))))))))</f>
        <v>15</v>
      </c>
      <c r="AK61" s="36">
        <f>IF(AH61&lt;Bewertung_Stammdaten!T$11,Bewertung_Stammdaten!S$11,IF(AH61&lt;Bewertung_Stammdaten!T$12,Bewertung_Stammdaten!S$12,IF(AH61&lt;Bewertung_Stammdaten!T$13,Bewertung_Stammdaten!S$13,IF(AH61&lt;Bewertung_Stammdaten!T$14,Bewertung_Stammdaten!S$14,IF(AH61&lt;Bewertung_Stammdaten!T$15,Bewertung_Stammdaten!S$15,IF(AH61&lt;Bewertung_Stammdaten!T$16,Bewertung_Stammdaten!S$16,IF(AH61&lt;Bewertung_Stammdaten!T$17,Bewertung_Stammdaten!S$17,IF(AH61&lt;Bewertung_Stammdaten!T$18,Bewertung_Stammdaten!S$18,IF(AH61&lt;Bewertung_Stammdaten!T$19,Bewertung_Stammdaten!S$19,Bewertung_Stammdaten!S$20)))))))))</f>
        <v>9</v>
      </c>
      <c r="AL61" s="36">
        <f ca="1">IF(AI61&lt;Bewertung_Stammdaten!F$11,Bewertung_Stammdaten!E$11,IF(AI61&lt;Bewertung_Stammdaten!F$12,Bewertung_Stammdaten!E$12,IF(AI61&lt;Bewertung_Stammdaten!F$13,Bewertung_Stammdaten!E$13,IF(AI61&lt;Bewertung_Stammdaten!F$14,Bewertung_Stammdaten!E$14,IF(AI61&lt;Bewertung_Stammdaten!F$15,Bewertung_Stammdaten!E$15,IF(AI61&lt;Bewertung_Stammdaten!F$16,Bewertung_Stammdaten!E$16,IF(AI61&lt;Bewertung_Stammdaten!F$17,Bewertung_Stammdaten!E$17,IF(AI61&lt;Bewertung_Stammdaten!F$18,Bewertung_Stammdaten!E$18,IF(AI61&lt;Bewertung_Stammdaten!F$19,Bewertung_Stammdaten!E$19,Bewertung_Stammdaten!E$20)))))))))</f>
        <v>5</v>
      </c>
      <c r="AM61" s="49"/>
      <c r="AN61" s="13">
        <f>VLOOKUP(A61,Aktien_im_Umlauf_splitbereinigt!A3:W68,13,FALSE)</f>
        <v>-1.0374212671359739E-2</v>
      </c>
      <c r="AO61" s="13">
        <f>VLOOKUP(A61,Aktien_im_Umlauf_splitbereinigt!A3:W68,22,FALSE)</f>
        <v>-1.1478415152491607E-2</v>
      </c>
      <c r="AP61" s="13">
        <f>VLOOKUP(A61,Aktien_im_Umlauf_splitbereinigt!A3:W68,23,FALSE)</f>
        <v>-9.6198165553558979E-2</v>
      </c>
      <c r="AQ61" s="47">
        <f>IF(AN61&lt;Bewertung_Stammdaten!J$24,Bewertung_Stammdaten!I$24,IF(AN61&lt;Bewertung_Stammdaten!J$25,Bewertung_Stammdaten!I$25,IF(AN61&lt;Bewertung_Stammdaten!J$26,Bewertung_Stammdaten!I$26,IF(AN61&lt;Bewertung_Stammdaten!J$27,Bewertung_Stammdaten!I$27,IF(AN61&lt;Bewertung_Stammdaten!J$28,Bewertung_Stammdaten!I$28,IF(AN61&lt;Bewertung_Stammdaten!J$29,Bewertung_Stammdaten!I$29,IF(AN61&lt;Bewertung_Stammdaten!J$30,Bewertung_Stammdaten!I$30,IF(AN61&lt;Bewertung_Stammdaten!J$31,Bewertung_Stammdaten!I$31,IF(AN61&lt;Bewertung_Stammdaten!J$32,Bewertung_Stammdaten!I$32,Bewertung_Stammdaten!I$33)))))))))</f>
        <v>2.5</v>
      </c>
      <c r="AR61" s="47">
        <f>IF(AO61&lt;Bewertung_Stammdaten!L$24,Bewertung_Stammdaten!K$24,IF(AO61&lt;Bewertung_Stammdaten!L$25,Bewertung_Stammdaten!K$25,IF(AO61&lt;Bewertung_Stammdaten!L$26,Bewertung_Stammdaten!K$26,IF(AO61&lt;Bewertung_Stammdaten!L$27,Bewertung_Stammdaten!K$27,IF(AO61&lt;Bewertung_Stammdaten!L$28,Bewertung_Stammdaten!K$28,IF(AO61&lt;Bewertung_Stammdaten!L$29,Bewertung_Stammdaten!K$29,IF(AO61&lt;Bewertung_Stammdaten!L$30,Bewertung_Stammdaten!K$30,IF(AO61&lt;Bewertung_Stammdaten!L$31,Bewertung_Stammdaten!K$31,IF(AO61&lt;Bewertung_Stammdaten!L$32,Bewertung_Stammdaten!K$32,Bewertung_Stammdaten!K$33)))))))))</f>
        <v>2.5</v>
      </c>
      <c r="AS61" s="47">
        <f>IF(AP61&lt;Bewertung_Stammdaten!N$24,Bewertung_Stammdaten!M$24,IF(AP61&lt;Bewertung_Stammdaten!N$25,Bewertung_Stammdaten!M$25,IF(AP61&lt;Bewertung_Stammdaten!N$26,Bewertung_Stammdaten!M$26,IF(AP61&lt;Bewertung_Stammdaten!N$27,Bewertung_Stammdaten!M$27,IF(AP61&lt;Bewertung_Stammdaten!N$28,Bewertung_Stammdaten!M$28,IF(AP61&lt;Bewertung_Stammdaten!N$29,Bewertung_Stammdaten!M$29,IF(AP61&lt;Bewertung_Stammdaten!N$30,Bewertung_Stammdaten!M$30,IF(AP61&lt;Bewertung_Stammdaten!N$31,Bewertung_Stammdaten!M$31,IF(AP61&lt;Bewertung_Stammdaten!N$32,Bewertung_Stammdaten!M$32,Bewertung_Stammdaten!M$33)))))))))</f>
        <v>2.5</v>
      </c>
      <c r="AT61" s="49"/>
      <c r="AU61" s="13">
        <f ca="1">VLOOKUP(A61,Ausschüttungsquote!A3:S68,18,FALSE)</f>
        <v>0.88406034411076784</v>
      </c>
      <c r="AV61" s="13">
        <f>VLOOKUP(A61,Ausschüttungsquote!A3:S68,15,FALSE)</f>
        <v>0.75961325777996214</v>
      </c>
      <c r="AW61" s="13">
        <f ca="1">VLOOKUP(A61,Ausschüttungsquote!A3:S68,19,FALSE)</f>
        <v>0.16382953437978887</v>
      </c>
      <c r="AX61" s="36">
        <f ca="1">IF(AU61&lt;Bewertung_Stammdaten!H$11,Bewertung_Stammdaten!G$11,IF(AU61&lt;Bewertung_Stammdaten!H$12,Bewertung_Stammdaten!G$12,IF(AU61&lt;Bewertung_Stammdaten!H$13,Bewertung_Stammdaten!G$13,IF(AU61&lt;Bewertung_Stammdaten!H$14,Bewertung_Stammdaten!G$14,IF(AU61&lt;Bewertung_Stammdaten!H$15,Bewertung_Stammdaten!G$15,IF(AU61&lt;Bewertung_Stammdaten!H$16,Bewertung_Stammdaten!G$16,IF(AU61&lt;Bewertung_Stammdaten!H$17,Bewertung_Stammdaten!G$17,IF(AU61&lt;Bewertung_Stammdaten!H$18,Bewertung_Stammdaten!G$18,IF(AU61&lt;Bewertung_Stammdaten!H$19,Bewertung_Stammdaten!G$19,Bewertung_Stammdaten!G$20)))))))))</f>
        <v>0.5</v>
      </c>
      <c r="AY61" s="47">
        <f>IF(AV61&lt;Bewertung_Stammdaten!B$24,Bewertung_Stammdaten!A$24,IF(AV61&lt;Bewertung_Stammdaten!B$25,Bewertung_Stammdaten!A$25,IF(AV61&lt;Bewertung_Stammdaten!B$26,Bewertung_Stammdaten!A$26,IF(AV61&lt;Bewertung_Stammdaten!B$27,Bewertung_Stammdaten!A$27,IF(AV61&lt;Bewertung_Stammdaten!B$28,Bewertung_Stammdaten!A$28,IF(AV61&lt;Bewertung_Stammdaten!B$29,Bewertung_Stammdaten!A$29,IF(AV61&lt;Bewertung_Stammdaten!B$30,Bewertung_Stammdaten!A$30,IF(AV61&lt;Bewertung_Stammdaten!B$31,Bewertung_Stammdaten!A$31,IF(AV61&lt;Bewertung_Stammdaten!B$32,Bewertung_Stammdaten!A$32,Bewertung_Stammdaten!A$33)))))))))</f>
        <v>1</v>
      </c>
      <c r="AZ61" s="36">
        <f ca="1">IF(AW61&lt;Bewertung_Stammdaten!J$11,Bewertung_Stammdaten!I$11,IF(AW61&lt;Bewertung_Stammdaten!J$12,Bewertung_Stammdaten!I$12,IF(AW61&lt;Bewertung_Stammdaten!J$13,Bewertung_Stammdaten!I$13,IF(AW61&lt;Bewertung_Stammdaten!J$14,Bewertung_Stammdaten!I$14,IF(AW61&lt;Bewertung_Stammdaten!J$15,Bewertung_Stammdaten!I$15,IF(AW61&lt;Bewertung_Stammdaten!J$16,Bewertung_Stammdaten!I$16,IF(AW61&lt;Bewertung_Stammdaten!J$17,Bewertung_Stammdaten!I$17,IF(AW61&lt;Bewertung_Stammdaten!J$18,Bewertung_Stammdaten!I$18,IF(AW61&lt;Bewertung_Stammdaten!J$19,Bewertung_Stammdaten!I$19,Bewertung_Stammdaten!I$20)))))))))</f>
        <v>1</v>
      </c>
    </row>
    <row r="62" spans="1:52" x14ac:dyDescent="0.25">
      <c r="A62" s="44" t="s">
        <v>120</v>
      </c>
      <c r="B62" s="44" t="s">
        <v>121</v>
      </c>
      <c r="C62" s="36">
        <f t="shared" ca="1" si="7"/>
        <v>91.5</v>
      </c>
      <c r="D62" s="49"/>
      <c r="E62" s="12">
        <f ca="1">VLOOKUP(A62,KGV!A3:S68,18,FALSE)</f>
        <v>18.997222222222224</v>
      </c>
      <c r="F62" s="12">
        <f>VLOOKUP(A62,KGV!A3:S68,15,FALSE)</f>
        <v>16.3</v>
      </c>
      <c r="G62" s="13">
        <f ca="1">VLOOKUP(A62,KGV!A3:S68,19,FALSE)</f>
        <v>0.1654737559645536</v>
      </c>
      <c r="H62" s="19">
        <f t="shared" ca="1" si="8"/>
        <v>19.871571362157137</v>
      </c>
      <c r="I62" s="13">
        <f t="shared" ca="1" si="9"/>
        <v>0.21911480749430279</v>
      </c>
      <c r="J62" s="36">
        <f ca="1">IF(G62&lt;Bewertung_Stammdaten!B$11,Bewertung_Stammdaten!A$11,IF(G62&lt;Bewertung_Stammdaten!B$12,Bewertung_Stammdaten!A$12,IF(G62&lt;Bewertung_Stammdaten!B$13,Bewertung_Stammdaten!A$13,IF(G62&lt;Bewertung_Stammdaten!B$14,Bewertung_Stammdaten!A$14,IF(G62&lt;Bewertung_Stammdaten!B$15,Bewertung_Stammdaten!A$15,IF(G62&lt;Bewertung_Stammdaten!B$16,Bewertung_Stammdaten!A$16,IF(G62&lt;Bewertung_Stammdaten!B$17,Bewertung_Stammdaten!A$17,IF(G62&lt;Bewertung_Stammdaten!B$18,Bewertung_Stammdaten!A$18,IF(G62&lt;Bewertung_Stammdaten!B$19,Bewertung_Stammdaten!A$19,Bewertung_Stammdaten!A$20)))))))))</f>
        <v>4</v>
      </c>
      <c r="K62" s="36">
        <f ca="1">IF(I62&lt;Bewertung_Stammdaten!N$11,Bewertung_Stammdaten!M$11,IF(I62&lt;Bewertung_Stammdaten!N$12,Bewertung_Stammdaten!M$12,IF(I62&lt;Bewertung_Stammdaten!N$13,Bewertung_Stammdaten!M$13,IF(I62&lt;Bewertung_Stammdaten!N$14,Bewertung_Stammdaten!M$14,IF(I62&lt;Bewertung_Stammdaten!N$15,Bewertung_Stammdaten!M$15,IF(I62&lt;Bewertung_Stammdaten!N$16,Bewertung_Stammdaten!M$16,IF(I62&lt;Bewertung_Stammdaten!N$17,Bewertung_Stammdaten!M$17,IF(I62&lt;Bewertung_Stammdaten!N$18,Bewertung_Stammdaten!M$18,IF(I62&lt;Bewertung_Stammdaten!N$19,Bewertung_Stammdaten!M$19,Bewertung_Stammdaten!M$20)))))))))</f>
        <v>1</v>
      </c>
      <c r="L62" s="49"/>
      <c r="M62" s="12">
        <f ca="1">VLOOKUP(A62,Buchwert_je_Aktie!A3:AC68,18,FALSE)</f>
        <v>10.651138888888889</v>
      </c>
      <c r="N62" s="12">
        <f>VLOOKUP(A62,Buchwert_je_Aktie!A3:AC68,15,FALSE)</f>
        <v>6.411428571428571</v>
      </c>
      <c r="O62" s="13">
        <f ca="1">VLOOKUP(A62,Buchwert_je_Aktie!A3:AC68,19,FALSE)</f>
        <v>0.6612738908694793</v>
      </c>
      <c r="P62" s="13">
        <f>VLOOKUP(A62,Buchwert_je_Aktie!A3:AC68,29,FALSE)</f>
        <v>2.8061224489795977E-2</v>
      </c>
      <c r="Q62" s="19">
        <f t="shared" ca="1" si="6"/>
        <v>10.651138888888889</v>
      </c>
      <c r="R62" s="13">
        <f t="shared" ca="1" si="3"/>
        <v>0.6612738908694793</v>
      </c>
      <c r="S62" s="58">
        <f ca="1">IF(O62&lt;Bewertung_Stammdaten!D$24,Bewertung_Stammdaten!C$24,IF(O62&lt;Bewertung_Stammdaten!D$25,Bewertung_Stammdaten!C$25,IF(O62&lt;Bewertung_Stammdaten!D$26,Bewertung_Stammdaten!C$26,IF(O62&lt;Bewertung_Stammdaten!D$27,Bewertung_Stammdaten!C$27,IF(O62&lt;Bewertung_Stammdaten!D$28,Bewertung_Stammdaten!C$28,IF(O62&lt;Bewertung_Stammdaten!D$29,Bewertung_Stammdaten!C$29,IF(O62&lt;Bewertung_Stammdaten!D$30,Bewertung_Stammdaten!C$30,IF(O62&lt;Bewertung_Stammdaten!D$31,Bewertung_Stammdaten!C$31,IF(O62&lt;Bewertung_Stammdaten!D$32,Bewertung_Stammdaten!C$32,Bewertung_Stammdaten!C$33)))))))))</f>
        <v>16</v>
      </c>
      <c r="T62" s="58">
        <f>IF(P62&lt;Bewertung_Stammdaten!F$24,Bewertung_Stammdaten!E$24,IF(P62&lt;Bewertung_Stammdaten!F$25,Bewertung_Stammdaten!E$25,IF(P62&lt;Bewertung_Stammdaten!F$26,Bewertung_Stammdaten!E$26,IF(P62&lt;Bewertung_Stammdaten!F$27,Bewertung_Stammdaten!E$27,IF(P62&lt;Bewertung_Stammdaten!F$28,Bewertung_Stammdaten!E$28,IF(P62&lt;Bewertung_Stammdaten!F$29,Bewertung_Stammdaten!E$29,IF(P62&lt;Bewertung_Stammdaten!F$30,Bewertung_Stammdaten!E$30,IF(P62&lt;Bewertung_Stammdaten!F$31,Bewertung_Stammdaten!E$31,IF(P62&lt;Bewertung_Stammdaten!F$32,Bewertung_Stammdaten!E$32,Bewertung_Stammdaten!E$33)))))))))</f>
        <v>12</v>
      </c>
      <c r="U62" s="58">
        <f ca="1">IF(R62&lt;Bewertung_Stammdaten!H$24,Bewertung_Stammdaten!G$24,IF(R62&lt;Bewertung_Stammdaten!H$25,Bewertung_Stammdaten!G$25,IF(R62&lt;Bewertung_Stammdaten!H$26,Bewertung_Stammdaten!G$26,IF(R62&lt;Bewertung_Stammdaten!H$27,Bewertung_Stammdaten!G$27,IF(R62&lt;Bewertung_Stammdaten!H$28,Bewertung_Stammdaten!G$28,IF(R62&lt;Bewertung_Stammdaten!H$29,Bewertung_Stammdaten!G$29,IF(R62&lt;Bewertung_Stammdaten!H$30,Bewertung_Stammdaten!G$30,IF(R62&lt;Bewertung_Stammdaten!H$31,Bewertung_Stammdaten!G$31,IF(R62&lt;Bewertung_Stammdaten!H$32,Bewertung_Stammdaten!G$32,Bewertung_Stammdaten!G$33)))))))))</f>
        <v>8</v>
      </c>
      <c r="V62" s="49"/>
      <c r="W62" s="17">
        <f ca="1">VLOOKUP(A62,Ergebnis_je_Aktie_verwässert!A3:S68,18,FALSE)</f>
        <v>2.6543888888888887</v>
      </c>
      <c r="X62" s="17">
        <f>VLOOKUP(A62,Ergebnis_je_Aktie_verwässert!A3:S68,15,FALSE)</f>
        <v>2.0257142857142858</v>
      </c>
      <c r="Y62" s="13">
        <f ca="1">VLOOKUP(A62,Ergebnis_je_Aktie_verwässert!A3:S68,19,FALSE)</f>
        <v>0.31034712427519184</v>
      </c>
      <c r="Z62" s="46">
        <f>VLOOKUP(A62,Ergebnis_je_Aktie_verwässert!A3:AC68,29,FALSE)</f>
        <v>-4.3999999999999928E-2</v>
      </c>
      <c r="AA62" s="19">
        <f t="shared" ca="1" si="10"/>
        <v>2.5375957777777778</v>
      </c>
      <c r="AB62" s="13">
        <f t="shared" ca="1" si="11"/>
        <v>0.25269185080708345</v>
      </c>
      <c r="AC62" s="36">
        <f ca="1">IF(Y62&lt;Bewertung_Stammdaten!L$11,Bewertung_Stammdaten!K$11,IF(Y62&lt;Bewertung_Stammdaten!L$12,Bewertung_Stammdaten!K$12,IF(Y62&lt;Bewertung_Stammdaten!L$13,Bewertung_Stammdaten!K$13,IF(Y62&lt;Bewertung_Stammdaten!L$14,Bewertung_Stammdaten!K$14,IF(Y62&lt;Bewertung_Stammdaten!L$15,Bewertung_Stammdaten!K$15,IF(Y62&lt;Bewertung_Stammdaten!L$16,Bewertung_Stammdaten!K$16,IF(Y62&lt;Bewertung_Stammdaten!L$17,Bewertung_Stammdaten!K$17,IF(Y62&lt;Bewertung_Stammdaten!L$18,Bewertung_Stammdaten!K$18,IF(Y62&lt;Bewertung_Stammdaten!L$19,Bewertung_Stammdaten!K$19,Bewertung_Stammdaten!K$20)))))))))</f>
        <v>10</v>
      </c>
      <c r="AD62" s="36">
        <f>IF(Z62&lt;Bewertung_Stammdaten!R$11,Bewertung_Stammdaten!Q$11,IF(Z62&lt;Bewertung_Stammdaten!R$12,Bewertung_Stammdaten!Q$12,IF(Z62&lt;Bewertung_Stammdaten!R$13,Bewertung_Stammdaten!Q$13,IF(Z62&lt;Bewertung_Stammdaten!R$14,Bewertung_Stammdaten!Q$14,IF(Z62&lt;Bewertung_Stammdaten!R$15,Bewertung_Stammdaten!Q$15,IF(Z62&lt;Bewertung_Stammdaten!R$16,Bewertung_Stammdaten!Q$16,IF(Z62&lt;Bewertung_Stammdaten!R$17,Bewertung_Stammdaten!Q$17,IF(Z62&lt;Bewertung_Stammdaten!R$18,Bewertung_Stammdaten!Q$18,IF(Z62&lt;Bewertung_Stammdaten!R$19,Bewertung_Stammdaten!Q$19,Bewertung_Stammdaten!Q$20)))))))))</f>
        <v>7</v>
      </c>
      <c r="AE62" s="36">
        <f ca="1">IF(AB62&lt;Bewertung_Stammdaten!P$11,Bewertung_Stammdaten!O$11,IF(AB62&lt;Bewertung_Stammdaten!P$12,Bewertung_Stammdaten!O$12,IF(AB62&lt;Bewertung_Stammdaten!P$13,Bewertung_Stammdaten!O$13,IF(AB62&lt;Bewertung_Stammdaten!P$14,Bewertung_Stammdaten!O$14,IF(AB62&lt;Bewertung_Stammdaten!P$15,Bewertung_Stammdaten!O$15,IF(AB62&lt;Bewertung_Stammdaten!P$16,Bewertung_Stammdaten!O$16,IF(AB62&lt;Bewertung_Stammdaten!P$17,Bewertung_Stammdaten!O$17,IF(AB62&lt;Bewertung_Stammdaten!P$18,Bewertung_Stammdaten!O$18,IF(AB62&lt;Bewertung_Stammdaten!P$19,Bewertung_Stammdaten!O$19,Bewertung_Stammdaten!O$20)))))))))</f>
        <v>4</v>
      </c>
      <c r="AF62" s="49"/>
      <c r="AG62" s="13">
        <f ca="1">VLOOKUP(A62,Dividendenrendite!A3:S68,18,FALSE)</f>
        <v>2.8043888888888889E-2</v>
      </c>
      <c r="AH62" s="13">
        <f>VLOOKUP(A62,Dividendenrendite!A3:S68,15,FALSE)</f>
        <v>2.9428571428571425E-2</v>
      </c>
      <c r="AI62" s="13">
        <f ca="1">VLOOKUP(A62,Dividendenrendite!A3:S68,19,FALSE)</f>
        <v>-4.7052319309600743E-2</v>
      </c>
      <c r="AJ62" s="36">
        <f ca="1">IF(AG62&lt;Bewertung_Stammdaten!D$11,Bewertung_Stammdaten!C$11,IF(AG62&lt;Bewertung_Stammdaten!D$12,Bewertung_Stammdaten!C$12,IF(AG62&lt;Bewertung_Stammdaten!D$13,Bewertung_Stammdaten!C$13,IF(AG62&lt;Bewertung_Stammdaten!D$14,Bewertung_Stammdaten!C$14,IF(AG62&lt;Bewertung_Stammdaten!D$15,Bewertung_Stammdaten!C$15,IF(AG62&lt;Bewertung_Stammdaten!D$16,Bewertung_Stammdaten!C$16,IF(AG62&lt;Bewertung_Stammdaten!D$17,Bewertung_Stammdaten!C$17,IF(AG62&lt;Bewertung_Stammdaten!D$18,Bewertung_Stammdaten!C$18,IF(AG62&lt;Bewertung_Stammdaten!D$19,Bewertung_Stammdaten!C$19,Bewertung_Stammdaten!C$20)))))))))</f>
        <v>9</v>
      </c>
      <c r="AK62" s="36">
        <f>IF(AH62&lt;Bewertung_Stammdaten!T$11,Bewertung_Stammdaten!S$11,IF(AH62&lt;Bewertung_Stammdaten!T$12,Bewertung_Stammdaten!S$12,IF(AH62&lt;Bewertung_Stammdaten!T$13,Bewertung_Stammdaten!S$13,IF(AH62&lt;Bewertung_Stammdaten!T$14,Bewertung_Stammdaten!S$14,IF(AH62&lt;Bewertung_Stammdaten!T$15,Bewertung_Stammdaten!S$15,IF(AH62&lt;Bewertung_Stammdaten!T$16,Bewertung_Stammdaten!S$16,IF(AH62&lt;Bewertung_Stammdaten!T$17,Bewertung_Stammdaten!S$17,IF(AH62&lt;Bewertung_Stammdaten!T$18,Bewertung_Stammdaten!S$18,IF(AH62&lt;Bewertung_Stammdaten!T$19,Bewertung_Stammdaten!S$19,Bewertung_Stammdaten!S$20)))))))))</f>
        <v>6</v>
      </c>
      <c r="AL62" s="36">
        <f ca="1">IF(AI62&lt;Bewertung_Stammdaten!F$11,Bewertung_Stammdaten!E$11,IF(AI62&lt;Bewertung_Stammdaten!F$12,Bewertung_Stammdaten!E$12,IF(AI62&lt;Bewertung_Stammdaten!F$13,Bewertung_Stammdaten!E$13,IF(AI62&lt;Bewertung_Stammdaten!F$14,Bewertung_Stammdaten!E$14,IF(AI62&lt;Bewertung_Stammdaten!F$15,Bewertung_Stammdaten!E$15,IF(AI62&lt;Bewertung_Stammdaten!F$16,Bewertung_Stammdaten!E$16,IF(AI62&lt;Bewertung_Stammdaten!F$17,Bewertung_Stammdaten!E$17,IF(AI62&lt;Bewertung_Stammdaten!F$18,Bewertung_Stammdaten!E$18,IF(AI62&lt;Bewertung_Stammdaten!F$19,Bewertung_Stammdaten!E$19,Bewertung_Stammdaten!E$20)))))))))</f>
        <v>2.5</v>
      </c>
      <c r="AM62" s="49"/>
      <c r="AN62" s="13">
        <f>VLOOKUP(A62,Aktien_im_Umlauf_splitbereinigt!A3:W68,13,FALSE)</f>
        <v>3.132661400163439E-3</v>
      </c>
      <c r="AO62" s="13">
        <f>VLOOKUP(A62,Aktien_im_Umlauf_splitbereinigt!A3:W68,22,FALSE)</f>
        <v>2.1535391091098946E-3</v>
      </c>
      <c r="AP62" s="13">
        <f>VLOOKUP(A62,Aktien_im_Umlauf_splitbereinigt!A3:W68,23,FALSE)</f>
        <v>-99.999989999999997</v>
      </c>
      <c r="AQ62" s="47">
        <f>IF(AN62&lt;Bewertung_Stammdaten!J$24,Bewertung_Stammdaten!I$24,IF(AN62&lt;Bewertung_Stammdaten!J$25,Bewertung_Stammdaten!I$25,IF(AN62&lt;Bewertung_Stammdaten!J$26,Bewertung_Stammdaten!I$26,IF(AN62&lt;Bewertung_Stammdaten!J$27,Bewertung_Stammdaten!I$27,IF(AN62&lt;Bewertung_Stammdaten!J$28,Bewertung_Stammdaten!I$28,IF(AN62&lt;Bewertung_Stammdaten!J$29,Bewertung_Stammdaten!I$29,IF(AN62&lt;Bewertung_Stammdaten!J$30,Bewertung_Stammdaten!I$30,IF(AN62&lt;Bewertung_Stammdaten!J$31,Bewertung_Stammdaten!I$31,IF(AN62&lt;Bewertung_Stammdaten!J$32,Bewertung_Stammdaten!I$32,Bewertung_Stammdaten!I$33)))))))))</f>
        <v>1</v>
      </c>
      <c r="AR62" s="47">
        <f>IF(AO62&lt;Bewertung_Stammdaten!L$24,Bewertung_Stammdaten!K$24,IF(AO62&lt;Bewertung_Stammdaten!L$25,Bewertung_Stammdaten!K$25,IF(AO62&lt;Bewertung_Stammdaten!L$26,Bewertung_Stammdaten!K$26,IF(AO62&lt;Bewertung_Stammdaten!L$27,Bewertung_Stammdaten!K$27,IF(AO62&lt;Bewertung_Stammdaten!L$28,Bewertung_Stammdaten!K$28,IF(AO62&lt;Bewertung_Stammdaten!L$29,Bewertung_Stammdaten!K$29,IF(AO62&lt;Bewertung_Stammdaten!L$30,Bewertung_Stammdaten!K$30,IF(AO62&lt;Bewertung_Stammdaten!L$31,Bewertung_Stammdaten!K$31,IF(AO62&lt;Bewertung_Stammdaten!L$32,Bewertung_Stammdaten!K$32,Bewertung_Stammdaten!K$33)))))))))</f>
        <v>1</v>
      </c>
      <c r="AS62" s="47">
        <f>IF(AP62&lt;Bewertung_Stammdaten!N$24,Bewertung_Stammdaten!M$24,IF(AP62&lt;Bewertung_Stammdaten!N$25,Bewertung_Stammdaten!M$25,IF(AP62&lt;Bewertung_Stammdaten!N$26,Bewertung_Stammdaten!M$26,IF(AP62&lt;Bewertung_Stammdaten!N$27,Bewertung_Stammdaten!M$27,IF(AP62&lt;Bewertung_Stammdaten!N$28,Bewertung_Stammdaten!M$28,IF(AP62&lt;Bewertung_Stammdaten!N$29,Bewertung_Stammdaten!M$29,IF(AP62&lt;Bewertung_Stammdaten!N$30,Bewertung_Stammdaten!M$30,IF(AP62&lt;Bewertung_Stammdaten!N$31,Bewertung_Stammdaten!M$31,IF(AP62&lt;Bewertung_Stammdaten!N$32,Bewertung_Stammdaten!M$32,Bewertung_Stammdaten!M$33)))))))))</f>
        <v>0.5</v>
      </c>
      <c r="AT62" s="49"/>
      <c r="AU62" s="13">
        <f ca="1">VLOOKUP(A62,Ausschüttungsquote!A3:S68,18,FALSE)</f>
        <v>0.53204401401990675</v>
      </c>
      <c r="AV62" s="13">
        <f>VLOOKUP(A62,Ausschüttungsquote!A3:S68,15,FALSE)</f>
        <v>0.49678237257861924</v>
      </c>
      <c r="AW62" s="13">
        <f ca="1">VLOOKUP(A62,Ausschüttungsquote!A3:S68,19,FALSE)</f>
        <v>7.0980057642256789E-2</v>
      </c>
      <c r="AX62" s="36">
        <f ca="1">IF(AU62&lt;Bewertung_Stammdaten!H$11,Bewertung_Stammdaten!G$11,IF(AU62&lt;Bewertung_Stammdaten!H$12,Bewertung_Stammdaten!G$12,IF(AU62&lt;Bewertung_Stammdaten!H$13,Bewertung_Stammdaten!G$13,IF(AU62&lt;Bewertung_Stammdaten!H$14,Bewertung_Stammdaten!G$14,IF(AU62&lt;Bewertung_Stammdaten!H$15,Bewertung_Stammdaten!G$15,IF(AU62&lt;Bewertung_Stammdaten!H$16,Bewertung_Stammdaten!G$16,IF(AU62&lt;Bewertung_Stammdaten!H$17,Bewertung_Stammdaten!G$17,IF(AU62&lt;Bewertung_Stammdaten!H$18,Bewertung_Stammdaten!G$18,IF(AU62&lt;Bewertung_Stammdaten!H$19,Bewertung_Stammdaten!G$19,Bewertung_Stammdaten!G$20)))))))))</f>
        <v>3.5</v>
      </c>
      <c r="AY62" s="47">
        <f>IF(AV62&lt;Bewertung_Stammdaten!B$24,Bewertung_Stammdaten!A$24,IF(AV62&lt;Bewertung_Stammdaten!B$25,Bewertung_Stammdaten!A$25,IF(AV62&lt;Bewertung_Stammdaten!B$26,Bewertung_Stammdaten!A$26,IF(AV62&lt;Bewertung_Stammdaten!B$27,Bewertung_Stammdaten!A$27,IF(AV62&lt;Bewertung_Stammdaten!B$28,Bewertung_Stammdaten!A$28,IF(AV62&lt;Bewertung_Stammdaten!B$29,Bewertung_Stammdaten!A$29,IF(AV62&lt;Bewertung_Stammdaten!B$30,Bewertung_Stammdaten!A$30,IF(AV62&lt;Bewertung_Stammdaten!B$31,Bewertung_Stammdaten!A$31,IF(AV62&lt;Bewertung_Stammdaten!B$32,Bewertung_Stammdaten!A$32,Bewertung_Stammdaten!A$33)))))))))</f>
        <v>4</v>
      </c>
      <c r="AZ62" s="36">
        <f ca="1">IF(AW62&lt;Bewertung_Stammdaten!J$11,Bewertung_Stammdaten!I$11,IF(AW62&lt;Bewertung_Stammdaten!J$12,Bewertung_Stammdaten!I$12,IF(AW62&lt;Bewertung_Stammdaten!J$13,Bewertung_Stammdaten!I$13,IF(AW62&lt;Bewertung_Stammdaten!J$14,Bewertung_Stammdaten!I$14,IF(AW62&lt;Bewertung_Stammdaten!J$15,Bewertung_Stammdaten!I$15,IF(AW62&lt;Bewertung_Stammdaten!J$16,Bewertung_Stammdaten!I$16,IF(AW62&lt;Bewertung_Stammdaten!J$17,Bewertung_Stammdaten!I$17,IF(AW62&lt;Bewertung_Stammdaten!J$18,Bewertung_Stammdaten!I$18,IF(AW62&lt;Bewertung_Stammdaten!J$19,Bewertung_Stammdaten!I$19,Bewertung_Stammdaten!I$20)))))))))</f>
        <v>2</v>
      </c>
    </row>
    <row r="63" spans="1:52" x14ac:dyDescent="0.25">
      <c r="A63" s="44" t="s">
        <v>122</v>
      </c>
      <c r="B63" s="44" t="s">
        <v>123</v>
      </c>
      <c r="C63" s="36">
        <f t="shared" ca="1" si="7"/>
        <v>90.5</v>
      </c>
      <c r="D63" s="49"/>
      <c r="E63" s="12">
        <f ca="1">VLOOKUP(A63,KGV!A3:S68,18,FALSE)</f>
        <v>15.897222222222222</v>
      </c>
      <c r="F63" s="12">
        <f>VLOOKUP(A63,KGV!A3:S68,15,FALSE)</f>
        <v>14.850000000000001</v>
      </c>
      <c r="G63" s="13">
        <f ca="1">VLOOKUP(A63,KGV!A3:S68,19,FALSE)</f>
        <v>7.0520014964459365E-2</v>
      </c>
      <c r="H63" s="19">
        <f t="shared" ca="1" si="8"/>
        <v>18.126710704607046</v>
      </c>
      <c r="I63" s="13">
        <f t="shared" ca="1" si="9"/>
        <v>0.22065391950215774</v>
      </c>
      <c r="J63" s="36">
        <f ca="1">IF(G63&lt;Bewertung_Stammdaten!B$11,Bewertung_Stammdaten!A$11,IF(G63&lt;Bewertung_Stammdaten!B$12,Bewertung_Stammdaten!A$12,IF(G63&lt;Bewertung_Stammdaten!B$13,Bewertung_Stammdaten!A$13,IF(G63&lt;Bewertung_Stammdaten!B$14,Bewertung_Stammdaten!A$14,IF(G63&lt;Bewertung_Stammdaten!B$15,Bewertung_Stammdaten!A$15,IF(G63&lt;Bewertung_Stammdaten!B$16,Bewertung_Stammdaten!A$16,IF(G63&lt;Bewertung_Stammdaten!B$17,Bewertung_Stammdaten!A$17,IF(G63&lt;Bewertung_Stammdaten!B$18,Bewertung_Stammdaten!A$18,IF(G63&lt;Bewertung_Stammdaten!B$19,Bewertung_Stammdaten!A$19,Bewertung_Stammdaten!A$20)))))))))</f>
        <v>8</v>
      </c>
      <c r="K63" s="36">
        <f ca="1">IF(I63&lt;Bewertung_Stammdaten!N$11,Bewertung_Stammdaten!M$11,IF(I63&lt;Bewertung_Stammdaten!N$12,Bewertung_Stammdaten!M$12,IF(I63&lt;Bewertung_Stammdaten!N$13,Bewertung_Stammdaten!M$13,IF(I63&lt;Bewertung_Stammdaten!N$14,Bewertung_Stammdaten!M$14,IF(I63&lt;Bewertung_Stammdaten!N$15,Bewertung_Stammdaten!M$15,IF(I63&lt;Bewertung_Stammdaten!N$16,Bewertung_Stammdaten!M$16,IF(I63&lt;Bewertung_Stammdaten!N$17,Bewertung_Stammdaten!M$17,IF(I63&lt;Bewertung_Stammdaten!N$18,Bewertung_Stammdaten!M$18,IF(I63&lt;Bewertung_Stammdaten!N$19,Bewertung_Stammdaten!M$19,Bewertung_Stammdaten!M$20)))))))))</f>
        <v>1</v>
      </c>
      <c r="L63" s="49"/>
      <c r="M63" s="12">
        <f ca="1">VLOOKUP(A63,Buchwert_je_Aktie!A3:AC68,18,FALSE)</f>
        <v>2.6049444444444445</v>
      </c>
      <c r="N63" s="12">
        <f>VLOOKUP(A63,Buchwert_je_Aktie!A3:AC68,15,FALSE)</f>
        <v>1.98</v>
      </c>
      <c r="O63" s="13">
        <f ca="1">VLOOKUP(A63,Buchwert_je_Aktie!A3:AC68,19,FALSE)</f>
        <v>0.31562850729517411</v>
      </c>
      <c r="P63" s="13">
        <f>VLOOKUP(A63,Buchwert_je_Aktie!A3:AC68,29,FALSE)</f>
        <v>-0.27710843373493976</v>
      </c>
      <c r="Q63" s="19">
        <f t="shared" ca="1" si="6"/>
        <v>1.8830923694779116</v>
      </c>
      <c r="R63" s="13">
        <f t="shared" ca="1" si="3"/>
        <v>-4.8943247738428508E-2</v>
      </c>
      <c r="S63" s="58">
        <f ca="1">IF(O63&lt;Bewertung_Stammdaten!D$24,Bewertung_Stammdaten!C$24,IF(O63&lt;Bewertung_Stammdaten!D$25,Bewertung_Stammdaten!C$25,IF(O63&lt;Bewertung_Stammdaten!D$26,Bewertung_Stammdaten!C$26,IF(O63&lt;Bewertung_Stammdaten!D$27,Bewertung_Stammdaten!C$27,IF(O63&lt;Bewertung_Stammdaten!D$28,Bewertung_Stammdaten!C$28,IF(O63&lt;Bewertung_Stammdaten!D$29,Bewertung_Stammdaten!C$29,IF(O63&lt;Bewertung_Stammdaten!D$30,Bewertung_Stammdaten!C$30,IF(O63&lt;Bewertung_Stammdaten!D$31,Bewertung_Stammdaten!C$31,IF(O63&lt;Bewertung_Stammdaten!D$32,Bewertung_Stammdaten!C$32,Bewertung_Stammdaten!C$33)))))))))</f>
        <v>10</v>
      </c>
      <c r="T63" s="58">
        <f>IF(P63&lt;Bewertung_Stammdaten!F$24,Bewertung_Stammdaten!E$24,IF(P63&lt;Bewertung_Stammdaten!F$25,Bewertung_Stammdaten!E$25,IF(P63&lt;Bewertung_Stammdaten!F$26,Bewertung_Stammdaten!E$26,IF(P63&lt;Bewertung_Stammdaten!F$27,Bewertung_Stammdaten!E$27,IF(P63&lt;Bewertung_Stammdaten!F$28,Bewertung_Stammdaten!E$28,IF(P63&lt;Bewertung_Stammdaten!F$29,Bewertung_Stammdaten!E$29,IF(P63&lt;Bewertung_Stammdaten!F$30,Bewertung_Stammdaten!E$30,IF(P63&lt;Bewertung_Stammdaten!F$31,Bewertung_Stammdaten!E$31,IF(P63&lt;Bewertung_Stammdaten!F$32,Bewertung_Stammdaten!E$32,Bewertung_Stammdaten!E$33)))))))))</f>
        <v>3</v>
      </c>
      <c r="U63" s="58">
        <f ca="1">IF(R63&lt;Bewertung_Stammdaten!H$24,Bewertung_Stammdaten!G$24,IF(R63&lt;Bewertung_Stammdaten!H$25,Bewertung_Stammdaten!G$25,IF(R63&lt;Bewertung_Stammdaten!H$26,Bewertung_Stammdaten!G$26,IF(R63&lt;Bewertung_Stammdaten!H$27,Bewertung_Stammdaten!G$27,IF(R63&lt;Bewertung_Stammdaten!H$28,Bewertung_Stammdaten!G$28,IF(R63&lt;Bewertung_Stammdaten!H$29,Bewertung_Stammdaten!G$29,IF(R63&lt;Bewertung_Stammdaten!H$30,Bewertung_Stammdaten!G$30,IF(R63&lt;Bewertung_Stammdaten!H$31,Bewertung_Stammdaten!G$31,IF(R63&lt;Bewertung_Stammdaten!H$32,Bewertung_Stammdaten!G$32,Bewertung_Stammdaten!G$33)))))))))</f>
        <v>1</v>
      </c>
      <c r="V63" s="49"/>
      <c r="W63" s="17">
        <f ca="1">VLOOKUP(A63,Ergebnis_je_Aktie_verwässert!A3:S68,18,FALSE)</f>
        <v>2.6624722222222221</v>
      </c>
      <c r="X63" s="17">
        <f>VLOOKUP(A63,Ergebnis_je_Aktie_verwässert!A3:S68,15,FALSE)</f>
        <v>1.6310000000000002</v>
      </c>
      <c r="Y63" s="13">
        <f ca="1">VLOOKUP(A63,Ergebnis_je_Aktie_verwässert!A3:S68,19,FALSE)</f>
        <v>0.63241705838272333</v>
      </c>
      <c r="Z63" s="46">
        <f>VLOOKUP(A63,Ergebnis_je_Aktie_verwässert!A3:AC68,29,FALSE)</f>
        <v>-0.12299465240641716</v>
      </c>
      <c r="AA63" s="19">
        <f t="shared" ca="1" si="10"/>
        <v>2.3350023767082591</v>
      </c>
      <c r="AB63" s="13">
        <f t="shared" ca="1" si="11"/>
        <v>0.43163848970463436</v>
      </c>
      <c r="AC63" s="36">
        <f ca="1">IF(Y63&lt;Bewertung_Stammdaten!L$11,Bewertung_Stammdaten!K$11,IF(Y63&lt;Bewertung_Stammdaten!L$12,Bewertung_Stammdaten!K$12,IF(Y63&lt;Bewertung_Stammdaten!L$13,Bewertung_Stammdaten!K$13,IF(Y63&lt;Bewertung_Stammdaten!L$14,Bewertung_Stammdaten!K$14,IF(Y63&lt;Bewertung_Stammdaten!L$15,Bewertung_Stammdaten!K$15,IF(Y63&lt;Bewertung_Stammdaten!L$16,Bewertung_Stammdaten!K$16,IF(Y63&lt;Bewertung_Stammdaten!L$17,Bewertung_Stammdaten!K$17,IF(Y63&lt;Bewertung_Stammdaten!L$18,Bewertung_Stammdaten!K$18,IF(Y63&lt;Bewertung_Stammdaten!L$19,Bewertung_Stammdaten!K$19,Bewertung_Stammdaten!K$20)))))))))</f>
        <v>16</v>
      </c>
      <c r="AD63" s="36">
        <f>IF(Z63&lt;Bewertung_Stammdaten!R$11,Bewertung_Stammdaten!Q$11,IF(Z63&lt;Bewertung_Stammdaten!R$12,Bewertung_Stammdaten!Q$12,IF(Z63&lt;Bewertung_Stammdaten!R$13,Bewertung_Stammdaten!Q$13,IF(Z63&lt;Bewertung_Stammdaten!R$14,Bewertung_Stammdaten!Q$14,IF(Z63&lt;Bewertung_Stammdaten!R$15,Bewertung_Stammdaten!Q$15,IF(Z63&lt;Bewertung_Stammdaten!R$16,Bewertung_Stammdaten!Q$16,IF(Z63&lt;Bewertung_Stammdaten!R$17,Bewertung_Stammdaten!Q$17,IF(Z63&lt;Bewertung_Stammdaten!R$18,Bewertung_Stammdaten!Q$18,IF(Z63&lt;Bewertung_Stammdaten!R$19,Bewertung_Stammdaten!Q$19,Bewertung_Stammdaten!Q$20)))))))))</f>
        <v>6</v>
      </c>
      <c r="AE63" s="36">
        <f ca="1">IF(AB63&lt;Bewertung_Stammdaten!P$11,Bewertung_Stammdaten!O$11,IF(AB63&lt;Bewertung_Stammdaten!P$12,Bewertung_Stammdaten!O$12,IF(AB63&lt;Bewertung_Stammdaten!P$13,Bewertung_Stammdaten!O$13,IF(AB63&lt;Bewertung_Stammdaten!P$14,Bewertung_Stammdaten!O$14,IF(AB63&lt;Bewertung_Stammdaten!P$15,Bewertung_Stammdaten!O$15,IF(AB63&lt;Bewertung_Stammdaten!P$16,Bewertung_Stammdaten!O$16,IF(AB63&lt;Bewertung_Stammdaten!P$17,Bewertung_Stammdaten!O$17,IF(AB63&lt;Bewertung_Stammdaten!P$18,Bewertung_Stammdaten!O$18,IF(AB63&lt;Bewertung_Stammdaten!P$19,Bewertung_Stammdaten!O$19,Bewertung_Stammdaten!O$20)))))))))</f>
        <v>6</v>
      </c>
      <c r="AF63" s="49"/>
      <c r="AG63" s="13">
        <f ca="1">VLOOKUP(A63,Dividendenrendite!A3:S68,18,FALSE)</f>
        <v>4.9830277777777779E-2</v>
      </c>
      <c r="AH63" s="13">
        <f>VLOOKUP(A63,Dividendenrendite!A3:S68,15,FALSE)</f>
        <v>5.5969999999999999E-2</v>
      </c>
      <c r="AI63" s="13">
        <f ca="1">VLOOKUP(A63,Dividendenrendite!A3:S68,19,FALSE)</f>
        <v>-0.10969666289480473</v>
      </c>
      <c r="AJ63" s="36">
        <f ca="1">IF(AG63&lt;Bewertung_Stammdaten!D$11,Bewertung_Stammdaten!C$11,IF(AG63&lt;Bewertung_Stammdaten!D$12,Bewertung_Stammdaten!C$12,IF(AG63&lt;Bewertung_Stammdaten!D$13,Bewertung_Stammdaten!C$13,IF(AG63&lt;Bewertung_Stammdaten!D$14,Bewertung_Stammdaten!C$14,IF(AG63&lt;Bewertung_Stammdaten!D$15,Bewertung_Stammdaten!C$15,IF(AG63&lt;Bewertung_Stammdaten!D$16,Bewertung_Stammdaten!C$16,IF(AG63&lt;Bewertung_Stammdaten!D$17,Bewertung_Stammdaten!C$17,IF(AG63&lt;Bewertung_Stammdaten!D$18,Bewertung_Stammdaten!C$18,IF(AG63&lt;Bewertung_Stammdaten!D$19,Bewertung_Stammdaten!C$19,Bewertung_Stammdaten!C$20)))))))))</f>
        <v>15</v>
      </c>
      <c r="AK63" s="36">
        <f>IF(AH63&lt;Bewertung_Stammdaten!T$11,Bewertung_Stammdaten!S$11,IF(AH63&lt;Bewertung_Stammdaten!T$12,Bewertung_Stammdaten!S$12,IF(AH63&lt;Bewertung_Stammdaten!T$13,Bewertung_Stammdaten!S$13,IF(AH63&lt;Bewertung_Stammdaten!T$14,Bewertung_Stammdaten!S$14,IF(AH63&lt;Bewertung_Stammdaten!T$15,Bewertung_Stammdaten!S$15,IF(AH63&lt;Bewertung_Stammdaten!T$16,Bewertung_Stammdaten!S$16,IF(AH63&lt;Bewertung_Stammdaten!T$17,Bewertung_Stammdaten!S$17,IF(AH63&lt;Bewertung_Stammdaten!T$18,Bewertung_Stammdaten!S$18,IF(AH63&lt;Bewertung_Stammdaten!T$19,Bewertung_Stammdaten!S$19,Bewertung_Stammdaten!S$20)))))))))</f>
        <v>10</v>
      </c>
      <c r="AL63" s="36">
        <f ca="1">IF(AI63&lt;Bewertung_Stammdaten!F$11,Bewertung_Stammdaten!E$11,IF(AI63&lt;Bewertung_Stammdaten!F$12,Bewertung_Stammdaten!E$12,IF(AI63&lt;Bewertung_Stammdaten!F$13,Bewertung_Stammdaten!E$13,IF(AI63&lt;Bewertung_Stammdaten!F$14,Bewertung_Stammdaten!E$14,IF(AI63&lt;Bewertung_Stammdaten!F$15,Bewertung_Stammdaten!E$15,IF(AI63&lt;Bewertung_Stammdaten!F$16,Bewertung_Stammdaten!E$16,IF(AI63&lt;Bewertung_Stammdaten!F$17,Bewertung_Stammdaten!E$17,IF(AI63&lt;Bewertung_Stammdaten!F$18,Bewertung_Stammdaten!E$18,IF(AI63&lt;Bewertung_Stammdaten!F$19,Bewertung_Stammdaten!E$19,Bewertung_Stammdaten!E$20)))))))))</f>
        <v>1.5</v>
      </c>
      <c r="AM63" s="49"/>
      <c r="AN63" s="13">
        <f>VLOOKUP(A63,Aktien_im_Umlauf_splitbereinigt!A3:W68,13,FALSE)</f>
        <v>-8.4577114427860645E-3</v>
      </c>
      <c r="AO63" s="13">
        <f>VLOOKUP(A63,Aktien_im_Umlauf_splitbereinigt!A3:W68,22,FALSE)</f>
        <v>-3.5834038915418809E-3</v>
      </c>
      <c r="AP63" s="13">
        <f>VLOOKUP(A63,Aktien_im_Umlauf_splitbereinigt!A3:W68,23,FALSE)</f>
        <v>1.3602450906383448</v>
      </c>
      <c r="AQ63" s="47">
        <f>IF(AN63&lt;Bewertung_Stammdaten!J$24,Bewertung_Stammdaten!I$24,IF(AN63&lt;Bewertung_Stammdaten!J$25,Bewertung_Stammdaten!I$25,IF(AN63&lt;Bewertung_Stammdaten!J$26,Bewertung_Stammdaten!I$26,IF(AN63&lt;Bewertung_Stammdaten!J$27,Bewertung_Stammdaten!I$27,IF(AN63&lt;Bewertung_Stammdaten!J$28,Bewertung_Stammdaten!I$28,IF(AN63&lt;Bewertung_Stammdaten!J$29,Bewertung_Stammdaten!I$29,IF(AN63&lt;Bewertung_Stammdaten!J$30,Bewertung_Stammdaten!I$30,IF(AN63&lt;Bewertung_Stammdaten!J$31,Bewertung_Stammdaten!I$31,IF(AN63&lt;Bewertung_Stammdaten!J$32,Bewertung_Stammdaten!I$32,Bewertung_Stammdaten!I$33)))))))))</f>
        <v>2</v>
      </c>
      <c r="AR63" s="47">
        <f>IF(AO63&lt;Bewertung_Stammdaten!L$24,Bewertung_Stammdaten!K$24,IF(AO63&lt;Bewertung_Stammdaten!L$25,Bewertung_Stammdaten!K$25,IF(AO63&lt;Bewertung_Stammdaten!L$26,Bewertung_Stammdaten!K$26,IF(AO63&lt;Bewertung_Stammdaten!L$27,Bewertung_Stammdaten!K$27,IF(AO63&lt;Bewertung_Stammdaten!L$28,Bewertung_Stammdaten!K$28,IF(AO63&lt;Bewertung_Stammdaten!L$29,Bewertung_Stammdaten!K$29,IF(AO63&lt;Bewertung_Stammdaten!L$30,Bewertung_Stammdaten!K$30,IF(AO63&lt;Bewertung_Stammdaten!L$31,Bewertung_Stammdaten!K$31,IF(AO63&lt;Bewertung_Stammdaten!L$32,Bewertung_Stammdaten!K$32,Bewertung_Stammdaten!K$33)))))))))</f>
        <v>1.5</v>
      </c>
      <c r="AS63" s="47">
        <f>IF(AP63&lt;Bewertung_Stammdaten!N$24,Bewertung_Stammdaten!M$24,IF(AP63&lt;Bewertung_Stammdaten!N$25,Bewertung_Stammdaten!M$25,IF(AP63&lt;Bewertung_Stammdaten!N$26,Bewertung_Stammdaten!M$26,IF(AP63&lt;Bewertung_Stammdaten!N$27,Bewertung_Stammdaten!M$27,IF(AP63&lt;Bewertung_Stammdaten!N$28,Bewertung_Stammdaten!M$28,IF(AP63&lt;Bewertung_Stammdaten!N$29,Bewertung_Stammdaten!M$29,IF(AP63&lt;Bewertung_Stammdaten!N$30,Bewertung_Stammdaten!M$30,IF(AP63&lt;Bewertung_Stammdaten!N$31,Bewertung_Stammdaten!M$31,IF(AP63&lt;Bewertung_Stammdaten!N$32,Bewertung_Stammdaten!M$32,Bewertung_Stammdaten!M$33)))))))))</f>
        <v>5</v>
      </c>
      <c r="AT63" s="49"/>
      <c r="AU63" s="13">
        <f ca="1">VLOOKUP(A63,Ausschüttungsquote!A3:S68,18,FALSE)</f>
        <v>0.78880458733974357</v>
      </c>
      <c r="AV63" s="13">
        <f>VLOOKUP(A63,Ausschüttungsquote!A3:S68,15,FALSE)</f>
        <v>0.73324250274959302</v>
      </c>
      <c r="AW63" s="13">
        <f ca="1">VLOOKUP(A63,Ausschüttungsquote!A3:S68,19,FALSE)</f>
        <v>7.5775864576586471E-2</v>
      </c>
      <c r="AX63" s="36">
        <f ca="1">IF(AU63&lt;Bewertung_Stammdaten!H$11,Bewertung_Stammdaten!G$11,IF(AU63&lt;Bewertung_Stammdaten!H$12,Bewertung_Stammdaten!G$12,IF(AU63&lt;Bewertung_Stammdaten!H$13,Bewertung_Stammdaten!G$13,IF(AU63&lt;Bewertung_Stammdaten!H$14,Bewertung_Stammdaten!G$14,IF(AU63&lt;Bewertung_Stammdaten!H$15,Bewertung_Stammdaten!G$15,IF(AU63&lt;Bewertung_Stammdaten!H$16,Bewertung_Stammdaten!G$16,IF(AU63&lt;Bewertung_Stammdaten!H$17,Bewertung_Stammdaten!G$17,IF(AU63&lt;Bewertung_Stammdaten!H$18,Bewertung_Stammdaten!G$18,IF(AU63&lt;Bewertung_Stammdaten!H$19,Bewertung_Stammdaten!G$19,Bewertung_Stammdaten!G$20)))))))))</f>
        <v>1</v>
      </c>
      <c r="AY63" s="47">
        <f>IF(AV63&lt;Bewertung_Stammdaten!B$24,Bewertung_Stammdaten!A$24,IF(AV63&lt;Bewertung_Stammdaten!B$25,Bewertung_Stammdaten!A$25,IF(AV63&lt;Bewertung_Stammdaten!B$26,Bewertung_Stammdaten!A$26,IF(AV63&lt;Bewertung_Stammdaten!B$27,Bewertung_Stammdaten!A$27,IF(AV63&lt;Bewertung_Stammdaten!B$28,Bewertung_Stammdaten!A$28,IF(AV63&lt;Bewertung_Stammdaten!B$29,Bewertung_Stammdaten!A$29,IF(AV63&lt;Bewertung_Stammdaten!B$30,Bewertung_Stammdaten!A$30,IF(AV63&lt;Bewertung_Stammdaten!B$31,Bewertung_Stammdaten!A$31,IF(AV63&lt;Bewertung_Stammdaten!B$32,Bewertung_Stammdaten!A$32,Bewertung_Stammdaten!A$33)))))))))</f>
        <v>1.5</v>
      </c>
      <c r="AZ63" s="36">
        <f ca="1">IF(AW63&lt;Bewertung_Stammdaten!J$11,Bewertung_Stammdaten!I$11,IF(AW63&lt;Bewertung_Stammdaten!J$12,Bewertung_Stammdaten!I$12,IF(AW63&lt;Bewertung_Stammdaten!J$13,Bewertung_Stammdaten!I$13,IF(AW63&lt;Bewertung_Stammdaten!J$14,Bewertung_Stammdaten!I$14,IF(AW63&lt;Bewertung_Stammdaten!J$15,Bewertung_Stammdaten!I$15,IF(AW63&lt;Bewertung_Stammdaten!J$16,Bewertung_Stammdaten!I$16,IF(AW63&lt;Bewertung_Stammdaten!J$17,Bewertung_Stammdaten!I$17,IF(AW63&lt;Bewertung_Stammdaten!J$18,Bewertung_Stammdaten!I$18,IF(AW63&lt;Bewertung_Stammdaten!J$19,Bewertung_Stammdaten!I$19,Bewertung_Stammdaten!I$20)))))))))</f>
        <v>2</v>
      </c>
    </row>
    <row r="64" spans="1:52" x14ac:dyDescent="0.25">
      <c r="A64" s="44" t="s">
        <v>124</v>
      </c>
      <c r="B64" s="44" t="s">
        <v>125</v>
      </c>
      <c r="C64" s="36">
        <f t="shared" ca="1" si="7"/>
        <v>66.5</v>
      </c>
      <c r="D64" s="49"/>
      <c r="E64" s="12">
        <f ca="1">VLOOKUP(A64,KGV!A3:S68,18,FALSE)</f>
        <v>11.176666666666666</v>
      </c>
      <c r="F64" s="12">
        <f>VLOOKUP(A64,KGV!A3:S68,15,FALSE)</f>
        <v>14.350000000000001</v>
      </c>
      <c r="G64" s="13">
        <f ca="1">VLOOKUP(A64,KGV!A3:S68,19,FALSE)</f>
        <v>-0.22113821138211398</v>
      </c>
      <c r="H64" s="19">
        <f t="shared" ca="1" si="8"/>
        <v>99</v>
      </c>
      <c r="I64" s="13">
        <f t="shared" ca="1" si="9"/>
        <v>5.8989547038327519</v>
      </c>
      <c r="J64" s="36">
        <f ca="1">IF(G64&lt;Bewertung_Stammdaten!B$11,Bewertung_Stammdaten!A$11,IF(G64&lt;Bewertung_Stammdaten!B$12,Bewertung_Stammdaten!A$12,IF(G64&lt;Bewertung_Stammdaten!B$13,Bewertung_Stammdaten!A$13,IF(G64&lt;Bewertung_Stammdaten!B$14,Bewertung_Stammdaten!A$14,IF(G64&lt;Bewertung_Stammdaten!B$15,Bewertung_Stammdaten!A$15,IF(G64&lt;Bewertung_Stammdaten!B$16,Bewertung_Stammdaten!A$16,IF(G64&lt;Bewertung_Stammdaten!B$17,Bewertung_Stammdaten!A$17,IF(G64&lt;Bewertung_Stammdaten!B$18,Bewertung_Stammdaten!A$18,IF(G64&lt;Bewertung_Stammdaten!B$19,Bewertung_Stammdaten!A$19,Bewertung_Stammdaten!A$20)))))))))</f>
        <v>20</v>
      </c>
      <c r="K64" s="36">
        <f ca="1">IF(I64&lt;Bewertung_Stammdaten!N$11,Bewertung_Stammdaten!M$11,IF(I64&lt;Bewertung_Stammdaten!N$12,Bewertung_Stammdaten!M$12,IF(I64&lt;Bewertung_Stammdaten!N$13,Bewertung_Stammdaten!M$13,IF(I64&lt;Bewertung_Stammdaten!N$14,Bewertung_Stammdaten!M$14,IF(I64&lt;Bewertung_Stammdaten!N$15,Bewertung_Stammdaten!M$15,IF(I64&lt;Bewertung_Stammdaten!N$16,Bewertung_Stammdaten!M$16,IF(I64&lt;Bewertung_Stammdaten!N$17,Bewertung_Stammdaten!M$17,IF(I64&lt;Bewertung_Stammdaten!N$18,Bewertung_Stammdaten!M$18,IF(I64&lt;Bewertung_Stammdaten!N$19,Bewertung_Stammdaten!M$19,Bewertung_Stammdaten!M$20)))))))))</f>
        <v>1</v>
      </c>
      <c r="L64" s="49"/>
      <c r="M64" s="12">
        <f ca="1">VLOOKUP(A64,Buchwert_je_Aktie!A3:AC68,18,FALSE)</f>
        <v>78.052222222222227</v>
      </c>
      <c r="N64" s="12">
        <f>VLOOKUP(A64,Buchwert_je_Aktie!A3:AC68,15,FALSE)</f>
        <v>448.91100000000006</v>
      </c>
      <c r="O64" s="13">
        <f ca="1">VLOOKUP(A64,Buchwert_je_Aktie!A3:AC68,19,FALSE)</f>
        <v>-0.82612985152464025</v>
      </c>
      <c r="P64" s="13">
        <f>VLOOKUP(A64,Buchwert_je_Aktie!A3:AC68,29,FALSE)</f>
        <v>-0.90895860552036645</v>
      </c>
      <c r="Q64" s="19">
        <f t="shared" ca="1" si="6"/>
        <v>7.1059831533453544</v>
      </c>
      <c r="R64" s="13">
        <f t="shared" ca="1" si="3"/>
        <v>-0.98417061922442228</v>
      </c>
      <c r="S64" s="58">
        <f ca="1">IF(O64&lt;Bewertung_Stammdaten!D$24,Bewertung_Stammdaten!C$24,IF(O64&lt;Bewertung_Stammdaten!D$25,Bewertung_Stammdaten!C$25,IF(O64&lt;Bewertung_Stammdaten!D$26,Bewertung_Stammdaten!C$26,IF(O64&lt;Bewertung_Stammdaten!D$27,Bewertung_Stammdaten!C$27,IF(O64&lt;Bewertung_Stammdaten!D$28,Bewertung_Stammdaten!C$28,IF(O64&lt;Bewertung_Stammdaten!D$29,Bewertung_Stammdaten!C$29,IF(O64&lt;Bewertung_Stammdaten!D$30,Bewertung_Stammdaten!C$30,IF(O64&lt;Bewertung_Stammdaten!D$31,Bewertung_Stammdaten!C$31,IF(O64&lt;Bewertung_Stammdaten!D$32,Bewertung_Stammdaten!C$32,Bewertung_Stammdaten!C$33)))))))))</f>
        <v>2</v>
      </c>
      <c r="T64" s="58">
        <f>IF(P64&lt;Bewertung_Stammdaten!F$24,Bewertung_Stammdaten!E$24,IF(P64&lt;Bewertung_Stammdaten!F$25,Bewertung_Stammdaten!E$25,IF(P64&lt;Bewertung_Stammdaten!F$26,Bewertung_Stammdaten!E$26,IF(P64&lt;Bewertung_Stammdaten!F$27,Bewertung_Stammdaten!E$27,IF(P64&lt;Bewertung_Stammdaten!F$28,Bewertung_Stammdaten!E$28,IF(P64&lt;Bewertung_Stammdaten!F$29,Bewertung_Stammdaten!E$29,IF(P64&lt;Bewertung_Stammdaten!F$30,Bewertung_Stammdaten!E$30,IF(P64&lt;Bewertung_Stammdaten!F$31,Bewertung_Stammdaten!E$31,IF(P64&lt;Bewertung_Stammdaten!F$32,Bewertung_Stammdaten!E$32,Bewertung_Stammdaten!E$33)))))))))</f>
        <v>1.5</v>
      </c>
      <c r="U64" s="58">
        <f ca="1">IF(R64&lt;Bewertung_Stammdaten!H$24,Bewertung_Stammdaten!G$24,IF(R64&lt;Bewertung_Stammdaten!H$25,Bewertung_Stammdaten!G$25,IF(R64&lt;Bewertung_Stammdaten!H$26,Bewertung_Stammdaten!G$26,IF(R64&lt;Bewertung_Stammdaten!H$27,Bewertung_Stammdaten!G$27,IF(R64&lt;Bewertung_Stammdaten!H$28,Bewertung_Stammdaten!G$28,IF(R64&lt;Bewertung_Stammdaten!H$29,Bewertung_Stammdaten!G$29,IF(R64&lt;Bewertung_Stammdaten!H$30,Bewertung_Stammdaten!G$30,IF(R64&lt;Bewertung_Stammdaten!H$31,Bewertung_Stammdaten!G$31,IF(R64&lt;Bewertung_Stammdaten!H$32,Bewertung_Stammdaten!G$32,Bewertung_Stammdaten!G$33)))))))))</f>
        <v>1</v>
      </c>
      <c r="V64" s="49"/>
      <c r="W64" s="17">
        <f ca="1">VLOOKUP(A64,Ergebnis_je_Aktie_verwässert!A3:S68,18,FALSE)</f>
        <v>4.9594722222222218</v>
      </c>
      <c r="X64" s="17">
        <f>VLOOKUP(A64,Ergebnis_je_Aktie_verwässert!A3:S68,15,FALSE)</f>
        <v>-50.946999999999996</v>
      </c>
      <c r="Y64" s="13">
        <f ca="1">VLOOKUP(A64,Ergebnis_je_Aktie_verwässert!A3:S68,19,FALSE)</f>
        <v>-1.0973457165725602</v>
      </c>
      <c r="Z64" s="46">
        <f>VLOOKUP(A64,Ergebnis_je_Aktie_verwässert!A3:AC68,29,FALSE)</f>
        <v>-16.8326359832636</v>
      </c>
      <c r="AA64" s="19">
        <f t="shared" ca="1" si="10"/>
        <v>-78.521518363551834</v>
      </c>
      <c r="AB64" s="13">
        <f t="shared" si="11"/>
        <v>-99.999989999999997</v>
      </c>
      <c r="AC64" s="36">
        <f ca="1">IF(Y64&lt;Bewertung_Stammdaten!L$11,Bewertung_Stammdaten!K$11,IF(Y64&lt;Bewertung_Stammdaten!L$12,Bewertung_Stammdaten!K$12,IF(Y64&lt;Bewertung_Stammdaten!L$13,Bewertung_Stammdaten!K$13,IF(Y64&lt;Bewertung_Stammdaten!L$14,Bewertung_Stammdaten!K$14,IF(Y64&lt;Bewertung_Stammdaten!L$15,Bewertung_Stammdaten!K$15,IF(Y64&lt;Bewertung_Stammdaten!L$16,Bewertung_Stammdaten!K$16,IF(Y64&lt;Bewertung_Stammdaten!L$17,Bewertung_Stammdaten!K$17,IF(Y64&lt;Bewertung_Stammdaten!L$18,Bewertung_Stammdaten!K$18,IF(Y64&lt;Bewertung_Stammdaten!L$19,Bewertung_Stammdaten!K$19,Bewertung_Stammdaten!K$20)))))))))</f>
        <v>2</v>
      </c>
      <c r="AD64" s="36">
        <f>IF(Z64&lt;Bewertung_Stammdaten!R$11,Bewertung_Stammdaten!Q$11,IF(Z64&lt;Bewertung_Stammdaten!R$12,Bewertung_Stammdaten!Q$12,IF(Z64&lt;Bewertung_Stammdaten!R$13,Bewertung_Stammdaten!Q$13,IF(Z64&lt;Bewertung_Stammdaten!R$14,Bewertung_Stammdaten!Q$14,IF(Z64&lt;Bewertung_Stammdaten!R$15,Bewertung_Stammdaten!Q$15,IF(Z64&lt;Bewertung_Stammdaten!R$16,Bewertung_Stammdaten!Q$16,IF(Z64&lt;Bewertung_Stammdaten!R$17,Bewertung_Stammdaten!Q$17,IF(Z64&lt;Bewertung_Stammdaten!R$18,Bewertung_Stammdaten!Q$18,IF(Z64&lt;Bewertung_Stammdaten!R$19,Bewertung_Stammdaten!Q$19,Bewertung_Stammdaten!Q$20)))))))))</f>
        <v>1</v>
      </c>
      <c r="AE64" s="36">
        <f>IF(AB64&lt;Bewertung_Stammdaten!P$11,Bewertung_Stammdaten!O$11,IF(AB64&lt;Bewertung_Stammdaten!P$12,Bewertung_Stammdaten!O$12,IF(AB64&lt;Bewertung_Stammdaten!P$13,Bewertung_Stammdaten!O$13,IF(AB64&lt;Bewertung_Stammdaten!P$14,Bewertung_Stammdaten!O$14,IF(AB64&lt;Bewertung_Stammdaten!P$15,Bewertung_Stammdaten!O$15,IF(AB64&lt;Bewertung_Stammdaten!P$16,Bewertung_Stammdaten!O$16,IF(AB64&lt;Bewertung_Stammdaten!P$17,Bewertung_Stammdaten!O$17,IF(AB64&lt;Bewertung_Stammdaten!P$18,Bewertung_Stammdaten!O$18,IF(AB64&lt;Bewertung_Stammdaten!P$19,Bewertung_Stammdaten!O$19,Bewertung_Stammdaten!O$20)))))))))</f>
        <v>1</v>
      </c>
      <c r="AF64" s="49"/>
      <c r="AG64" s="13">
        <f ca="1">VLOOKUP(A64,Dividendenrendite!A3:S68,18,FALSE)</f>
        <v>1.0405555555555555E-2</v>
      </c>
      <c r="AH64" s="13">
        <f>VLOOKUP(A64,Dividendenrendite!A3:S68,15,FALSE)</f>
        <v>3.0820000000000004E-2</v>
      </c>
      <c r="AI64" s="13">
        <f ca="1">VLOOKUP(A64,Dividendenrendite!A3:S68,19,FALSE)</f>
        <v>-0.66237652318119555</v>
      </c>
      <c r="AJ64" s="36">
        <f ca="1">IF(AG64&lt;Bewertung_Stammdaten!D$11,Bewertung_Stammdaten!C$11,IF(AG64&lt;Bewertung_Stammdaten!D$12,Bewertung_Stammdaten!C$12,IF(AG64&lt;Bewertung_Stammdaten!D$13,Bewertung_Stammdaten!C$13,IF(AG64&lt;Bewertung_Stammdaten!D$14,Bewertung_Stammdaten!C$14,IF(AG64&lt;Bewertung_Stammdaten!D$15,Bewertung_Stammdaten!C$15,IF(AG64&lt;Bewertung_Stammdaten!D$16,Bewertung_Stammdaten!C$16,IF(AG64&lt;Bewertung_Stammdaten!D$17,Bewertung_Stammdaten!C$17,IF(AG64&lt;Bewertung_Stammdaten!D$18,Bewertung_Stammdaten!C$18,IF(AG64&lt;Bewertung_Stammdaten!D$19,Bewertung_Stammdaten!C$19,Bewertung_Stammdaten!C$20)))))))))</f>
        <v>4.5</v>
      </c>
      <c r="AK64" s="36">
        <f>IF(AH64&lt;Bewertung_Stammdaten!T$11,Bewertung_Stammdaten!S$11,IF(AH64&lt;Bewertung_Stammdaten!T$12,Bewertung_Stammdaten!S$12,IF(AH64&lt;Bewertung_Stammdaten!T$13,Bewertung_Stammdaten!S$13,IF(AH64&lt;Bewertung_Stammdaten!T$14,Bewertung_Stammdaten!S$14,IF(AH64&lt;Bewertung_Stammdaten!T$15,Bewertung_Stammdaten!S$15,IF(AH64&lt;Bewertung_Stammdaten!T$16,Bewertung_Stammdaten!S$16,IF(AH64&lt;Bewertung_Stammdaten!T$17,Bewertung_Stammdaten!S$17,IF(AH64&lt;Bewertung_Stammdaten!T$18,Bewertung_Stammdaten!S$18,IF(AH64&lt;Bewertung_Stammdaten!T$19,Bewertung_Stammdaten!S$19,Bewertung_Stammdaten!S$20)))))))))</f>
        <v>7</v>
      </c>
      <c r="AL64" s="36">
        <f ca="1">IF(AI64&lt;Bewertung_Stammdaten!F$11,Bewertung_Stammdaten!E$11,IF(AI64&lt;Bewertung_Stammdaten!F$12,Bewertung_Stammdaten!E$12,IF(AI64&lt;Bewertung_Stammdaten!F$13,Bewertung_Stammdaten!E$13,IF(AI64&lt;Bewertung_Stammdaten!F$14,Bewertung_Stammdaten!E$14,IF(AI64&lt;Bewertung_Stammdaten!F$15,Bewertung_Stammdaten!E$15,IF(AI64&lt;Bewertung_Stammdaten!F$16,Bewertung_Stammdaten!E$16,IF(AI64&lt;Bewertung_Stammdaten!F$17,Bewertung_Stammdaten!E$17,IF(AI64&lt;Bewertung_Stammdaten!F$18,Bewertung_Stammdaten!E$18,IF(AI64&lt;Bewertung_Stammdaten!F$19,Bewertung_Stammdaten!E$19,Bewertung_Stammdaten!E$20)))))))))</f>
        <v>0.5</v>
      </c>
      <c r="AM64" s="49"/>
      <c r="AN64" s="13">
        <f>VLOOKUP(A64,Aktien_im_Umlauf_splitbereinigt!A3:W68,13,FALSE)</f>
        <v>-0.23230204509701102</v>
      </c>
      <c r="AO64" s="13">
        <f>VLOOKUP(A64,Aktien_im_Umlauf_splitbereinigt!A3:W68,22,FALSE)</f>
        <v>1.3744571120417572</v>
      </c>
      <c r="AP64" s="13">
        <f>VLOOKUP(A64,Aktien_im_Umlauf_splitbereinigt!A3:W68,23,FALSE)</f>
        <v>1.1690136731526866</v>
      </c>
      <c r="AQ64" s="47">
        <f>IF(AN64&lt;Bewertung_Stammdaten!J$24,Bewertung_Stammdaten!I$24,IF(AN64&lt;Bewertung_Stammdaten!J$25,Bewertung_Stammdaten!I$25,IF(AN64&lt;Bewertung_Stammdaten!J$26,Bewertung_Stammdaten!I$26,IF(AN64&lt;Bewertung_Stammdaten!J$27,Bewertung_Stammdaten!I$27,IF(AN64&lt;Bewertung_Stammdaten!J$28,Bewertung_Stammdaten!I$28,IF(AN64&lt;Bewertung_Stammdaten!J$29,Bewertung_Stammdaten!I$29,IF(AN64&lt;Bewertung_Stammdaten!J$30,Bewertung_Stammdaten!I$30,IF(AN64&lt;Bewertung_Stammdaten!J$31,Bewertung_Stammdaten!I$31,IF(AN64&lt;Bewertung_Stammdaten!J$32,Bewertung_Stammdaten!I$32,Bewertung_Stammdaten!I$33)))))))))</f>
        <v>5</v>
      </c>
      <c r="AR64" s="47">
        <f>IF(AO64&lt;Bewertung_Stammdaten!L$24,Bewertung_Stammdaten!K$24,IF(AO64&lt;Bewertung_Stammdaten!L$25,Bewertung_Stammdaten!K$25,IF(AO64&lt;Bewertung_Stammdaten!L$26,Bewertung_Stammdaten!K$26,IF(AO64&lt;Bewertung_Stammdaten!L$27,Bewertung_Stammdaten!K$27,IF(AO64&lt;Bewertung_Stammdaten!L$28,Bewertung_Stammdaten!K$28,IF(AO64&lt;Bewertung_Stammdaten!L$29,Bewertung_Stammdaten!K$29,IF(AO64&lt;Bewertung_Stammdaten!L$30,Bewertung_Stammdaten!K$30,IF(AO64&lt;Bewertung_Stammdaten!L$31,Bewertung_Stammdaten!K$31,IF(AO64&lt;Bewertung_Stammdaten!L$32,Bewertung_Stammdaten!K$32,Bewertung_Stammdaten!K$33)))))))))</f>
        <v>0.5</v>
      </c>
      <c r="AS64" s="47">
        <f>IF(AP64&lt;Bewertung_Stammdaten!N$24,Bewertung_Stammdaten!M$24,IF(AP64&lt;Bewertung_Stammdaten!N$25,Bewertung_Stammdaten!M$25,IF(AP64&lt;Bewertung_Stammdaten!N$26,Bewertung_Stammdaten!M$26,IF(AP64&lt;Bewertung_Stammdaten!N$27,Bewertung_Stammdaten!M$27,IF(AP64&lt;Bewertung_Stammdaten!N$28,Bewertung_Stammdaten!M$28,IF(AP64&lt;Bewertung_Stammdaten!N$29,Bewertung_Stammdaten!M$29,IF(AP64&lt;Bewertung_Stammdaten!N$30,Bewertung_Stammdaten!M$30,IF(AP64&lt;Bewertung_Stammdaten!N$31,Bewertung_Stammdaten!M$31,IF(AP64&lt;Bewertung_Stammdaten!N$32,Bewertung_Stammdaten!M$32,Bewertung_Stammdaten!M$33)))))))))</f>
        <v>5</v>
      </c>
      <c r="AT64" s="49"/>
      <c r="AU64" s="13">
        <f ca="1">VLOOKUP(A64,Ausschüttungsquote!A3:S68,18,FALSE)</f>
        <v>0.11594689790420715</v>
      </c>
      <c r="AV64" s="13">
        <f>VLOOKUP(A64,Ausschüttungsquote!A3:S68,15,FALSE)</f>
        <v>0.14196926239797669</v>
      </c>
      <c r="AW64" s="13">
        <f ca="1">VLOOKUP(A64,Ausschüttungsquote!A3:S68,19,FALSE)</f>
        <v>-0.1832957645495269</v>
      </c>
      <c r="AX64" s="36">
        <f ca="1">IF(AU64&lt;Bewertung_Stammdaten!H$11,Bewertung_Stammdaten!G$11,IF(AU64&lt;Bewertung_Stammdaten!H$12,Bewertung_Stammdaten!G$12,IF(AU64&lt;Bewertung_Stammdaten!H$13,Bewertung_Stammdaten!G$13,IF(AU64&lt;Bewertung_Stammdaten!H$14,Bewertung_Stammdaten!G$14,IF(AU64&lt;Bewertung_Stammdaten!H$15,Bewertung_Stammdaten!G$15,IF(AU64&lt;Bewertung_Stammdaten!H$16,Bewertung_Stammdaten!G$16,IF(AU64&lt;Bewertung_Stammdaten!H$17,Bewertung_Stammdaten!G$17,IF(AU64&lt;Bewertung_Stammdaten!H$18,Bewertung_Stammdaten!G$18,IF(AU64&lt;Bewertung_Stammdaten!H$19,Bewertung_Stammdaten!G$19,Bewertung_Stammdaten!G$20)))))))))</f>
        <v>5</v>
      </c>
      <c r="AY64" s="47">
        <f>IF(AV64&lt;Bewertung_Stammdaten!B$24,Bewertung_Stammdaten!A$24,IF(AV64&lt;Bewertung_Stammdaten!B$25,Bewertung_Stammdaten!A$25,IF(AV64&lt;Bewertung_Stammdaten!B$26,Bewertung_Stammdaten!A$26,IF(AV64&lt;Bewertung_Stammdaten!B$27,Bewertung_Stammdaten!A$27,IF(AV64&lt;Bewertung_Stammdaten!B$28,Bewertung_Stammdaten!A$28,IF(AV64&lt;Bewertung_Stammdaten!B$29,Bewertung_Stammdaten!A$29,IF(AV64&lt;Bewertung_Stammdaten!B$30,Bewertung_Stammdaten!A$30,IF(AV64&lt;Bewertung_Stammdaten!B$31,Bewertung_Stammdaten!A$31,IF(AV64&lt;Bewertung_Stammdaten!B$32,Bewertung_Stammdaten!A$32,Bewertung_Stammdaten!A$33)))))))))</f>
        <v>5</v>
      </c>
      <c r="AZ64" s="36">
        <f ca="1">IF(AW64&lt;Bewertung_Stammdaten!J$11,Bewertung_Stammdaten!I$11,IF(AW64&lt;Bewertung_Stammdaten!J$12,Bewertung_Stammdaten!I$12,IF(AW64&lt;Bewertung_Stammdaten!J$13,Bewertung_Stammdaten!I$13,IF(AW64&lt;Bewertung_Stammdaten!J$14,Bewertung_Stammdaten!I$14,IF(AW64&lt;Bewertung_Stammdaten!J$15,Bewertung_Stammdaten!I$15,IF(AW64&lt;Bewertung_Stammdaten!J$16,Bewertung_Stammdaten!I$16,IF(AW64&lt;Bewertung_Stammdaten!J$17,Bewertung_Stammdaten!I$17,IF(AW64&lt;Bewertung_Stammdaten!J$18,Bewertung_Stammdaten!I$18,IF(AW64&lt;Bewertung_Stammdaten!J$19,Bewertung_Stammdaten!I$19,Bewertung_Stammdaten!I$20)))))))))</f>
        <v>4.5</v>
      </c>
    </row>
    <row r="65" spans="1:52" x14ac:dyDescent="0.25">
      <c r="A65" s="44" t="s">
        <v>126</v>
      </c>
      <c r="B65" s="44" t="s">
        <v>127</v>
      </c>
      <c r="C65" s="36">
        <f t="shared" ca="1" si="7"/>
        <v>111</v>
      </c>
      <c r="D65" s="49"/>
      <c r="E65" s="12">
        <f ca="1">VLOOKUP(A65,KGV!A3:S68,18,FALSE)</f>
        <v>15.894444444444444</v>
      </c>
      <c r="F65" s="12">
        <f>VLOOKUP(A65,KGV!A3:S68,15,FALSE)</f>
        <v>18.149999999999999</v>
      </c>
      <c r="G65" s="13">
        <f ca="1">VLOOKUP(A65,KGV!A3:S68,19,FALSE)</f>
        <v>-0.12427303336394246</v>
      </c>
      <c r="H65" s="19">
        <f t="shared" ca="1" si="8"/>
        <v>15.894444444444444</v>
      </c>
      <c r="I65" s="13">
        <f t="shared" ca="1" si="9"/>
        <v>-0.12427303336394246</v>
      </c>
      <c r="J65" s="36">
        <f ca="1">IF(G65&lt;Bewertung_Stammdaten!B$11,Bewertung_Stammdaten!A$11,IF(G65&lt;Bewertung_Stammdaten!B$12,Bewertung_Stammdaten!A$12,IF(G65&lt;Bewertung_Stammdaten!B$13,Bewertung_Stammdaten!A$13,IF(G65&lt;Bewertung_Stammdaten!B$14,Bewertung_Stammdaten!A$14,IF(G65&lt;Bewertung_Stammdaten!B$15,Bewertung_Stammdaten!A$15,IF(G65&lt;Bewertung_Stammdaten!B$16,Bewertung_Stammdaten!A$16,IF(G65&lt;Bewertung_Stammdaten!B$17,Bewertung_Stammdaten!A$17,IF(G65&lt;Bewertung_Stammdaten!B$18,Bewertung_Stammdaten!A$18,IF(G65&lt;Bewertung_Stammdaten!B$19,Bewertung_Stammdaten!A$19,Bewertung_Stammdaten!A$20)))))))))</f>
        <v>16</v>
      </c>
      <c r="K65" s="36">
        <f ca="1">IF(I65&lt;Bewertung_Stammdaten!N$11,Bewertung_Stammdaten!M$11,IF(I65&lt;Bewertung_Stammdaten!N$12,Bewertung_Stammdaten!M$12,IF(I65&lt;Bewertung_Stammdaten!N$13,Bewertung_Stammdaten!M$13,IF(I65&lt;Bewertung_Stammdaten!N$14,Bewertung_Stammdaten!M$14,IF(I65&lt;Bewertung_Stammdaten!N$15,Bewertung_Stammdaten!M$15,IF(I65&lt;Bewertung_Stammdaten!N$16,Bewertung_Stammdaten!M$16,IF(I65&lt;Bewertung_Stammdaten!N$17,Bewertung_Stammdaten!M$17,IF(I65&lt;Bewertung_Stammdaten!N$18,Bewertung_Stammdaten!M$18,IF(I65&lt;Bewertung_Stammdaten!N$19,Bewertung_Stammdaten!M$19,Bewertung_Stammdaten!M$20)))))))))</f>
        <v>8</v>
      </c>
      <c r="L65" s="49"/>
      <c r="M65" s="12">
        <f ca="1">VLOOKUP(A65,Buchwert_je_Aktie!A3:AC68,18,FALSE)</f>
        <v>179.23333333333332</v>
      </c>
      <c r="N65" s="12">
        <f>VLOOKUP(A65,Buchwert_je_Aktie!A3:AC68,15,FALSE)</f>
        <v>173.60999999999999</v>
      </c>
      <c r="O65" s="13">
        <f ca="1">VLOOKUP(A65,Buchwert_je_Aktie!A3:AC68,19,FALSE)</f>
        <v>3.2390607299886742E-2</v>
      </c>
      <c r="P65" s="13">
        <f>VLOOKUP(A65,Buchwert_je_Aktie!A3:AC68,29,FALSE)</f>
        <v>-0.16986301369863011</v>
      </c>
      <c r="Q65" s="19">
        <f t="shared" ca="1" si="6"/>
        <v>148.78821917808219</v>
      </c>
      <c r="R65" s="13">
        <f t="shared" ca="1" si="3"/>
        <v>-0.14297437257023093</v>
      </c>
      <c r="S65" s="58">
        <f ca="1">IF(O65&lt;Bewertung_Stammdaten!D$24,Bewertung_Stammdaten!C$24,IF(O65&lt;Bewertung_Stammdaten!D$25,Bewertung_Stammdaten!C$25,IF(O65&lt;Bewertung_Stammdaten!D$26,Bewertung_Stammdaten!C$26,IF(O65&lt;Bewertung_Stammdaten!D$27,Bewertung_Stammdaten!C$27,IF(O65&lt;Bewertung_Stammdaten!D$28,Bewertung_Stammdaten!C$28,IF(O65&lt;Bewertung_Stammdaten!D$29,Bewertung_Stammdaten!C$29,IF(O65&lt;Bewertung_Stammdaten!D$30,Bewertung_Stammdaten!C$30,IF(O65&lt;Bewertung_Stammdaten!D$31,Bewertung_Stammdaten!C$31,IF(O65&lt;Bewertung_Stammdaten!D$32,Bewertung_Stammdaten!C$32,Bewertung_Stammdaten!C$33)))))))))</f>
        <v>4</v>
      </c>
      <c r="T65" s="58">
        <f>IF(P65&lt;Bewertung_Stammdaten!F$24,Bewertung_Stammdaten!E$24,IF(P65&lt;Bewertung_Stammdaten!F$25,Bewertung_Stammdaten!E$25,IF(P65&lt;Bewertung_Stammdaten!F$26,Bewertung_Stammdaten!E$26,IF(P65&lt;Bewertung_Stammdaten!F$27,Bewertung_Stammdaten!E$27,IF(P65&lt;Bewertung_Stammdaten!F$28,Bewertung_Stammdaten!E$28,IF(P65&lt;Bewertung_Stammdaten!F$29,Bewertung_Stammdaten!E$29,IF(P65&lt;Bewertung_Stammdaten!F$30,Bewertung_Stammdaten!E$30,IF(P65&lt;Bewertung_Stammdaten!F$31,Bewertung_Stammdaten!E$31,IF(P65&lt;Bewertung_Stammdaten!F$32,Bewertung_Stammdaten!E$32,Bewertung_Stammdaten!E$33)))))))))</f>
        <v>6</v>
      </c>
      <c r="U65" s="58">
        <f ca="1">IF(R65&lt;Bewertung_Stammdaten!H$24,Bewertung_Stammdaten!G$24,IF(R65&lt;Bewertung_Stammdaten!H$25,Bewertung_Stammdaten!G$25,IF(R65&lt;Bewertung_Stammdaten!H$26,Bewertung_Stammdaten!G$26,IF(R65&lt;Bewertung_Stammdaten!H$27,Bewertung_Stammdaten!G$27,IF(R65&lt;Bewertung_Stammdaten!H$28,Bewertung_Stammdaten!G$28,IF(R65&lt;Bewertung_Stammdaten!H$29,Bewertung_Stammdaten!G$29,IF(R65&lt;Bewertung_Stammdaten!H$30,Bewertung_Stammdaten!G$30,IF(R65&lt;Bewertung_Stammdaten!H$31,Bewertung_Stammdaten!G$31,IF(R65&lt;Bewertung_Stammdaten!H$32,Bewertung_Stammdaten!G$32,Bewertung_Stammdaten!G$33)))))))))</f>
        <v>1</v>
      </c>
      <c r="V65" s="49"/>
      <c r="W65" s="17">
        <f ca="1">VLOOKUP(A65,Ergebnis_je_Aktie_verwässert!A3:S68,18,FALSE)</f>
        <v>20.246666666666666</v>
      </c>
      <c r="X65" s="17">
        <f>VLOOKUP(A65,Ergebnis_je_Aktie_verwässert!A3:S68,15,FALSE)</f>
        <v>10.911666666666667</v>
      </c>
      <c r="Y65" s="13">
        <f ca="1">VLOOKUP(A65,Ergebnis_je_Aktie_verwässert!A3:S68,19,FALSE)</f>
        <v>0.85550633878112103</v>
      </c>
      <c r="Z65" s="46">
        <f>VLOOKUP(A65,Ergebnis_je_Aktie_verwässert!A3:AC68,29,FALSE)</f>
        <v>5.709342560553643E-2</v>
      </c>
      <c r="AA65" s="19">
        <f t="shared" ca="1" si="10"/>
        <v>20.246666666666666</v>
      </c>
      <c r="AB65" s="13">
        <f t="shared" ca="1" si="11"/>
        <v>0.85550633878112103</v>
      </c>
      <c r="AC65" s="36">
        <f ca="1">IF(Y65&lt;Bewertung_Stammdaten!L$11,Bewertung_Stammdaten!K$11,IF(Y65&lt;Bewertung_Stammdaten!L$12,Bewertung_Stammdaten!K$12,IF(Y65&lt;Bewertung_Stammdaten!L$13,Bewertung_Stammdaten!K$13,IF(Y65&lt;Bewertung_Stammdaten!L$14,Bewertung_Stammdaten!K$14,IF(Y65&lt;Bewertung_Stammdaten!L$15,Bewertung_Stammdaten!K$15,IF(Y65&lt;Bewertung_Stammdaten!L$16,Bewertung_Stammdaten!K$16,IF(Y65&lt;Bewertung_Stammdaten!L$17,Bewertung_Stammdaten!K$17,IF(Y65&lt;Bewertung_Stammdaten!L$18,Bewertung_Stammdaten!K$18,IF(Y65&lt;Bewertung_Stammdaten!L$19,Bewertung_Stammdaten!K$19,Bewertung_Stammdaten!K$20)))))))))</f>
        <v>20</v>
      </c>
      <c r="AD65" s="36">
        <f>IF(Z65&lt;Bewertung_Stammdaten!R$11,Bewertung_Stammdaten!Q$11,IF(Z65&lt;Bewertung_Stammdaten!R$12,Bewertung_Stammdaten!Q$12,IF(Z65&lt;Bewertung_Stammdaten!R$13,Bewertung_Stammdaten!Q$13,IF(Z65&lt;Bewertung_Stammdaten!R$14,Bewertung_Stammdaten!Q$14,IF(Z65&lt;Bewertung_Stammdaten!R$15,Bewertung_Stammdaten!Q$15,IF(Z65&lt;Bewertung_Stammdaten!R$16,Bewertung_Stammdaten!Q$16,IF(Z65&lt;Bewertung_Stammdaten!R$17,Bewertung_Stammdaten!Q$17,IF(Z65&lt;Bewertung_Stammdaten!R$18,Bewertung_Stammdaten!Q$18,IF(Z65&lt;Bewertung_Stammdaten!R$19,Bewertung_Stammdaten!Q$19,Bewertung_Stammdaten!Q$20)))))))))</f>
        <v>8</v>
      </c>
      <c r="AE65" s="36">
        <f ca="1">IF(AB65&lt;Bewertung_Stammdaten!P$11,Bewertung_Stammdaten!O$11,IF(AB65&lt;Bewertung_Stammdaten!P$12,Bewertung_Stammdaten!O$12,IF(AB65&lt;Bewertung_Stammdaten!P$13,Bewertung_Stammdaten!O$13,IF(AB65&lt;Bewertung_Stammdaten!P$14,Bewertung_Stammdaten!O$14,IF(AB65&lt;Bewertung_Stammdaten!P$15,Bewertung_Stammdaten!O$15,IF(AB65&lt;Bewertung_Stammdaten!P$16,Bewertung_Stammdaten!O$16,IF(AB65&lt;Bewertung_Stammdaten!P$17,Bewertung_Stammdaten!O$17,IF(AB65&lt;Bewertung_Stammdaten!P$18,Bewertung_Stammdaten!O$18,IF(AB65&lt;Bewertung_Stammdaten!P$19,Bewertung_Stammdaten!O$19,Bewertung_Stammdaten!O$20)))))))))</f>
        <v>10</v>
      </c>
      <c r="AF65" s="49"/>
      <c r="AG65" s="13">
        <f ca="1">VLOOKUP(A65,Dividendenrendite!A3:S68,18,FALSE)</f>
        <v>2.5646666666666665E-2</v>
      </c>
      <c r="AH65" s="13">
        <f>VLOOKUP(A65,Dividendenrendite!A3:S68,15,FALSE)</f>
        <v>2.3133333333333336E-2</v>
      </c>
      <c r="AI65" s="13">
        <f ca="1">VLOOKUP(A65,Dividendenrendite!A3:S68,19,FALSE)</f>
        <v>0.10864553314121017</v>
      </c>
      <c r="AJ65" s="36">
        <f ca="1">IF(AG65&lt;Bewertung_Stammdaten!D$11,Bewertung_Stammdaten!C$11,IF(AG65&lt;Bewertung_Stammdaten!D$12,Bewertung_Stammdaten!C$12,IF(AG65&lt;Bewertung_Stammdaten!D$13,Bewertung_Stammdaten!C$13,IF(AG65&lt;Bewertung_Stammdaten!D$14,Bewertung_Stammdaten!C$14,IF(AG65&lt;Bewertung_Stammdaten!D$15,Bewertung_Stammdaten!C$15,IF(AG65&lt;Bewertung_Stammdaten!D$16,Bewertung_Stammdaten!C$16,IF(AG65&lt;Bewertung_Stammdaten!D$17,Bewertung_Stammdaten!C$17,IF(AG65&lt;Bewertung_Stammdaten!D$18,Bewertung_Stammdaten!C$18,IF(AG65&lt;Bewertung_Stammdaten!D$19,Bewertung_Stammdaten!C$19,Bewertung_Stammdaten!C$20)))))))))</f>
        <v>9</v>
      </c>
      <c r="AK65" s="36">
        <f>IF(AH65&lt;Bewertung_Stammdaten!T$11,Bewertung_Stammdaten!S$11,IF(AH65&lt;Bewertung_Stammdaten!T$12,Bewertung_Stammdaten!S$12,IF(AH65&lt;Bewertung_Stammdaten!T$13,Bewertung_Stammdaten!S$13,IF(AH65&lt;Bewertung_Stammdaten!T$14,Bewertung_Stammdaten!S$14,IF(AH65&lt;Bewertung_Stammdaten!T$15,Bewertung_Stammdaten!S$15,IF(AH65&lt;Bewertung_Stammdaten!T$16,Bewertung_Stammdaten!S$16,IF(AH65&lt;Bewertung_Stammdaten!T$17,Bewertung_Stammdaten!S$17,IF(AH65&lt;Bewertung_Stammdaten!T$18,Bewertung_Stammdaten!S$18,IF(AH65&lt;Bewertung_Stammdaten!T$19,Bewertung_Stammdaten!S$19,Bewertung_Stammdaten!S$20)))))))))</f>
        <v>5</v>
      </c>
      <c r="AL65" s="36">
        <f ca="1">IF(AI65&lt;Bewertung_Stammdaten!F$11,Bewertung_Stammdaten!E$11,IF(AI65&lt;Bewertung_Stammdaten!F$12,Bewertung_Stammdaten!E$12,IF(AI65&lt;Bewertung_Stammdaten!F$13,Bewertung_Stammdaten!E$13,IF(AI65&lt;Bewertung_Stammdaten!F$14,Bewertung_Stammdaten!E$14,IF(AI65&lt;Bewertung_Stammdaten!F$15,Bewertung_Stammdaten!E$15,IF(AI65&lt;Bewertung_Stammdaten!F$16,Bewertung_Stammdaten!E$16,IF(AI65&lt;Bewertung_Stammdaten!F$17,Bewertung_Stammdaten!E$17,IF(AI65&lt;Bewertung_Stammdaten!F$18,Bewertung_Stammdaten!E$18,IF(AI65&lt;Bewertung_Stammdaten!F$19,Bewertung_Stammdaten!E$19,Bewertung_Stammdaten!E$20)))))))))</f>
        <v>4</v>
      </c>
      <c r="AM65" s="49"/>
      <c r="AN65" s="13">
        <f>VLOOKUP(A65,Aktien_im_Umlauf_splitbereinigt!A3:W68,13,FALSE)</f>
        <v>-1.3559924206537177E-2</v>
      </c>
      <c r="AO65" s="13">
        <f>VLOOKUP(A65,Aktien_im_Umlauf_splitbereinigt!A3:W68,22,FALSE)</f>
        <v>2.9053098087261791E-2</v>
      </c>
      <c r="AP65" s="13">
        <f>VLOOKUP(A65,Aktien_im_Umlauf_splitbereinigt!A3:W68,23,FALSE)</f>
        <v>1.4667290271698241</v>
      </c>
      <c r="AQ65" s="47">
        <f>IF(AN65&lt;Bewertung_Stammdaten!J$24,Bewertung_Stammdaten!I$24,IF(AN65&lt;Bewertung_Stammdaten!J$25,Bewertung_Stammdaten!I$25,IF(AN65&lt;Bewertung_Stammdaten!J$26,Bewertung_Stammdaten!I$26,IF(AN65&lt;Bewertung_Stammdaten!J$27,Bewertung_Stammdaten!I$27,IF(AN65&lt;Bewertung_Stammdaten!J$28,Bewertung_Stammdaten!I$28,IF(AN65&lt;Bewertung_Stammdaten!J$29,Bewertung_Stammdaten!I$29,IF(AN65&lt;Bewertung_Stammdaten!J$30,Bewertung_Stammdaten!I$30,IF(AN65&lt;Bewertung_Stammdaten!J$31,Bewertung_Stammdaten!I$31,IF(AN65&lt;Bewertung_Stammdaten!J$32,Bewertung_Stammdaten!I$32,Bewertung_Stammdaten!I$33)))))))))</f>
        <v>2.5</v>
      </c>
      <c r="AR65" s="47">
        <f>IF(AO65&lt;Bewertung_Stammdaten!L$24,Bewertung_Stammdaten!K$24,IF(AO65&lt;Bewertung_Stammdaten!L$25,Bewertung_Stammdaten!K$25,IF(AO65&lt;Bewertung_Stammdaten!L$26,Bewertung_Stammdaten!K$26,IF(AO65&lt;Bewertung_Stammdaten!L$27,Bewertung_Stammdaten!K$27,IF(AO65&lt;Bewertung_Stammdaten!L$28,Bewertung_Stammdaten!K$28,IF(AO65&lt;Bewertung_Stammdaten!L$29,Bewertung_Stammdaten!K$29,IF(AO65&lt;Bewertung_Stammdaten!L$30,Bewertung_Stammdaten!K$30,IF(AO65&lt;Bewertung_Stammdaten!L$31,Bewertung_Stammdaten!K$31,IF(AO65&lt;Bewertung_Stammdaten!L$32,Bewertung_Stammdaten!K$32,Bewertung_Stammdaten!K$33)))))))))</f>
        <v>0.5</v>
      </c>
      <c r="AS65" s="47">
        <f>IF(AP65&lt;Bewertung_Stammdaten!N$24,Bewertung_Stammdaten!M$24,IF(AP65&lt;Bewertung_Stammdaten!N$25,Bewertung_Stammdaten!M$25,IF(AP65&lt;Bewertung_Stammdaten!N$26,Bewertung_Stammdaten!M$26,IF(AP65&lt;Bewertung_Stammdaten!N$27,Bewertung_Stammdaten!M$27,IF(AP65&lt;Bewertung_Stammdaten!N$28,Bewertung_Stammdaten!M$28,IF(AP65&lt;Bewertung_Stammdaten!N$29,Bewertung_Stammdaten!M$29,IF(AP65&lt;Bewertung_Stammdaten!N$30,Bewertung_Stammdaten!M$30,IF(AP65&lt;Bewertung_Stammdaten!N$31,Bewertung_Stammdaten!M$31,IF(AP65&lt;Bewertung_Stammdaten!N$32,Bewertung_Stammdaten!M$32,Bewertung_Stammdaten!M$33)))))))))</f>
        <v>5</v>
      </c>
      <c r="AT65" s="49"/>
      <c r="AU65" s="13">
        <f ca="1">VLOOKUP(A65,Ausschüttungsquote!A3:S68,18,FALSE)</f>
        <v>0.40677689682858287</v>
      </c>
      <c r="AV65" s="13">
        <f>VLOOKUP(A65,Ausschüttungsquote!A3:S68,15,FALSE)</f>
        <v>0.45127330689633199</v>
      </c>
      <c r="AW65" s="13">
        <f ca="1">VLOOKUP(A65,Ausschüttungsquote!A3:S68,19,FALSE)</f>
        <v>-9.8601910167868567E-2</v>
      </c>
      <c r="AX65" s="36">
        <f ca="1">IF(AU65&lt;Bewertung_Stammdaten!H$11,Bewertung_Stammdaten!G$11,IF(AU65&lt;Bewertung_Stammdaten!H$12,Bewertung_Stammdaten!G$12,IF(AU65&lt;Bewertung_Stammdaten!H$13,Bewertung_Stammdaten!G$13,IF(AU65&lt;Bewertung_Stammdaten!H$14,Bewertung_Stammdaten!G$14,IF(AU65&lt;Bewertung_Stammdaten!H$15,Bewertung_Stammdaten!G$15,IF(AU65&lt;Bewertung_Stammdaten!H$16,Bewertung_Stammdaten!G$16,IF(AU65&lt;Bewertung_Stammdaten!H$17,Bewertung_Stammdaten!G$17,IF(AU65&lt;Bewertung_Stammdaten!H$18,Bewertung_Stammdaten!G$18,IF(AU65&lt;Bewertung_Stammdaten!H$19,Bewertung_Stammdaten!G$19,Bewertung_Stammdaten!G$20)))))))))</f>
        <v>4.5</v>
      </c>
      <c r="AY65" s="47">
        <f>IF(AV65&lt;Bewertung_Stammdaten!B$24,Bewertung_Stammdaten!A$24,IF(AV65&lt;Bewertung_Stammdaten!B$25,Bewertung_Stammdaten!A$25,IF(AV65&lt;Bewertung_Stammdaten!B$26,Bewertung_Stammdaten!A$26,IF(AV65&lt;Bewertung_Stammdaten!B$27,Bewertung_Stammdaten!A$27,IF(AV65&lt;Bewertung_Stammdaten!B$28,Bewertung_Stammdaten!A$28,IF(AV65&lt;Bewertung_Stammdaten!B$29,Bewertung_Stammdaten!A$29,IF(AV65&lt;Bewertung_Stammdaten!B$30,Bewertung_Stammdaten!A$30,IF(AV65&lt;Bewertung_Stammdaten!B$31,Bewertung_Stammdaten!A$31,IF(AV65&lt;Bewertung_Stammdaten!B$32,Bewertung_Stammdaten!A$32,Bewertung_Stammdaten!A$33)))))))))</f>
        <v>4</v>
      </c>
      <c r="AZ65" s="36">
        <f ca="1">IF(AW65&lt;Bewertung_Stammdaten!J$11,Bewertung_Stammdaten!I$11,IF(AW65&lt;Bewertung_Stammdaten!J$12,Bewertung_Stammdaten!I$12,IF(AW65&lt;Bewertung_Stammdaten!J$13,Bewertung_Stammdaten!I$13,IF(AW65&lt;Bewertung_Stammdaten!J$14,Bewertung_Stammdaten!I$14,IF(AW65&lt;Bewertung_Stammdaten!J$15,Bewertung_Stammdaten!I$15,IF(AW65&lt;Bewertung_Stammdaten!J$16,Bewertung_Stammdaten!I$16,IF(AW65&lt;Bewertung_Stammdaten!J$17,Bewertung_Stammdaten!I$17,IF(AW65&lt;Bewertung_Stammdaten!J$18,Bewertung_Stammdaten!I$18,IF(AW65&lt;Bewertung_Stammdaten!J$19,Bewertung_Stammdaten!I$19,Bewertung_Stammdaten!I$20)))))))))</f>
        <v>3.5</v>
      </c>
    </row>
    <row r="66" spans="1:52" x14ac:dyDescent="0.25">
      <c r="A66" s="44" t="s">
        <v>128</v>
      </c>
      <c r="B66" s="44" t="s">
        <v>129</v>
      </c>
      <c r="C66" s="36">
        <f t="shared" ca="1" si="7"/>
        <v>79</v>
      </c>
      <c r="D66" s="49"/>
      <c r="E66" s="12">
        <f ca="1">VLOOKUP(A66,KGV!A3:S68,18,FALSE)</f>
        <v>17.878055555555555</v>
      </c>
      <c r="F66" s="12">
        <f>VLOOKUP(A66,KGV!A3:S68,15,FALSE)</f>
        <v>15.8</v>
      </c>
      <c r="G66" s="13">
        <f ca="1">VLOOKUP(A66,KGV!A3:S68,19,FALSE)</f>
        <v>0.13152250351617423</v>
      </c>
      <c r="H66" s="19">
        <f t="shared" ca="1" si="8"/>
        <v>20.540744680851063</v>
      </c>
      <c r="I66" s="13">
        <f t="shared" ca="1" si="9"/>
        <v>0.3000471316994342</v>
      </c>
      <c r="J66" s="36">
        <f ca="1">IF(G66&lt;Bewertung_Stammdaten!B$11,Bewertung_Stammdaten!A$11,IF(G66&lt;Bewertung_Stammdaten!B$12,Bewertung_Stammdaten!A$12,IF(G66&lt;Bewertung_Stammdaten!B$13,Bewertung_Stammdaten!A$13,IF(G66&lt;Bewertung_Stammdaten!B$14,Bewertung_Stammdaten!A$14,IF(G66&lt;Bewertung_Stammdaten!B$15,Bewertung_Stammdaten!A$15,IF(G66&lt;Bewertung_Stammdaten!B$16,Bewertung_Stammdaten!A$16,IF(G66&lt;Bewertung_Stammdaten!B$17,Bewertung_Stammdaten!A$17,IF(G66&lt;Bewertung_Stammdaten!B$18,Bewertung_Stammdaten!A$18,IF(G66&lt;Bewertung_Stammdaten!B$19,Bewertung_Stammdaten!A$19,Bewertung_Stammdaten!A$20)))))))))</f>
        <v>6</v>
      </c>
      <c r="K66" s="36">
        <f ca="1">IF(I66&lt;Bewertung_Stammdaten!N$11,Bewertung_Stammdaten!M$11,IF(I66&lt;Bewertung_Stammdaten!N$12,Bewertung_Stammdaten!M$12,IF(I66&lt;Bewertung_Stammdaten!N$13,Bewertung_Stammdaten!M$13,IF(I66&lt;Bewertung_Stammdaten!N$14,Bewertung_Stammdaten!M$14,IF(I66&lt;Bewertung_Stammdaten!N$15,Bewertung_Stammdaten!M$15,IF(I66&lt;Bewertung_Stammdaten!N$16,Bewertung_Stammdaten!M$16,IF(I66&lt;Bewertung_Stammdaten!N$17,Bewertung_Stammdaten!M$17,IF(I66&lt;Bewertung_Stammdaten!N$18,Bewertung_Stammdaten!M$18,IF(I66&lt;Bewertung_Stammdaten!N$19,Bewertung_Stammdaten!M$19,Bewertung_Stammdaten!M$20)))))))))</f>
        <v>1</v>
      </c>
      <c r="L66" s="49"/>
      <c r="M66" s="12">
        <f ca="1">VLOOKUP(A66,Buchwert_je_Aktie!A3:AC68,18,FALSE)</f>
        <v>10.820555555555554</v>
      </c>
      <c r="N66" s="12">
        <f>VLOOKUP(A66,Buchwert_je_Aktie!A3:AC68,15,FALSE)</f>
        <v>8.7440000000000015</v>
      </c>
      <c r="O66" s="13">
        <f ca="1">VLOOKUP(A66,Buchwert_je_Aktie!A3:AC68,19,FALSE)</f>
        <v>0.23748348073599646</v>
      </c>
      <c r="P66" s="13">
        <f>VLOOKUP(A66,Buchwert_je_Aktie!A3:AC68,29,FALSE)</f>
        <v>-0.23923444976076547</v>
      </c>
      <c r="Q66" s="19">
        <f t="shared" ca="1" si="6"/>
        <v>8.2319059011164271</v>
      </c>
      <c r="R66" s="13">
        <f t="shared" ca="1" si="3"/>
        <v>-5.8565198865916601E-2</v>
      </c>
      <c r="S66" s="58">
        <f ca="1">IF(O66&lt;Bewertung_Stammdaten!D$24,Bewertung_Stammdaten!C$24,IF(O66&lt;Bewertung_Stammdaten!D$25,Bewertung_Stammdaten!C$25,IF(O66&lt;Bewertung_Stammdaten!D$26,Bewertung_Stammdaten!C$26,IF(O66&lt;Bewertung_Stammdaten!D$27,Bewertung_Stammdaten!C$27,IF(O66&lt;Bewertung_Stammdaten!D$28,Bewertung_Stammdaten!C$28,IF(O66&lt;Bewertung_Stammdaten!D$29,Bewertung_Stammdaten!C$29,IF(O66&lt;Bewertung_Stammdaten!D$30,Bewertung_Stammdaten!C$30,IF(O66&lt;Bewertung_Stammdaten!D$31,Bewertung_Stammdaten!C$31,IF(O66&lt;Bewertung_Stammdaten!D$32,Bewertung_Stammdaten!C$32,Bewertung_Stammdaten!C$33)))))))))</f>
        <v>8</v>
      </c>
      <c r="T66" s="58">
        <f>IF(P66&lt;Bewertung_Stammdaten!F$24,Bewertung_Stammdaten!E$24,IF(P66&lt;Bewertung_Stammdaten!F$25,Bewertung_Stammdaten!E$25,IF(P66&lt;Bewertung_Stammdaten!F$26,Bewertung_Stammdaten!E$26,IF(P66&lt;Bewertung_Stammdaten!F$27,Bewertung_Stammdaten!E$27,IF(P66&lt;Bewertung_Stammdaten!F$28,Bewertung_Stammdaten!E$28,IF(P66&lt;Bewertung_Stammdaten!F$29,Bewertung_Stammdaten!E$29,IF(P66&lt;Bewertung_Stammdaten!F$30,Bewertung_Stammdaten!E$30,IF(P66&lt;Bewertung_Stammdaten!F$31,Bewertung_Stammdaten!E$31,IF(P66&lt;Bewertung_Stammdaten!F$32,Bewertung_Stammdaten!E$32,Bewertung_Stammdaten!E$33)))))))))</f>
        <v>4.5</v>
      </c>
      <c r="U66" s="58">
        <f ca="1">IF(R66&lt;Bewertung_Stammdaten!H$24,Bewertung_Stammdaten!G$24,IF(R66&lt;Bewertung_Stammdaten!H$25,Bewertung_Stammdaten!G$25,IF(R66&lt;Bewertung_Stammdaten!H$26,Bewertung_Stammdaten!G$26,IF(R66&lt;Bewertung_Stammdaten!H$27,Bewertung_Stammdaten!G$27,IF(R66&lt;Bewertung_Stammdaten!H$28,Bewertung_Stammdaten!G$28,IF(R66&lt;Bewertung_Stammdaten!H$29,Bewertung_Stammdaten!G$29,IF(R66&lt;Bewertung_Stammdaten!H$30,Bewertung_Stammdaten!G$30,IF(R66&lt;Bewertung_Stammdaten!H$31,Bewertung_Stammdaten!G$31,IF(R66&lt;Bewertung_Stammdaten!H$32,Bewertung_Stammdaten!G$32,Bewertung_Stammdaten!G$33)))))))))</f>
        <v>1</v>
      </c>
      <c r="V66" s="49"/>
      <c r="W66" s="17">
        <f ca="1">VLOOKUP(A66,Ergebnis_je_Aktie_verwässert!A3:S68,18,FALSE)</f>
        <v>2.9385000000000003</v>
      </c>
      <c r="X66" s="17">
        <f>VLOOKUP(A66,Ergebnis_je_Aktie_verwässert!A3:S68,15,FALSE)</f>
        <v>1.98</v>
      </c>
      <c r="Y66" s="13">
        <f ca="1">VLOOKUP(A66,Ergebnis_je_Aktie_verwässert!A3:S68,19,FALSE)</f>
        <v>0.48409090909090935</v>
      </c>
      <c r="Z66" s="46">
        <f>VLOOKUP(A66,Ergebnis_je_Aktie_verwässert!A3:AC68,29,FALSE)</f>
        <v>-0.12962962962962965</v>
      </c>
      <c r="AA66" s="19">
        <f t="shared" ca="1" si="10"/>
        <v>2.5575833333333335</v>
      </c>
      <c r="AB66" s="13">
        <f t="shared" ca="1" si="11"/>
        <v>0.29170875420875442</v>
      </c>
      <c r="AC66" s="36">
        <f ca="1">IF(Y66&lt;Bewertung_Stammdaten!L$11,Bewertung_Stammdaten!K$11,IF(Y66&lt;Bewertung_Stammdaten!L$12,Bewertung_Stammdaten!K$12,IF(Y66&lt;Bewertung_Stammdaten!L$13,Bewertung_Stammdaten!K$13,IF(Y66&lt;Bewertung_Stammdaten!L$14,Bewertung_Stammdaten!K$14,IF(Y66&lt;Bewertung_Stammdaten!L$15,Bewertung_Stammdaten!K$15,IF(Y66&lt;Bewertung_Stammdaten!L$16,Bewertung_Stammdaten!K$16,IF(Y66&lt;Bewertung_Stammdaten!L$17,Bewertung_Stammdaten!K$17,IF(Y66&lt;Bewertung_Stammdaten!L$18,Bewertung_Stammdaten!K$18,IF(Y66&lt;Bewertung_Stammdaten!L$19,Bewertung_Stammdaten!K$19,Bewertung_Stammdaten!K$20)))))))))</f>
        <v>12</v>
      </c>
      <c r="AD66" s="36">
        <f>IF(Z66&lt;Bewertung_Stammdaten!R$11,Bewertung_Stammdaten!Q$11,IF(Z66&lt;Bewertung_Stammdaten!R$12,Bewertung_Stammdaten!Q$12,IF(Z66&lt;Bewertung_Stammdaten!R$13,Bewertung_Stammdaten!Q$13,IF(Z66&lt;Bewertung_Stammdaten!R$14,Bewertung_Stammdaten!Q$14,IF(Z66&lt;Bewertung_Stammdaten!R$15,Bewertung_Stammdaten!Q$15,IF(Z66&lt;Bewertung_Stammdaten!R$16,Bewertung_Stammdaten!Q$16,IF(Z66&lt;Bewertung_Stammdaten!R$17,Bewertung_Stammdaten!Q$17,IF(Z66&lt;Bewertung_Stammdaten!R$18,Bewertung_Stammdaten!Q$18,IF(Z66&lt;Bewertung_Stammdaten!R$19,Bewertung_Stammdaten!Q$19,Bewertung_Stammdaten!Q$20)))))))))</f>
        <v>6</v>
      </c>
      <c r="AE66" s="36">
        <f ca="1">IF(AB66&lt;Bewertung_Stammdaten!P$11,Bewertung_Stammdaten!O$11,IF(AB66&lt;Bewertung_Stammdaten!P$12,Bewertung_Stammdaten!O$12,IF(AB66&lt;Bewertung_Stammdaten!P$13,Bewertung_Stammdaten!O$13,IF(AB66&lt;Bewertung_Stammdaten!P$14,Bewertung_Stammdaten!O$14,IF(AB66&lt;Bewertung_Stammdaten!P$15,Bewertung_Stammdaten!O$15,IF(AB66&lt;Bewertung_Stammdaten!P$16,Bewertung_Stammdaten!O$16,IF(AB66&lt;Bewertung_Stammdaten!P$17,Bewertung_Stammdaten!O$17,IF(AB66&lt;Bewertung_Stammdaten!P$18,Bewertung_Stammdaten!O$18,IF(AB66&lt;Bewertung_Stammdaten!P$19,Bewertung_Stammdaten!O$19,Bewertung_Stammdaten!O$20)))))))))</f>
        <v>4</v>
      </c>
      <c r="AF66" s="49"/>
      <c r="AG66" s="13">
        <f ca="1">VLOOKUP(A66,Dividendenrendite!A3:S68,18,FALSE)</f>
        <v>3.0224722222222222E-2</v>
      </c>
      <c r="AH66" s="13">
        <f>VLOOKUP(A66,Dividendenrendite!A3:S68,15,FALSE)</f>
        <v>2.7309999999999994E-2</v>
      </c>
      <c r="AI66" s="13">
        <f ca="1">VLOOKUP(A66,Dividendenrendite!A3:S68,19,FALSE)</f>
        <v>0.10672728752186855</v>
      </c>
      <c r="AJ66" s="36">
        <f ca="1">IF(AG66&lt;Bewertung_Stammdaten!D$11,Bewertung_Stammdaten!C$11,IF(AG66&lt;Bewertung_Stammdaten!D$12,Bewertung_Stammdaten!C$12,IF(AG66&lt;Bewertung_Stammdaten!D$13,Bewertung_Stammdaten!C$13,IF(AG66&lt;Bewertung_Stammdaten!D$14,Bewertung_Stammdaten!C$14,IF(AG66&lt;Bewertung_Stammdaten!D$15,Bewertung_Stammdaten!C$15,IF(AG66&lt;Bewertung_Stammdaten!D$16,Bewertung_Stammdaten!C$16,IF(AG66&lt;Bewertung_Stammdaten!D$17,Bewertung_Stammdaten!C$17,IF(AG66&lt;Bewertung_Stammdaten!D$18,Bewertung_Stammdaten!C$18,IF(AG66&lt;Bewertung_Stammdaten!D$19,Bewertung_Stammdaten!C$19,Bewertung_Stammdaten!C$20)))))))))</f>
        <v>10.5</v>
      </c>
      <c r="AK66" s="36">
        <f>IF(AH66&lt;Bewertung_Stammdaten!T$11,Bewertung_Stammdaten!S$11,IF(AH66&lt;Bewertung_Stammdaten!T$12,Bewertung_Stammdaten!S$12,IF(AH66&lt;Bewertung_Stammdaten!T$13,Bewertung_Stammdaten!S$13,IF(AH66&lt;Bewertung_Stammdaten!T$14,Bewertung_Stammdaten!S$14,IF(AH66&lt;Bewertung_Stammdaten!T$15,Bewertung_Stammdaten!S$15,IF(AH66&lt;Bewertung_Stammdaten!T$16,Bewertung_Stammdaten!S$16,IF(AH66&lt;Bewertung_Stammdaten!T$17,Bewertung_Stammdaten!S$17,IF(AH66&lt;Bewertung_Stammdaten!T$18,Bewertung_Stammdaten!S$18,IF(AH66&lt;Bewertung_Stammdaten!T$19,Bewertung_Stammdaten!S$19,Bewertung_Stammdaten!S$20)))))))))</f>
        <v>6</v>
      </c>
      <c r="AL66" s="36">
        <f ca="1">IF(AI66&lt;Bewertung_Stammdaten!F$11,Bewertung_Stammdaten!E$11,IF(AI66&lt;Bewertung_Stammdaten!F$12,Bewertung_Stammdaten!E$12,IF(AI66&lt;Bewertung_Stammdaten!F$13,Bewertung_Stammdaten!E$13,IF(AI66&lt;Bewertung_Stammdaten!F$14,Bewertung_Stammdaten!E$14,IF(AI66&lt;Bewertung_Stammdaten!F$15,Bewertung_Stammdaten!E$15,IF(AI66&lt;Bewertung_Stammdaten!F$16,Bewertung_Stammdaten!E$16,IF(AI66&lt;Bewertung_Stammdaten!F$17,Bewertung_Stammdaten!E$17,IF(AI66&lt;Bewertung_Stammdaten!F$18,Bewertung_Stammdaten!E$18,IF(AI66&lt;Bewertung_Stammdaten!F$19,Bewertung_Stammdaten!E$19,Bewertung_Stammdaten!E$20)))))))))</f>
        <v>4</v>
      </c>
      <c r="AM66" s="49"/>
      <c r="AN66" s="13">
        <f>VLOOKUP(A66,Aktien_im_Umlauf_splitbereinigt!A3:W68,13,FALSE)</f>
        <v>-1.1873554356206739E-2</v>
      </c>
      <c r="AO66" s="13">
        <f>VLOOKUP(A66,Aktien_im_Umlauf_splitbereinigt!A3:W68,22,FALSE)</f>
        <v>-1.6699176286685737E-2</v>
      </c>
      <c r="AP66" s="13">
        <f>VLOOKUP(A66,Aktien_im_Umlauf_splitbereinigt!A3:W68,23,FALSE)</f>
        <v>-0.28897365041450995</v>
      </c>
      <c r="AQ66" s="47">
        <f>IF(AN66&lt;Bewertung_Stammdaten!J$24,Bewertung_Stammdaten!I$24,IF(AN66&lt;Bewertung_Stammdaten!J$25,Bewertung_Stammdaten!I$25,IF(AN66&lt;Bewertung_Stammdaten!J$26,Bewertung_Stammdaten!I$26,IF(AN66&lt;Bewertung_Stammdaten!J$27,Bewertung_Stammdaten!I$27,IF(AN66&lt;Bewertung_Stammdaten!J$28,Bewertung_Stammdaten!I$28,IF(AN66&lt;Bewertung_Stammdaten!J$29,Bewertung_Stammdaten!I$29,IF(AN66&lt;Bewertung_Stammdaten!J$30,Bewertung_Stammdaten!I$30,IF(AN66&lt;Bewertung_Stammdaten!J$31,Bewertung_Stammdaten!I$31,IF(AN66&lt;Bewertung_Stammdaten!J$32,Bewertung_Stammdaten!I$32,Bewertung_Stammdaten!I$33)))))))))</f>
        <v>2.5</v>
      </c>
      <c r="AR66" s="47">
        <f>IF(AO66&lt;Bewertung_Stammdaten!L$24,Bewertung_Stammdaten!K$24,IF(AO66&lt;Bewertung_Stammdaten!L$25,Bewertung_Stammdaten!K$25,IF(AO66&lt;Bewertung_Stammdaten!L$26,Bewertung_Stammdaten!K$26,IF(AO66&lt;Bewertung_Stammdaten!L$27,Bewertung_Stammdaten!K$27,IF(AO66&lt;Bewertung_Stammdaten!L$28,Bewertung_Stammdaten!K$28,IF(AO66&lt;Bewertung_Stammdaten!L$29,Bewertung_Stammdaten!K$29,IF(AO66&lt;Bewertung_Stammdaten!L$30,Bewertung_Stammdaten!K$30,IF(AO66&lt;Bewertung_Stammdaten!L$31,Bewertung_Stammdaten!K$31,IF(AO66&lt;Bewertung_Stammdaten!L$32,Bewertung_Stammdaten!K$32,Bewertung_Stammdaten!K$33)))))))))</f>
        <v>3</v>
      </c>
      <c r="AS66" s="47">
        <f>IF(AP66&lt;Bewertung_Stammdaten!N$24,Bewertung_Stammdaten!M$24,IF(AP66&lt;Bewertung_Stammdaten!N$25,Bewertung_Stammdaten!M$25,IF(AP66&lt;Bewertung_Stammdaten!N$26,Bewertung_Stammdaten!M$26,IF(AP66&lt;Bewertung_Stammdaten!N$27,Bewertung_Stammdaten!M$27,IF(AP66&lt;Bewertung_Stammdaten!N$28,Bewertung_Stammdaten!M$28,IF(AP66&lt;Bewertung_Stammdaten!N$29,Bewertung_Stammdaten!M$29,IF(AP66&lt;Bewertung_Stammdaten!N$30,Bewertung_Stammdaten!M$30,IF(AP66&lt;Bewertung_Stammdaten!N$31,Bewertung_Stammdaten!M$31,IF(AP66&lt;Bewertung_Stammdaten!N$32,Bewertung_Stammdaten!M$32,Bewertung_Stammdaten!M$33)))))))))</f>
        <v>2</v>
      </c>
      <c r="AT66" s="49"/>
      <c r="AU66" s="13">
        <f ca="1">VLOOKUP(A66,Ausschüttungsquote!A3:S68,18,FALSE)</f>
        <v>0.54598364697181356</v>
      </c>
      <c r="AV66" s="13">
        <f>VLOOKUP(A66,Ausschüttungsquote!A3:S68,15,FALSE)</f>
        <v>0.44290635023009867</v>
      </c>
      <c r="AW66" s="13">
        <f ca="1">VLOOKUP(A66,Ausschüttungsquote!A3:S68,19,FALSE)</f>
        <v>0.23272932683887726</v>
      </c>
      <c r="AX66" s="36">
        <f ca="1">IF(AU66&lt;Bewertung_Stammdaten!H$11,Bewertung_Stammdaten!G$11,IF(AU66&lt;Bewertung_Stammdaten!H$12,Bewertung_Stammdaten!G$12,IF(AU66&lt;Bewertung_Stammdaten!H$13,Bewertung_Stammdaten!G$13,IF(AU66&lt;Bewertung_Stammdaten!H$14,Bewertung_Stammdaten!G$14,IF(AU66&lt;Bewertung_Stammdaten!H$15,Bewertung_Stammdaten!G$15,IF(AU66&lt;Bewertung_Stammdaten!H$16,Bewertung_Stammdaten!G$16,IF(AU66&lt;Bewertung_Stammdaten!H$17,Bewertung_Stammdaten!G$17,IF(AU66&lt;Bewertung_Stammdaten!H$18,Bewertung_Stammdaten!G$18,IF(AU66&lt;Bewertung_Stammdaten!H$19,Bewertung_Stammdaten!G$19,Bewertung_Stammdaten!G$20)))))))))</f>
        <v>3.5</v>
      </c>
      <c r="AY66" s="47">
        <f>IF(AV66&lt;Bewertung_Stammdaten!B$24,Bewertung_Stammdaten!A$24,IF(AV66&lt;Bewertung_Stammdaten!B$25,Bewertung_Stammdaten!A$25,IF(AV66&lt;Bewertung_Stammdaten!B$26,Bewertung_Stammdaten!A$26,IF(AV66&lt;Bewertung_Stammdaten!B$27,Bewertung_Stammdaten!A$27,IF(AV66&lt;Bewertung_Stammdaten!B$28,Bewertung_Stammdaten!A$28,IF(AV66&lt;Bewertung_Stammdaten!B$29,Bewertung_Stammdaten!A$29,IF(AV66&lt;Bewertung_Stammdaten!B$30,Bewertung_Stammdaten!A$30,IF(AV66&lt;Bewertung_Stammdaten!B$31,Bewertung_Stammdaten!A$31,IF(AV66&lt;Bewertung_Stammdaten!B$32,Bewertung_Stammdaten!A$32,Bewertung_Stammdaten!A$33)))))))))</f>
        <v>4.5</v>
      </c>
      <c r="AZ66" s="36">
        <f ca="1">IF(AW66&lt;Bewertung_Stammdaten!J$11,Bewertung_Stammdaten!I$11,IF(AW66&lt;Bewertung_Stammdaten!J$12,Bewertung_Stammdaten!I$12,IF(AW66&lt;Bewertung_Stammdaten!J$13,Bewertung_Stammdaten!I$13,IF(AW66&lt;Bewertung_Stammdaten!J$14,Bewertung_Stammdaten!I$14,IF(AW66&lt;Bewertung_Stammdaten!J$15,Bewertung_Stammdaten!I$15,IF(AW66&lt;Bewertung_Stammdaten!J$16,Bewertung_Stammdaten!I$16,IF(AW66&lt;Bewertung_Stammdaten!J$17,Bewertung_Stammdaten!I$17,IF(AW66&lt;Bewertung_Stammdaten!J$18,Bewertung_Stammdaten!I$18,IF(AW66&lt;Bewertung_Stammdaten!J$19,Bewertung_Stammdaten!I$19,Bewertung_Stammdaten!I$20)))))))))</f>
        <v>0.5</v>
      </c>
    </row>
    <row r="67" spans="1:52" x14ac:dyDescent="0.25">
      <c r="A67" s="44" t="s">
        <v>130</v>
      </c>
      <c r="B67" s="44" t="s">
        <v>131</v>
      </c>
      <c r="C67" s="36">
        <f t="shared" ca="1" si="7"/>
        <v>87.5</v>
      </c>
      <c r="D67" s="49"/>
      <c r="E67" s="12">
        <f ca="1">VLOOKUP(A67,KGV!A3:S68,18,FALSE)</f>
        <v>17.835555555555555</v>
      </c>
      <c r="F67" s="12">
        <f>VLOOKUP(A67,KGV!A3:S68,15,FALSE)</f>
        <v>18.100000000000001</v>
      </c>
      <c r="G67" s="13">
        <f ca="1">VLOOKUP(A67,KGV!A3:S68,19,FALSE)</f>
        <v>-1.4610190300798132E-2</v>
      </c>
      <c r="H67" s="19">
        <f t="shared" ca="1" si="8"/>
        <v>19.891785018100808</v>
      </c>
      <c r="I67" s="13">
        <f t="shared" ref="I67" ca="1" si="12">(H67/F67)-1</f>
        <v>9.8993647408884389E-2</v>
      </c>
      <c r="J67" s="36">
        <f ca="1">IF(G67&lt;Bewertung_Stammdaten!B$11,Bewertung_Stammdaten!A$11,IF(G67&lt;Bewertung_Stammdaten!B$12,Bewertung_Stammdaten!A$12,IF(G67&lt;Bewertung_Stammdaten!B$13,Bewertung_Stammdaten!A$13,IF(G67&lt;Bewertung_Stammdaten!B$14,Bewertung_Stammdaten!A$14,IF(G67&lt;Bewertung_Stammdaten!B$15,Bewertung_Stammdaten!A$15,IF(G67&lt;Bewertung_Stammdaten!B$16,Bewertung_Stammdaten!A$16,IF(G67&lt;Bewertung_Stammdaten!B$17,Bewertung_Stammdaten!A$17,IF(G67&lt;Bewertung_Stammdaten!B$18,Bewertung_Stammdaten!A$18,IF(G67&lt;Bewertung_Stammdaten!B$19,Bewertung_Stammdaten!A$19,Bewertung_Stammdaten!A$20)))))))))</f>
        <v>12</v>
      </c>
      <c r="K67" s="36">
        <f ca="1">IF(I67&lt;Bewertung_Stammdaten!N$11,Bewertung_Stammdaten!M$11,IF(I67&lt;Bewertung_Stammdaten!N$12,Bewertung_Stammdaten!M$12,IF(I67&lt;Bewertung_Stammdaten!N$13,Bewertung_Stammdaten!M$13,IF(I67&lt;Bewertung_Stammdaten!N$14,Bewertung_Stammdaten!M$14,IF(I67&lt;Bewertung_Stammdaten!N$15,Bewertung_Stammdaten!M$15,IF(I67&lt;Bewertung_Stammdaten!N$16,Bewertung_Stammdaten!M$16,IF(I67&lt;Bewertung_Stammdaten!N$17,Bewertung_Stammdaten!M$17,IF(I67&lt;Bewertung_Stammdaten!N$18,Bewertung_Stammdaten!M$18,IF(I67&lt;Bewertung_Stammdaten!N$19,Bewertung_Stammdaten!M$19,Bewertung_Stammdaten!M$20)))))))))</f>
        <v>4</v>
      </c>
      <c r="L67" s="49"/>
      <c r="M67" s="12">
        <f ca="1">VLOOKUP(A67,Buchwert_je_Aktie!A3:AC68,18,FALSE)</f>
        <v>12.319166666666666</v>
      </c>
      <c r="N67" s="12">
        <f>VLOOKUP(A67,Buchwert_je_Aktie!A3:AC68,15,FALSE)</f>
        <v>12.73</v>
      </c>
      <c r="O67" s="13">
        <f ca="1">VLOOKUP(A67,Buchwert_je_Aktie!A3:AC68,19,FALSE)</f>
        <v>-3.2272846294841617E-2</v>
      </c>
      <c r="P67" s="13">
        <f>VLOOKUP(A67,Buchwert_je_Aktie!A3:AC68,29,FALSE)</f>
        <v>-0.2441579371474617</v>
      </c>
      <c r="Q67" s="19">
        <f t="shared" ca="1" si="6"/>
        <v>9.3113443459575613</v>
      </c>
      <c r="R67" s="13">
        <f t="shared" ref="R67" ca="1" si="13">IF(N67&gt;0,(Q67/N67)-1,-99.99999)</f>
        <v>-0.26855111186507774</v>
      </c>
      <c r="S67" s="58">
        <f ca="1">IF(O67&lt;Bewertung_Stammdaten!D$24,Bewertung_Stammdaten!C$24,IF(O67&lt;Bewertung_Stammdaten!D$25,Bewertung_Stammdaten!C$25,IF(O67&lt;Bewertung_Stammdaten!D$26,Bewertung_Stammdaten!C$26,IF(O67&lt;Bewertung_Stammdaten!D$27,Bewertung_Stammdaten!C$27,IF(O67&lt;Bewertung_Stammdaten!D$28,Bewertung_Stammdaten!C$28,IF(O67&lt;Bewertung_Stammdaten!D$29,Bewertung_Stammdaten!C$29,IF(O67&lt;Bewertung_Stammdaten!D$30,Bewertung_Stammdaten!C$30,IF(O67&lt;Bewertung_Stammdaten!D$31,Bewertung_Stammdaten!C$31,IF(O67&lt;Bewertung_Stammdaten!D$32,Bewertung_Stammdaten!C$32,Bewertung_Stammdaten!C$33)))))))))</f>
        <v>2</v>
      </c>
      <c r="T67" s="58">
        <f>IF(P67&lt;Bewertung_Stammdaten!F$24,Bewertung_Stammdaten!E$24,IF(P67&lt;Bewertung_Stammdaten!F$25,Bewertung_Stammdaten!E$25,IF(P67&lt;Bewertung_Stammdaten!F$26,Bewertung_Stammdaten!E$26,IF(P67&lt;Bewertung_Stammdaten!F$27,Bewertung_Stammdaten!E$27,IF(P67&lt;Bewertung_Stammdaten!F$28,Bewertung_Stammdaten!E$28,IF(P67&lt;Bewertung_Stammdaten!F$29,Bewertung_Stammdaten!E$29,IF(P67&lt;Bewertung_Stammdaten!F$30,Bewertung_Stammdaten!E$30,IF(P67&lt;Bewertung_Stammdaten!F$31,Bewertung_Stammdaten!E$31,IF(P67&lt;Bewertung_Stammdaten!F$32,Bewertung_Stammdaten!E$32,Bewertung_Stammdaten!E$33)))))))))</f>
        <v>4.5</v>
      </c>
      <c r="U67" s="58">
        <f ca="1">IF(R67&lt;Bewertung_Stammdaten!H$24,Bewertung_Stammdaten!G$24,IF(R67&lt;Bewertung_Stammdaten!H$25,Bewertung_Stammdaten!G$25,IF(R67&lt;Bewertung_Stammdaten!H$26,Bewertung_Stammdaten!G$26,IF(R67&lt;Bewertung_Stammdaten!H$27,Bewertung_Stammdaten!G$27,IF(R67&lt;Bewertung_Stammdaten!H$28,Bewertung_Stammdaten!G$28,IF(R67&lt;Bewertung_Stammdaten!H$29,Bewertung_Stammdaten!G$29,IF(R67&lt;Bewertung_Stammdaten!H$30,Bewertung_Stammdaten!G$30,IF(R67&lt;Bewertung_Stammdaten!H$31,Bewertung_Stammdaten!G$31,IF(R67&lt;Bewertung_Stammdaten!H$32,Bewertung_Stammdaten!G$32,Bewertung_Stammdaten!G$33)))))))))</f>
        <v>1</v>
      </c>
      <c r="V67" s="49"/>
      <c r="W67" s="17">
        <f ca="1">VLOOKUP(A67,Ergebnis_je_Aktie_verwässert!A3:S68,18,FALSE)</f>
        <v>6.351527777777779</v>
      </c>
      <c r="X67" s="17">
        <f>VLOOKUP(A67,Ergebnis_je_Aktie_verwässert!A3:S68,15,FALSE)</f>
        <v>4.1180000000000003</v>
      </c>
      <c r="Y67" s="13">
        <f ca="1">VLOOKUP(A67,Ergebnis_je_Aktie_verwässert!A3:S68,19,FALSE)</f>
        <v>0.54238168474448245</v>
      </c>
      <c r="Z67" s="46">
        <f>VLOOKUP(A67,Ergebnis_je_Aktie_verwässert!A3:AC68,29,FALSE)</f>
        <v>-0.10337078651685394</v>
      </c>
      <c r="AA67" s="19">
        <f t="shared" ref="AA67" ca="1" si="14">IF(Z67&gt;0,W67,W67*(1+Z67))</f>
        <v>5.6949653558052447</v>
      </c>
      <c r="AB67" s="13">
        <f t="shared" ref="AB67" ca="1" si="15">IF(X67&gt;0,(AA67/X67)-1,-99.99999)</f>
        <v>0.38294447688325506</v>
      </c>
      <c r="AC67" s="36">
        <f ca="1">IF(Y67&lt;Bewertung_Stammdaten!L$11,Bewertung_Stammdaten!K$11,IF(Y67&lt;Bewertung_Stammdaten!L$12,Bewertung_Stammdaten!K$12,IF(Y67&lt;Bewertung_Stammdaten!L$13,Bewertung_Stammdaten!K$13,IF(Y67&lt;Bewertung_Stammdaten!L$14,Bewertung_Stammdaten!K$14,IF(Y67&lt;Bewertung_Stammdaten!L$15,Bewertung_Stammdaten!K$15,IF(Y67&lt;Bewertung_Stammdaten!L$16,Bewertung_Stammdaten!K$16,IF(Y67&lt;Bewertung_Stammdaten!L$17,Bewertung_Stammdaten!K$17,IF(Y67&lt;Bewertung_Stammdaten!L$18,Bewertung_Stammdaten!K$18,IF(Y67&lt;Bewertung_Stammdaten!L$19,Bewertung_Stammdaten!K$19,Bewertung_Stammdaten!K$20)))))))))</f>
        <v>14</v>
      </c>
      <c r="AD67" s="36">
        <f>IF(Z67&lt;Bewertung_Stammdaten!R$11,Bewertung_Stammdaten!Q$11,IF(Z67&lt;Bewertung_Stammdaten!R$12,Bewertung_Stammdaten!Q$12,IF(Z67&lt;Bewertung_Stammdaten!R$13,Bewertung_Stammdaten!Q$13,IF(Z67&lt;Bewertung_Stammdaten!R$14,Bewertung_Stammdaten!Q$14,IF(Z67&lt;Bewertung_Stammdaten!R$15,Bewertung_Stammdaten!Q$15,IF(Z67&lt;Bewertung_Stammdaten!R$16,Bewertung_Stammdaten!Q$16,IF(Z67&lt;Bewertung_Stammdaten!R$17,Bewertung_Stammdaten!Q$17,IF(Z67&lt;Bewertung_Stammdaten!R$18,Bewertung_Stammdaten!Q$18,IF(Z67&lt;Bewertung_Stammdaten!R$19,Bewertung_Stammdaten!Q$19,Bewertung_Stammdaten!Q$20)))))))))</f>
        <v>6</v>
      </c>
      <c r="AE67" s="36">
        <f ca="1">IF(AB67&lt;Bewertung_Stammdaten!P$11,Bewertung_Stammdaten!O$11,IF(AB67&lt;Bewertung_Stammdaten!P$12,Bewertung_Stammdaten!O$12,IF(AB67&lt;Bewertung_Stammdaten!P$13,Bewertung_Stammdaten!O$13,IF(AB67&lt;Bewertung_Stammdaten!P$14,Bewertung_Stammdaten!O$14,IF(AB67&lt;Bewertung_Stammdaten!P$15,Bewertung_Stammdaten!O$15,IF(AB67&lt;Bewertung_Stammdaten!P$16,Bewertung_Stammdaten!O$16,IF(AB67&lt;Bewertung_Stammdaten!P$17,Bewertung_Stammdaten!O$17,IF(AB67&lt;Bewertung_Stammdaten!P$18,Bewertung_Stammdaten!O$18,IF(AB67&lt;Bewertung_Stammdaten!P$19,Bewertung_Stammdaten!O$19,Bewertung_Stammdaten!O$20)))))))))</f>
        <v>5</v>
      </c>
      <c r="AF67" s="49"/>
      <c r="AG67" s="13">
        <f ca="1">VLOOKUP(A67,Dividendenrendite!A3:S68,18,FALSE)</f>
        <v>3.0705555555555555E-2</v>
      </c>
      <c r="AH67" s="13">
        <f>VLOOKUP(A67,Dividendenrendite!A3:S68,15,FALSE)</f>
        <v>3.4169999999999992E-2</v>
      </c>
      <c r="AI67" s="13">
        <f ca="1">VLOOKUP(A67,Dividendenrendite!A3:S68,19,FALSE)</f>
        <v>-0.10138848242447873</v>
      </c>
      <c r="AJ67" s="36">
        <f ca="1">IF(AG67&lt;Bewertung_Stammdaten!D$11,Bewertung_Stammdaten!C$11,IF(AG67&lt;Bewertung_Stammdaten!D$12,Bewertung_Stammdaten!C$12,IF(AG67&lt;Bewertung_Stammdaten!D$13,Bewertung_Stammdaten!C$13,IF(AG67&lt;Bewertung_Stammdaten!D$14,Bewertung_Stammdaten!C$14,IF(AG67&lt;Bewertung_Stammdaten!D$15,Bewertung_Stammdaten!C$15,IF(AG67&lt;Bewertung_Stammdaten!D$16,Bewertung_Stammdaten!C$16,IF(AG67&lt;Bewertung_Stammdaten!D$17,Bewertung_Stammdaten!C$17,IF(AG67&lt;Bewertung_Stammdaten!D$18,Bewertung_Stammdaten!C$18,IF(AG67&lt;Bewertung_Stammdaten!D$19,Bewertung_Stammdaten!C$19,Bewertung_Stammdaten!C$20)))))))))</f>
        <v>10.5</v>
      </c>
      <c r="AK67" s="36">
        <f>IF(AH67&lt;Bewertung_Stammdaten!T$11,Bewertung_Stammdaten!S$11,IF(AH67&lt;Bewertung_Stammdaten!T$12,Bewertung_Stammdaten!S$12,IF(AH67&lt;Bewertung_Stammdaten!T$13,Bewertung_Stammdaten!S$13,IF(AH67&lt;Bewertung_Stammdaten!T$14,Bewertung_Stammdaten!S$14,IF(AH67&lt;Bewertung_Stammdaten!T$15,Bewertung_Stammdaten!S$15,IF(AH67&lt;Bewertung_Stammdaten!T$16,Bewertung_Stammdaten!S$16,IF(AH67&lt;Bewertung_Stammdaten!T$17,Bewertung_Stammdaten!S$17,IF(AH67&lt;Bewertung_Stammdaten!T$18,Bewertung_Stammdaten!S$18,IF(AH67&lt;Bewertung_Stammdaten!T$19,Bewertung_Stammdaten!S$19,Bewertung_Stammdaten!S$20)))))))))</f>
        <v>7</v>
      </c>
      <c r="AL67" s="36">
        <f ca="1">IF(AI67&lt;Bewertung_Stammdaten!F$11,Bewertung_Stammdaten!E$11,IF(AI67&lt;Bewertung_Stammdaten!F$12,Bewertung_Stammdaten!E$12,IF(AI67&lt;Bewertung_Stammdaten!F$13,Bewertung_Stammdaten!E$13,IF(AI67&lt;Bewertung_Stammdaten!F$14,Bewertung_Stammdaten!E$14,IF(AI67&lt;Bewertung_Stammdaten!F$15,Bewertung_Stammdaten!E$15,IF(AI67&lt;Bewertung_Stammdaten!F$16,Bewertung_Stammdaten!E$16,IF(AI67&lt;Bewertung_Stammdaten!F$17,Bewertung_Stammdaten!E$17,IF(AI67&lt;Bewertung_Stammdaten!F$18,Bewertung_Stammdaten!E$18,IF(AI67&lt;Bewertung_Stammdaten!F$19,Bewertung_Stammdaten!E$19,Bewertung_Stammdaten!E$20)))))))))</f>
        <v>1.5</v>
      </c>
      <c r="AM67" s="49"/>
      <c r="AN67" s="13">
        <f>VLOOKUP(A67,Aktien_im_Umlauf_splitbereinigt!A3:W68,13,FALSE)</f>
        <v>-2.183406113537123E-2</v>
      </c>
      <c r="AO67" s="13">
        <f>VLOOKUP(A67,Aktien_im_Umlauf_splitbereinigt!A3:W68,22,FALSE)</f>
        <v>-2.5799113867933973E-2</v>
      </c>
      <c r="AP67" s="13">
        <f>VLOOKUP(A67,Aktien_im_Umlauf_splitbereinigt!A3:W68,23,FALSE)</f>
        <v>-0.15368949309111557</v>
      </c>
      <c r="AQ67" s="47">
        <f>IF(AN67&lt;Bewertung_Stammdaten!J$24,Bewertung_Stammdaten!I$24,IF(AN67&lt;Bewertung_Stammdaten!J$25,Bewertung_Stammdaten!I$25,IF(AN67&lt;Bewertung_Stammdaten!J$26,Bewertung_Stammdaten!I$26,IF(AN67&lt;Bewertung_Stammdaten!J$27,Bewertung_Stammdaten!I$27,IF(AN67&lt;Bewertung_Stammdaten!J$28,Bewertung_Stammdaten!I$28,IF(AN67&lt;Bewertung_Stammdaten!J$29,Bewertung_Stammdaten!I$29,IF(AN67&lt;Bewertung_Stammdaten!J$30,Bewertung_Stammdaten!I$30,IF(AN67&lt;Bewertung_Stammdaten!J$31,Bewertung_Stammdaten!I$31,IF(AN67&lt;Bewertung_Stammdaten!J$32,Bewertung_Stammdaten!I$32,Bewertung_Stammdaten!I$33)))))))))</f>
        <v>3.5</v>
      </c>
      <c r="AR67" s="47">
        <f>IF(AO67&lt;Bewertung_Stammdaten!L$24,Bewertung_Stammdaten!K$24,IF(AO67&lt;Bewertung_Stammdaten!L$25,Bewertung_Stammdaten!K$25,IF(AO67&lt;Bewertung_Stammdaten!L$26,Bewertung_Stammdaten!K$26,IF(AO67&lt;Bewertung_Stammdaten!L$27,Bewertung_Stammdaten!K$27,IF(AO67&lt;Bewertung_Stammdaten!L$28,Bewertung_Stammdaten!K$28,IF(AO67&lt;Bewertung_Stammdaten!L$29,Bewertung_Stammdaten!K$29,IF(AO67&lt;Bewertung_Stammdaten!L$30,Bewertung_Stammdaten!K$30,IF(AO67&lt;Bewertung_Stammdaten!L$31,Bewertung_Stammdaten!K$31,IF(AO67&lt;Bewertung_Stammdaten!L$32,Bewertung_Stammdaten!K$32,Bewertung_Stammdaten!K$33)))))))))</f>
        <v>4</v>
      </c>
      <c r="AS67" s="47">
        <f>IF(AP67&lt;Bewertung_Stammdaten!N$24,Bewertung_Stammdaten!M$24,IF(AP67&lt;Bewertung_Stammdaten!N$25,Bewertung_Stammdaten!M$25,IF(AP67&lt;Bewertung_Stammdaten!N$26,Bewertung_Stammdaten!M$26,IF(AP67&lt;Bewertung_Stammdaten!N$27,Bewertung_Stammdaten!M$27,IF(AP67&lt;Bewertung_Stammdaten!N$28,Bewertung_Stammdaten!M$28,IF(AP67&lt;Bewertung_Stammdaten!N$29,Bewertung_Stammdaten!M$29,IF(AP67&lt;Bewertung_Stammdaten!N$30,Bewertung_Stammdaten!M$30,IF(AP67&lt;Bewertung_Stammdaten!N$31,Bewertung_Stammdaten!M$31,IF(AP67&lt;Bewertung_Stammdaten!N$32,Bewertung_Stammdaten!M$32,Bewertung_Stammdaten!M$33)))))))))</f>
        <v>2.5</v>
      </c>
      <c r="AT67" s="49"/>
      <c r="AU67" s="13">
        <f ca="1">VLOOKUP(A67,Ausschüttungsquote!A3:S68,18,FALSE)</f>
        <v>0.54792253455840578</v>
      </c>
      <c r="AV67" s="13">
        <f>VLOOKUP(A67,Ausschüttungsquote!A3:S68,15,FALSE)</f>
        <v>0.57692301810541036</v>
      </c>
      <c r="AW67" s="13">
        <f ca="1">VLOOKUP(A67,Ausschüttungsquote!A3:S68,19,FALSE)</f>
        <v>-5.0267509939611821E-2</v>
      </c>
      <c r="AX67" s="36">
        <f ca="1">IF(AU67&lt;Bewertung_Stammdaten!H$11,Bewertung_Stammdaten!G$11,IF(AU67&lt;Bewertung_Stammdaten!H$12,Bewertung_Stammdaten!G$12,IF(AU67&lt;Bewertung_Stammdaten!H$13,Bewertung_Stammdaten!G$13,IF(AU67&lt;Bewertung_Stammdaten!H$14,Bewertung_Stammdaten!G$14,IF(AU67&lt;Bewertung_Stammdaten!H$15,Bewertung_Stammdaten!G$15,IF(AU67&lt;Bewertung_Stammdaten!H$16,Bewertung_Stammdaten!G$16,IF(AU67&lt;Bewertung_Stammdaten!H$17,Bewertung_Stammdaten!G$17,IF(AU67&lt;Bewertung_Stammdaten!H$18,Bewertung_Stammdaten!G$18,IF(AU67&lt;Bewertung_Stammdaten!H$19,Bewertung_Stammdaten!G$19,Bewertung_Stammdaten!G$20)))))))))</f>
        <v>3.5</v>
      </c>
      <c r="AY67" s="47">
        <f>IF(AV67&lt;Bewertung_Stammdaten!B$24,Bewertung_Stammdaten!A$24,IF(AV67&lt;Bewertung_Stammdaten!B$25,Bewertung_Stammdaten!A$25,IF(AV67&lt;Bewertung_Stammdaten!B$26,Bewertung_Stammdaten!A$26,IF(AV67&lt;Bewertung_Stammdaten!B$27,Bewertung_Stammdaten!A$27,IF(AV67&lt;Bewertung_Stammdaten!B$28,Bewertung_Stammdaten!A$28,IF(AV67&lt;Bewertung_Stammdaten!B$29,Bewertung_Stammdaten!A$29,IF(AV67&lt;Bewertung_Stammdaten!B$30,Bewertung_Stammdaten!A$30,IF(AV67&lt;Bewertung_Stammdaten!B$31,Bewertung_Stammdaten!A$31,IF(AV67&lt;Bewertung_Stammdaten!B$32,Bewertung_Stammdaten!A$32,Bewertung_Stammdaten!A$33)))))))))</f>
        <v>3</v>
      </c>
      <c r="AZ67" s="36">
        <f ca="1">IF(AW67&lt;Bewertung_Stammdaten!J$11,Bewertung_Stammdaten!I$11,IF(AW67&lt;Bewertung_Stammdaten!J$12,Bewertung_Stammdaten!I$12,IF(AW67&lt;Bewertung_Stammdaten!J$13,Bewertung_Stammdaten!I$13,IF(AW67&lt;Bewertung_Stammdaten!J$14,Bewertung_Stammdaten!I$14,IF(AW67&lt;Bewertung_Stammdaten!J$15,Bewertung_Stammdaten!I$15,IF(AW67&lt;Bewertung_Stammdaten!J$16,Bewertung_Stammdaten!I$16,IF(AW67&lt;Bewertung_Stammdaten!J$17,Bewertung_Stammdaten!I$17,IF(AW67&lt;Bewertung_Stammdaten!J$18,Bewertung_Stammdaten!I$18,IF(AW67&lt;Bewertung_Stammdaten!J$19,Bewertung_Stammdaten!I$19,Bewertung_Stammdaten!I$20)))))))))</f>
        <v>3.5</v>
      </c>
    </row>
  </sheetData>
  <autoFilter ref="A2:AZ2"/>
  <mergeCells count="6">
    <mergeCell ref="AX1:AZ1"/>
    <mergeCell ref="J1:K1"/>
    <mergeCell ref="S1:U1"/>
    <mergeCell ref="AC1:AE1"/>
    <mergeCell ref="AJ1:AL1"/>
    <mergeCell ref="AQ1:AS1"/>
  </mergeCell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86" operator="between" id="{63C8166B-FC08-4CD5-B8A8-1C89B662890E}">
            <xm:f>Bewertung_Stammdaten!$A$7</xm:f>
            <xm:f>"6Bewertung_Stammdaten!$B$7 "</xm:f>
            <x14:dxf>
              <fill>
                <patternFill>
                  <bgColor rgb="FF00B050"/>
                </patternFill>
              </fill>
            </x14:dxf>
          </x14:cfRule>
          <x14:cfRule type="cellIs" priority="87" operator="between" id="{38F93A9E-F28E-496C-B499-CF4007FB1E34}">
            <xm:f>Bewertung_Stammdaten!$A$6</xm:f>
            <xm:f>"67 Bewertung_Stammdaten!$B$6"</xm:f>
            <x14:dxf>
              <fill>
                <patternFill>
                  <bgColor rgb="FF92D050"/>
                </patternFill>
              </fill>
            </x14:dxf>
          </x14:cfRule>
          <x14:cfRule type="cellIs" priority="88" operator="between" id="{0411EFE1-5851-481E-A5D4-7DD10713CBBF}">
            <xm:f>Bewertung_Stammdaten!$A$5</xm:f>
            <xm:f>"67 Bewertung_Stammdaten!$B$5"</xm:f>
            <x14:dxf>
              <fill>
                <patternFill>
                  <bgColor rgb="FFFFFF00"/>
                </patternFill>
              </fill>
            </x14:dxf>
          </x14:cfRule>
          <x14:cfRule type="cellIs" priority="89" operator="between" id="{2E20D4C0-1146-4971-978E-090611A1550F}">
            <xm:f>Bewertung_Stammdaten!$A$4</xm:f>
            <xm:f>"67 Bewertung_Stammdaten!$B$4"</xm:f>
            <x14:dxf>
              <fill>
                <patternFill>
                  <bgColor rgb="FFFFC000"/>
                </patternFill>
              </fill>
            </x14:dxf>
          </x14:cfRule>
          <x14:cfRule type="cellIs" priority="90" operator="between" id="{FF55B86A-F987-491E-9E01-784A52416E54}">
            <xm:f>Bewertung_Stammdaten!$A$3</xm:f>
            <xm:f>Bewertung_Stammdaten!$B$3</xm:f>
            <x14:dxf>
              <fill>
                <patternFill>
                  <bgColor rgb="FFFF0000"/>
                </patternFill>
              </fill>
            </x14:dxf>
          </x14:cfRule>
          <xm:sqref>C3:C67</xm:sqref>
        </x14:conditionalFormatting>
        <x14:conditionalFormatting xmlns:xm="http://schemas.microsoft.com/office/excel/2006/main">
          <x14:cfRule type="cellIs" priority="81" operator="between" id="{6249F996-33D3-4149-8D87-D5130F4D4AEC}">
            <xm:f>Bewertung_Stammdaten!$A$20</xm:f>
            <xm:f>Bewertung_Stammdaten!$A$19</xm:f>
            <x14:dxf>
              <fill>
                <patternFill>
                  <bgColor rgb="FFFF0000"/>
                </patternFill>
              </fill>
            </x14:dxf>
          </x14:cfRule>
          <x14:cfRule type="cellIs" priority="82" operator="between" id="{811E650F-7585-49A0-BEDE-AB313DAE7451}">
            <xm:f>Bewertung_Stammdaten!$A$18</xm:f>
            <xm:f>Bewertung_Stammdaten!$A$17</xm:f>
            <x14:dxf>
              <fill>
                <patternFill>
                  <bgColor rgb="FFFFC000"/>
                </patternFill>
              </fill>
            </x14:dxf>
          </x14:cfRule>
          <x14:cfRule type="cellIs" priority="83" operator="between" id="{4E9DB2B1-A882-4813-93F3-5F6ACEB79A5C}">
            <xm:f>Bewertung_Stammdaten!$A$16</xm:f>
            <xm:f>Bewertung_Stammdaten!$A$15</xm:f>
            <x14:dxf>
              <fill>
                <patternFill>
                  <bgColor rgb="FFFFFF00"/>
                </patternFill>
              </fill>
            </x14:dxf>
          </x14:cfRule>
          <x14:cfRule type="cellIs" priority="84" operator="between" id="{39464DE9-00F1-45EC-BCD8-9FA1E98A89F9}">
            <xm:f>Bewertung_Stammdaten!$A$14</xm:f>
            <xm:f>Bewertung_Stammdaten!$A$13</xm:f>
            <x14:dxf>
              <fill>
                <patternFill>
                  <bgColor rgb="FF92D050"/>
                </patternFill>
              </fill>
            </x14:dxf>
          </x14:cfRule>
          <x14:cfRule type="cellIs" priority="85" operator="between" id="{6274F28E-8965-448D-9EBA-0148C79CA3E6}">
            <xm:f>Bewertung_Stammdaten!$A$12</xm:f>
            <xm:f>Bewertung_Stammdaten!$A$11</xm:f>
            <x14:dxf>
              <fill>
                <patternFill>
                  <bgColor rgb="FF00B050"/>
                </patternFill>
              </fill>
            </x14:dxf>
          </x14:cfRule>
          <xm:sqref>J3:J67</xm:sqref>
        </x14:conditionalFormatting>
        <x14:conditionalFormatting xmlns:xm="http://schemas.microsoft.com/office/excel/2006/main">
          <x14:cfRule type="cellIs" priority="76" operator="between" id="{10002E2C-394C-42E1-850E-2E078FB9B1D5}">
            <xm:f>Bewertung_Stammdaten!$M$20</xm:f>
            <xm:f>Bewertung_Stammdaten!$M$19</xm:f>
            <x14:dxf>
              <fill>
                <patternFill>
                  <bgColor rgb="FFFF0000"/>
                </patternFill>
              </fill>
            </x14:dxf>
          </x14:cfRule>
          <x14:cfRule type="cellIs" priority="77" operator="between" id="{9319E1C4-C1D9-4B38-B2E9-DE276FFB1C32}">
            <xm:f>Bewertung_Stammdaten!$M$18</xm:f>
            <xm:f>Bewertung_Stammdaten!$M$17</xm:f>
            <x14:dxf>
              <fill>
                <patternFill>
                  <bgColor rgb="FFFFC000"/>
                </patternFill>
              </fill>
            </x14:dxf>
          </x14:cfRule>
          <x14:cfRule type="cellIs" priority="78" operator="between" id="{3207B45D-C773-4BC9-9503-35A7CA198346}">
            <xm:f>Bewertung_Stammdaten!$M$16</xm:f>
            <xm:f>Bewertung_Stammdaten!$M$15</xm:f>
            <x14:dxf>
              <fill>
                <patternFill>
                  <bgColor rgb="FFFFFF00"/>
                </patternFill>
              </fill>
            </x14:dxf>
          </x14:cfRule>
          <x14:cfRule type="cellIs" priority="79" operator="between" id="{3290EE89-EAC2-433A-95A0-59D2E6730CF4}">
            <xm:f>Bewertung_Stammdaten!$M$14</xm:f>
            <xm:f>Bewertung_Stammdaten!$M$13</xm:f>
            <x14:dxf>
              <fill>
                <patternFill>
                  <bgColor rgb="FF92D050"/>
                </patternFill>
              </fill>
            </x14:dxf>
          </x14:cfRule>
          <x14:cfRule type="cellIs" priority="80" operator="between" id="{C3DAE2D6-7D97-4E3B-95CA-65F7DC0197EA}">
            <xm:f>Bewertung_Stammdaten!$M$12</xm:f>
            <xm:f>Bewertung_Stammdaten!$M$11</xm:f>
            <x14:dxf>
              <fill>
                <patternFill>
                  <bgColor rgb="FF00B050"/>
                </patternFill>
              </fill>
            </x14:dxf>
          </x14:cfRule>
          <xm:sqref>K3:K67</xm:sqref>
        </x14:conditionalFormatting>
        <x14:conditionalFormatting xmlns:xm="http://schemas.microsoft.com/office/excel/2006/main">
          <x14:cfRule type="cellIs" priority="71" operator="between" id="{83343DFF-6FC7-42A8-8B0A-8F20D9EBD9B1}">
            <xm:f>Bewertung_Stammdaten!$K$19</xm:f>
            <xm:f>Bewertung_Stammdaten!$K$20</xm:f>
            <x14:dxf>
              <fill>
                <patternFill>
                  <bgColor rgb="FF00B050"/>
                </patternFill>
              </fill>
            </x14:dxf>
          </x14:cfRule>
          <x14:cfRule type="cellIs" priority="72" operator="between" id="{474FB891-9AF7-486F-8AE0-6CE6EB33929C}">
            <xm:f>Bewertung_Stammdaten!$K$17</xm:f>
            <xm:f>Bewertung_Stammdaten!$K$18</xm:f>
            <x14:dxf>
              <fill>
                <patternFill>
                  <bgColor rgb="FF92D050"/>
                </patternFill>
              </fill>
            </x14:dxf>
          </x14:cfRule>
          <x14:cfRule type="cellIs" priority="73" operator="between" id="{4C6B6BAA-3624-4511-A9D7-F7BDA4E9F1A3}">
            <xm:f>Bewertung_Stammdaten!$K$15</xm:f>
            <xm:f>Bewertung_Stammdaten!$K$16</xm:f>
            <x14:dxf>
              <fill>
                <patternFill>
                  <bgColor rgb="FFFFFF00"/>
                </patternFill>
              </fill>
            </x14:dxf>
          </x14:cfRule>
          <x14:cfRule type="cellIs" priority="74" operator="between" id="{9F6EEC9D-D707-45FD-95AE-49ED2C0E1523}">
            <xm:f>Bewertung_Stammdaten!$K$13</xm:f>
            <xm:f>Bewertung_Stammdaten!$K$14</xm:f>
            <x14:dxf>
              <fill>
                <patternFill>
                  <bgColor rgb="FFFFC000"/>
                </patternFill>
              </fill>
            </x14:dxf>
          </x14:cfRule>
          <x14:cfRule type="cellIs" priority="75" operator="between" id="{6B06BA73-AEEA-488B-A114-E7A6E446476C}">
            <xm:f>Bewertung_Stammdaten!$K$11</xm:f>
            <xm:f>Bewertung_Stammdaten!$K$12</xm:f>
            <x14:dxf>
              <fill>
                <patternFill>
                  <bgColor rgb="FFFF0000"/>
                </patternFill>
              </fill>
            </x14:dxf>
          </x14:cfRule>
          <xm:sqref>AC3:AC67</xm:sqref>
        </x14:conditionalFormatting>
        <x14:conditionalFormatting xmlns:xm="http://schemas.microsoft.com/office/excel/2006/main">
          <x14:cfRule type="cellIs" priority="66" operator="between" id="{2141D490-A578-4F00-B776-B176904B0AAA}">
            <xm:f>Bewertung_Stammdaten!$Q$19</xm:f>
            <xm:f>Bewertung_Stammdaten!$Q$20</xm:f>
            <x14:dxf>
              <fill>
                <patternFill>
                  <bgColor rgb="FF00B050"/>
                </patternFill>
              </fill>
            </x14:dxf>
          </x14:cfRule>
          <x14:cfRule type="cellIs" priority="67" operator="between" id="{2A51EBF7-F3A9-4851-90E4-FFFF34A4F66F}">
            <xm:f>Bewertung_Stammdaten!$Q$17</xm:f>
            <xm:f>Bewertung_Stammdaten!$Q$18</xm:f>
            <x14:dxf>
              <fill>
                <patternFill>
                  <bgColor rgb="FF92D050"/>
                </patternFill>
              </fill>
            </x14:dxf>
          </x14:cfRule>
          <x14:cfRule type="cellIs" priority="68" operator="between" id="{82F3751B-BA70-4503-AD1D-A341C1BB61AF}">
            <xm:f>Bewertung_Stammdaten!$Q$15</xm:f>
            <xm:f>Bewertung_Stammdaten!$Q$16</xm:f>
            <x14:dxf>
              <fill>
                <patternFill>
                  <bgColor rgb="FFFFFF00"/>
                </patternFill>
              </fill>
            </x14:dxf>
          </x14:cfRule>
          <x14:cfRule type="cellIs" priority="69" operator="between" id="{50487AAE-7F5B-4F6E-A6B2-859F0E316BB8}">
            <xm:f>Bewertung_Stammdaten!$Q$13</xm:f>
            <xm:f>Bewertung_Stammdaten!$Q$14</xm:f>
            <x14:dxf>
              <fill>
                <patternFill>
                  <bgColor rgb="FFFFC000"/>
                </patternFill>
              </fill>
            </x14:dxf>
          </x14:cfRule>
          <x14:cfRule type="cellIs" priority="70" operator="between" id="{7A478B27-05F2-40F5-8404-DDA0FC36B3FF}">
            <xm:f>Bewertung_Stammdaten!$Q$11</xm:f>
            <xm:f>Bewertung_Stammdaten!$Q$12</xm:f>
            <x14:dxf>
              <fill>
                <patternFill>
                  <bgColor rgb="FFFF0000"/>
                </patternFill>
              </fill>
            </x14:dxf>
          </x14:cfRule>
          <xm:sqref>AD3:AD67</xm:sqref>
        </x14:conditionalFormatting>
        <x14:conditionalFormatting xmlns:xm="http://schemas.microsoft.com/office/excel/2006/main">
          <x14:cfRule type="cellIs" priority="61" operator="between" id="{A6469B85-B972-4661-912C-EBCFD704B86E}">
            <xm:f>Bewertung_Stammdaten!$O$19</xm:f>
            <xm:f>Bewertung_Stammdaten!$O$20</xm:f>
            <x14:dxf>
              <fill>
                <patternFill>
                  <bgColor rgb="FF00B050"/>
                </patternFill>
              </fill>
            </x14:dxf>
          </x14:cfRule>
          <x14:cfRule type="cellIs" priority="62" operator="between" id="{F3EFB700-E1D8-4381-85FE-8F1264ABFA91}">
            <xm:f>Bewertung_Stammdaten!$O$17</xm:f>
            <xm:f>Bewertung_Stammdaten!$O$18</xm:f>
            <x14:dxf>
              <fill>
                <patternFill>
                  <bgColor rgb="FF92D050"/>
                </patternFill>
              </fill>
            </x14:dxf>
          </x14:cfRule>
          <x14:cfRule type="cellIs" priority="63" operator="between" id="{A20AFAB3-D9B2-4DD7-8005-45DE816BE0F3}">
            <xm:f>Bewertung_Stammdaten!$O$15</xm:f>
            <xm:f>Bewertung_Stammdaten!$O$16</xm:f>
            <x14:dxf>
              <fill>
                <patternFill>
                  <bgColor rgb="FFFFFF00"/>
                </patternFill>
              </fill>
            </x14:dxf>
          </x14:cfRule>
          <x14:cfRule type="cellIs" priority="64" operator="between" id="{56748A48-4C48-4786-9F33-1E056EFBE264}">
            <xm:f>Bewertung_Stammdaten!$O$13</xm:f>
            <xm:f>Bewertung_Stammdaten!$O$14</xm:f>
            <x14:dxf>
              <fill>
                <patternFill>
                  <bgColor rgb="FFFFC000"/>
                </patternFill>
              </fill>
            </x14:dxf>
          </x14:cfRule>
          <x14:cfRule type="cellIs" priority="65" operator="between" id="{1C4786A2-CD5F-4E88-9320-C57228BB3192}">
            <xm:f>Bewertung_Stammdaten!$O$11</xm:f>
            <xm:f>Bewertung_Stammdaten!$O$12</xm:f>
            <x14:dxf>
              <fill>
                <patternFill>
                  <bgColor rgb="FFFF0000"/>
                </patternFill>
              </fill>
            </x14:dxf>
          </x14:cfRule>
          <xm:sqref>AE3:AE67</xm:sqref>
        </x14:conditionalFormatting>
        <x14:conditionalFormatting xmlns:xm="http://schemas.microsoft.com/office/excel/2006/main">
          <x14:cfRule type="cellIs" priority="56" operator="between" id="{AE31C88E-B54C-4C46-9FA9-B56D0F1DACAA}">
            <xm:f>Bewertung_Stammdaten!$C$19</xm:f>
            <xm:f>Bewertung_Stammdaten!$C$20</xm:f>
            <x14:dxf>
              <fill>
                <patternFill>
                  <bgColor rgb="FF00B050"/>
                </patternFill>
              </fill>
            </x14:dxf>
          </x14:cfRule>
          <x14:cfRule type="cellIs" priority="57" operator="between" id="{FE3327C2-887E-47CB-9C60-0C1E1F776789}">
            <xm:f>Bewertung_Stammdaten!$C$17</xm:f>
            <xm:f>Bewertung_Stammdaten!$C$18</xm:f>
            <x14:dxf>
              <fill>
                <patternFill>
                  <bgColor rgb="FF92D050"/>
                </patternFill>
              </fill>
            </x14:dxf>
          </x14:cfRule>
          <x14:cfRule type="cellIs" priority="58" operator="between" id="{51F91D54-9001-499F-942C-01BD750D2BC8}">
            <xm:f>Bewertung_Stammdaten!$C$15</xm:f>
            <xm:f>Bewertung_Stammdaten!$C$16</xm:f>
            <x14:dxf>
              <fill>
                <patternFill>
                  <bgColor rgb="FFFFFF00"/>
                </patternFill>
              </fill>
            </x14:dxf>
          </x14:cfRule>
          <x14:cfRule type="cellIs" priority="59" operator="between" id="{C29345AC-D6E1-4EFA-9445-28D70C7A3E85}">
            <xm:f>Bewertung_Stammdaten!$C$13</xm:f>
            <xm:f>Bewertung_Stammdaten!$C$14</xm:f>
            <x14:dxf>
              <fill>
                <patternFill>
                  <bgColor rgb="FFFFC000"/>
                </patternFill>
              </fill>
            </x14:dxf>
          </x14:cfRule>
          <x14:cfRule type="cellIs" priority="60" operator="between" id="{E14CAA51-6369-4A10-B43B-72233B4FB6C2}">
            <xm:f>Bewertung_Stammdaten!$C$11</xm:f>
            <xm:f>Bewertung_Stammdaten!$C$12</xm:f>
            <x14:dxf>
              <fill>
                <patternFill>
                  <bgColor rgb="FFFF0000"/>
                </patternFill>
              </fill>
            </x14:dxf>
          </x14:cfRule>
          <xm:sqref>AJ3:AJ67</xm:sqref>
        </x14:conditionalFormatting>
        <x14:conditionalFormatting xmlns:xm="http://schemas.microsoft.com/office/excel/2006/main">
          <x14:cfRule type="cellIs" priority="51" operator="between" id="{3967F90A-B7D2-4E4B-A545-2FFD5959F1A0}">
            <xm:f>Bewertung_Stammdaten!$S$19</xm:f>
            <xm:f>Bewertung_Stammdaten!$S$20</xm:f>
            <x14:dxf>
              <fill>
                <patternFill>
                  <bgColor rgb="FF00B050"/>
                </patternFill>
              </fill>
            </x14:dxf>
          </x14:cfRule>
          <x14:cfRule type="cellIs" priority="52" operator="between" id="{B7BD374B-55A1-420A-9B46-488EB457FEC8}">
            <xm:f>Bewertung_Stammdaten!$S$17</xm:f>
            <xm:f>Bewertung_Stammdaten!$S$18</xm:f>
            <x14:dxf>
              <fill>
                <patternFill>
                  <bgColor rgb="FF92D050"/>
                </patternFill>
              </fill>
            </x14:dxf>
          </x14:cfRule>
          <x14:cfRule type="cellIs" priority="53" operator="between" id="{8E7EE116-4468-41E3-A1DD-E27695E060E9}">
            <xm:f>Bewertung_Stammdaten!$S$15</xm:f>
            <xm:f>Bewertung_Stammdaten!$S$16</xm:f>
            <x14:dxf>
              <fill>
                <patternFill>
                  <bgColor rgb="FFFFFF00"/>
                </patternFill>
              </fill>
            </x14:dxf>
          </x14:cfRule>
          <x14:cfRule type="cellIs" priority="54" operator="between" id="{3FE04EE0-2482-43D6-AD20-BC37427446CB}">
            <xm:f>Bewertung_Stammdaten!$S$13</xm:f>
            <xm:f>Bewertung_Stammdaten!$S$14</xm:f>
            <x14:dxf>
              <fill>
                <patternFill>
                  <bgColor rgb="FFFFC000"/>
                </patternFill>
              </fill>
            </x14:dxf>
          </x14:cfRule>
          <x14:cfRule type="cellIs" priority="55" operator="between" id="{14937FD4-5346-428B-BF0B-A732FE09DDF3}">
            <xm:f>Bewertung_Stammdaten!$S$11</xm:f>
            <xm:f>Bewertung_Stammdaten!$S$12</xm:f>
            <x14:dxf>
              <fill>
                <patternFill>
                  <bgColor rgb="FFFF0000"/>
                </patternFill>
              </fill>
            </x14:dxf>
          </x14:cfRule>
          <xm:sqref>AK3:AK67</xm:sqref>
        </x14:conditionalFormatting>
        <x14:conditionalFormatting xmlns:xm="http://schemas.microsoft.com/office/excel/2006/main">
          <x14:cfRule type="cellIs" priority="46" operator="between" id="{B7344835-C219-4818-9038-598B72EEB1AD}">
            <xm:f>Bewertung_Stammdaten!$E$19</xm:f>
            <xm:f>Bewertung_Stammdaten!$E$20</xm:f>
            <x14:dxf>
              <fill>
                <patternFill>
                  <bgColor rgb="FF00B050"/>
                </patternFill>
              </fill>
            </x14:dxf>
          </x14:cfRule>
          <x14:cfRule type="cellIs" priority="47" operator="between" id="{2A03A360-E0BE-4A85-8CE6-2C288A5FD500}">
            <xm:f>Bewertung_Stammdaten!$E$17</xm:f>
            <xm:f>Bewertung_Stammdaten!$E$18</xm:f>
            <x14:dxf>
              <fill>
                <patternFill>
                  <bgColor rgb="FF92D050"/>
                </patternFill>
              </fill>
            </x14:dxf>
          </x14:cfRule>
          <x14:cfRule type="cellIs" priority="48" operator="between" id="{3AFA8F76-BCF5-4415-870D-5F3207375419}">
            <xm:f>Bewertung_Stammdaten!$E$15</xm:f>
            <xm:f>Bewertung_Stammdaten!$E$16</xm:f>
            <x14:dxf>
              <fill>
                <patternFill>
                  <bgColor rgb="FFFFFF00"/>
                </patternFill>
              </fill>
            </x14:dxf>
          </x14:cfRule>
          <x14:cfRule type="cellIs" priority="49" operator="between" id="{9E615651-38F6-4321-9408-F67B37987A45}">
            <xm:f>Bewertung_Stammdaten!$E$13</xm:f>
            <xm:f>Bewertung_Stammdaten!$E$14</xm:f>
            <x14:dxf>
              <fill>
                <patternFill>
                  <bgColor rgb="FFFFC000"/>
                </patternFill>
              </fill>
            </x14:dxf>
          </x14:cfRule>
          <x14:cfRule type="cellIs" priority="50" operator="between" id="{E2729D43-96D7-4B61-A317-43291FA5676A}">
            <xm:f>Bewertung_Stammdaten!$E$11</xm:f>
            <xm:f>Bewertung_Stammdaten!$E$12</xm:f>
            <x14:dxf>
              <fill>
                <patternFill>
                  <bgColor rgb="FFFF0000"/>
                </patternFill>
              </fill>
            </x14:dxf>
          </x14:cfRule>
          <xm:sqref>AL3:AL67</xm:sqref>
        </x14:conditionalFormatting>
        <x14:conditionalFormatting xmlns:xm="http://schemas.microsoft.com/office/excel/2006/main">
          <x14:cfRule type="cellIs" priority="41" operator="between" id="{F104E4C2-445E-44E8-9984-BAFAFBA6216D}">
            <xm:f>Bewertung_Stammdaten!$G$20</xm:f>
            <xm:f>Bewertung_Stammdaten!$G$19</xm:f>
            <x14:dxf>
              <fill>
                <patternFill>
                  <bgColor rgb="FFFF0000"/>
                </patternFill>
              </fill>
            </x14:dxf>
          </x14:cfRule>
          <x14:cfRule type="cellIs" priority="42" operator="between" id="{30E7C4EE-420A-46CC-AD5E-344FC7A57536}">
            <xm:f>Bewertung_Stammdaten!$G$18</xm:f>
            <xm:f>Bewertung_Stammdaten!$G$17</xm:f>
            <x14:dxf>
              <fill>
                <patternFill>
                  <bgColor rgb="FFFFC000"/>
                </patternFill>
              </fill>
            </x14:dxf>
          </x14:cfRule>
          <x14:cfRule type="cellIs" priority="43" operator="between" id="{86F1F82F-ADCD-401F-B955-055AF040A463}">
            <xm:f>Bewertung_Stammdaten!$G$16</xm:f>
            <xm:f>Bewertung_Stammdaten!$G$15</xm:f>
            <x14:dxf>
              <fill>
                <patternFill>
                  <bgColor rgb="FFFFFF00"/>
                </patternFill>
              </fill>
            </x14:dxf>
          </x14:cfRule>
          <x14:cfRule type="cellIs" priority="44" operator="between" id="{4071E6DD-DF56-4577-8A73-CB5B48542EED}">
            <xm:f>Bewertung_Stammdaten!$G$14</xm:f>
            <xm:f>Bewertung_Stammdaten!$G$13</xm:f>
            <x14:dxf>
              <fill>
                <patternFill>
                  <bgColor rgb="FF92D050"/>
                </patternFill>
              </fill>
            </x14:dxf>
          </x14:cfRule>
          <x14:cfRule type="cellIs" priority="45" operator="between" id="{6000681D-D26A-4277-8FE4-DB58DF72D462}">
            <xm:f>Bewertung_Stammdaten!$G$12</xm:f>
            <xm:f>Bewertung_Stammdaten!$G$11</xm:f>
            <x14:dxf>
              <fill>
                <patternFill>
                  <bgColor rgb="FF00B050"/>
                </patternFill>
              </fill>
            </x14:dxf>
          </x14:cfRule>
          <xm:sqref>AX3:AX67</xm:sqref>
        </x14:conditionalFormatting>
        <x14:conditionalFormatting xmlns:xm="http://schemas.microsoft.com/office/excel/2006/main">
          <x14:cfRule type="cellIs" priority="36" operator="between" id="{75D940EC-5C0E-49DE-9CF1-309D220E98B7}">
            <xm:f>Bewertung_Stammdaten!$I$20</xm:f>
            <xm:f>Bewertung_Stammdaten!$I$19</xm:f>
            <x14:dxf>
              <fill>
                <patternFill>
                  <bgColor rgb="FFFF0000"/>
                </patternFill>
              </fill>
            </x14:dxf>
          </x14:cfRule>
          <x14:cfRule type="cellIs" priority="37" operator="between" id="{6D5150D3-E8DD-4844-94DF-10EBF9B1291B}">
            <xm:f>Bewertung_Stammdaten!$I$18</xm:f>
            <xm:f>Bewertung_Stammdaten!$I$17</xm:f>
            <x14:dxf>
              <fill>
                <patternFill>
                  <bgColor rgb="FFFFC000"/>
                </patternFill>
              </fill>
            </x14:dxf>
          </x14:cfRule>
          <x14:cfRule type="cellIs" priority="38" operator="between" id="{5B72B3DC-F313-41E6-AA7F-14FC26911B6E}">
            <xm:f>Bewertung_Stammdaten!$I$16</xm:f>
            <xm:f>Bewertung_Stammdaten!$I$15</xm:f>
            <x14:dxf>
              <fill>
                <patternFill>
                  <bgColor rgb="FFFFFF00"/>
                </patternFill>
              </fill>
            </x14:dxf>
          </x14:cfRule>
          <x14:cfRule type="cellIs" priority="39" operator="between" id="{97D499D2-2BE3-48CE-9035-8434CE183F60}">
            <xm:f>Bewertung_Stammdaten!$I$14</xm:f>
            <xm:f>Bewertung_Stammdaten!$I$13</xm:f>
            <x14:dxf>
              <fill>
                <patternFill>
                  <bgColor rgb="FF92D050"/>
                </patternFill>
              </fill>
            </x14:dxf>
          </x14:cfRule>
          <x14:cfRule type="cellIs" priority="40" operator="between" id="{E213560D-1716-48C5-B741-21C8436B8CEE}">
            <xm:f>Bewertung_Stammdaten!$I$12</xm:f>
            <xm:f>Bewertung_Stammdaten!$I$11</xm:f>
            <x14:dxf>
              <fill>
                <patternFill>
                  <bgColor rgb="FF00B050"/>
                </patternFill>
              </fill>
            </x14:dxf>
          </x14:cfRule>
          <xm:sqref>AZ3:AZ67</xm:sqref>
        </x14:conditionalFormatting>
        <x14:conditionalFormatting xmlns:xm="http://schemas.microsoft.com/office/excel/2006/main">
          <x14:cfRule type="cellIs" priority="31" operator="between" id="{BA5F3657-7131-46CF-B938-9AAE3F098D84}">
            <xm:f>Bewertung_Stammdaten!$A$33</xm:f>
            <xm:f>Bewertung_Stammdaten!$A$32</xm:f>
            <x14:dxf>
              <fill>
                <patternFill>
                  <bgColor rgb="FFFF0000"/>
                </patternFill>
              </fill>
            </x14:dxf>
          </x14:cfRule>
          <x14:cfRule type="cellIs" priority="32" operator="between" id="{A627B0AB-444C-48CD-875F-12AEE9E114B0}">
            <xm:f>Bewertung_Stammdaten!$A$31</xm:f>
            <xm:f>Bewertung_Stammdaten!$A$30</xm:f>
            <x14:dxf>
              <fill>
                <patternFill>
                  <bgColor rgb="FFFFC000"/>
                </patternFill>
              </fill>
            </x14:dxf>
          </x14:cfRule>
          <x14:cfRule type="cellIs" priority="33" operator="between" id="{7FABBEDD-B69F-430B-8545-E04D467CC568}">
            <xm:f>Bewertung_Stammdaten!$A$29</xm:f>
            <xm:f>Bewertung_Stammdaten!$A$28</xm:f>
            <x14:dxf>
              <fill>
                <patternFill>
                  <bgColor rgb="FFFFFF00"/>
                </patternFill>
              </fill>
            </x14:dxf>
          </x14:cfRule>
          <x14:cfRule type="cellIs" priority="34" operator="between" id="{EF8B7B9A-0D46-4272-BD1D-0D6454C17D53}">
            <xm:f>Bewertung_Stammdaten!$A$27</xm:f>
            <xm:f>Bewertung_Stammdaten!$A$26</xm:f>
            <x14:dxf>
              <fill>
                <patternFill>
                  <bgColor rgb="FF92D050"/>
                </patternFill>
              </fill>
            </x14:dxf>
          </x14:cfRule>
          <x14:cfRule type="cellIs" priority="35" operator="between" id="{1C65C7BC-91EA-41EE-9C81-B596025F81E2}">
            <xm:f>Bewertung_Stammdaten!$A$25</xm:f>
            <xm:f>Bewertung_Stammdaten!$A$24</xm:f>
            <x14:dxf>
              <fill>
                <patternFill>
                  <bgColor rgb="FF00B050"/>
                </patternFill>
              </fill>
            </x14:dxf>
          </x14:cfRule>
          <xm:sqref>AY3:AY67</xm:sqref>
        </x14:conditionalFormatting>
        <x14:conditionalFormatting xmlns:xm="http://schemas.microsoft.com/office/excel/2006/main">
          <x14:cfRule type="cellIs" priority="26" operator="between" id="{FEC46B71-8682-4C20-AC61-67A9994C73BA}">
            <xm:f>Bewertung_Stammdaten!$I$33</xm:f>
            <xm:f>Bewertung_Stammdaten!$I$32</xm:f>
            <x14:dxf>
              <fill>
                <patternFill>
                  <bgColor rgb="FFFF0000"/>
                </patternFill>
              </fill>
            </x14:dxf>
          </x14:cfRule>
          <x14:cfRule type="cellIs" priority="27" operator="between" id="{E279EBD3-B9A9-4C5B-9EE1-365BB589F7F4}">
            <xm:f>Bewertung_Stammdaten!$I$31</xm:f>
            <xm:f>Bewertung_Stammdaten!$I$30</xm:f>
            <x14:dxf>
              <fill>
                <patternFill>
                  <bgColor rgb="FFFFC000"/>
                </patternFill>
              </fill>
            </x14:dxf>
          </x14:cfRule>
          <x14:cfRule type="cellIs" priority="28" operator="between" id="{7A3E30B2-AE13-468B-B46F-1B0F06C78F37}">
            <xm:f>Bewertung_Stammdaten!$I$29</xm:f>
            <xm:f>Bewertung_Stammdaten!$I$28</xm:f>
            <x14:dxf>
              <fill>
                <patternFill>
                  <bgColor rgb="FFFFFF00"/>
                </patternFill>
              </fill>
            </x14:dxf>
          </x14:cfRule>
          <x14:cfRule type="cellIs" priority="29" operator="between" id="{FE7326CE-44FE-46FE-A6BD-265E04A3684C}">
            <xm:f>Bewertung_Stammdaten!$I$27</xm:f>
            <xm:f>Bewertung_Stammdaten!$I$26</xm:f>
            <x14:dxf>
              <fill>
                <patternFill>
                  <bgColor rgb="FF92D050"/>
                </patternFill>
              </fill>
            </x14:dxf>
          </x14:cfRule>
          <x14:cfRule type="cellIs" priority="30" operator="between" id="{0A769247-FF20-4D62-B743-3797E6617714}">
            <xm:f>Bewertung_Stammdaten!$I$25</xm:f>
            <xm:f>Bewertung_Stammdaten!$I$24</xm:f>
            <x14:dxf>
              <fill>
                <patternFill>
                  <bgColor rgb="FF00B050"/>
                </patternFill>
              </fill>
            </x14:dxf>
          </x14:cfRule>
          <xm:sqref>AQ3:AQ67</xm:sqref>
        </x14:conditionalFormatting>
        <x14:conditionalFormatting xmlns:xm="http://schemas.microsoft.com/office/excel/2006/main">
          <x14:cfRule type="cellIs" priority="21" operator="between" id="{A27645EB-6727-4B3B-8DA4-74BEF119BA4E}">
            <xm:f>Bewertung_Stammdaten!$K$33</xm:f>
            <xm:f>Bewertung_Stammdaten!$K$32</xm:f>
            <x14:dxf>
              <fill>
                <patternFill>
                  <bgColor rgb="FFFF0000"/>
                </patternFill>
              </fill>
            </x14:dxf>
          </x14:cfRule>
          <x14:cfRule type="cellIs" priority="22" operator="between" id="{8C3BE8AC-D426-4A79-B71A-059EE5271D53}">
            <xm:f>Bewertung_Stammdaten!$K$31</xm:f>
            <xm:f>Bewertung_Stammdaten!$K$30</xm:f>
            <x14:dxf>
              <fill>
                <patternFill>
                  <bgColor rgb="FFFFC000"/>
                </patternFill>
              </fill>
            </x14:dxf>
          </x14:cfRule>
          <x14:cfRule type="cellIs" priority="23" operator="between" id="{9F6AFFE6-40F9-4FD8-8439-A367C80DCD4A}">
            <xm:f>Bewertung_Stammdaten!$K$29</xm:f>
            <xm:f>Bewertung_Stammdaten!$K$28</xm:f>
            <x14:dxf>
              <fill>
                <patternFill>
                  <bgColor rgb="FFFFFF00"/>
                </patternFill>
              </fill>
            </x14:dxf>
          </x14:cfRule>
          <x14:cfRule type="cellIs" priority="24" operator="between" id="{68EF9315-0C66-4D4C-B5EA-1DAC8061449A}">
            <xm:f>Bewertung_Stammdaten!$K$27</xm:f>
            <xm:f>Bewertung_Stammdaten!$K$26</xm:f>
            <x14:dxf>
              <fill>
                <patternFill>
                  <bgColor rgb="FF92D050"/>
                </patternFill>
              </fill>
            </x14:dxf>
          </x14:cfRule>
          <x14:cfRule type="cellIs" priority="25" operator="between" id="{37CC2720-5E18-41C5-BEB5-31C061ECCB6B}">
            <xm:f>Bewertung_Stammdaten!$K$25</xm:f>
            <xm:f>Bewertung_Stammdaten!$K$24</xm:f>
            <x14:dxf>
              <fill>
                <patternFill>
                  <bgColor rgb="FF00B050"/>
                </patternFill>
              </fill>
            </x14:dxf>
          </x14:cfRule>
          <xm:sqref>AR3:AR67</xm:sqref>
        </x14:conditionalFormatting>
        <x14:conditionalFormatting xmlns:xm="http://schemas.microsoft.com/office/excel/2006/main">
          <x14:cfRule type="cellIs" priority="16" operator="between" id="{8B444E0E-3779-42B4-9CE5-46AF6A24CFA8}">
            <xm:f>Bewertung_Stammdaten!$M$32</xm:f>
            <xm:f>Bewertung_Stammdaten!$M$33</xm:f>
            <x14:dxf>
              <fill>
                <patternFill>
                  <bgColor rgb="FF00B050"/>
                </patternFill>
              </fill>
            </x14:dxf>
          </x14:cfRule>
          <x14:cfRule type="cellIs" priority="17" operator="between" id="{DBAEBFE4-5551-4089-81E2-D520756948ED}">
            <xm:f>Bewertung_Stammdaten!$M$30</xm:f>
            <xm:f>Bewertung_Stammdaten!$M$31</xm:f>
            <x14:dxf>
              <fill>
                <patternFill>
                  <bgColor rgb="FF92D050"/>
                </patternFill>
              </fill>
            </x14:dxf>
          </x14:cfRule>
          <x14:cfRule type="cellIs" priority="18" operator="between" id="{97F43D8B-2A4D-4197-8347-9424FD33878F}">
            <xm:f>Bewertung_Stammdaten!$M$28</xm:f>
            <xm:f>Bewertung_Stammdaten!$M$29</xm:f>
            <x14:dxf>
              <fill>
                <patternFill>
                  <bgColor rgb="FFFFFF00"/>
                </patternFill>
              </fill>
            </x14:dxf>
          </x14:cfRule>
          <x14:cfRule type="cellIs" priority="19" operator="between" id="{68933F9F-29B7-4838-B9A4-3FC95E773E38}">
            <xm:f>Bewertung_Stammdaten!$M$26</xm:f>
            <xm:f>Bewertung_Stammdaten!$M$27</xm:f>
            <x14:dxf>
              <fill>
                <patternFill>
                  <bgColor rgb="FFFFC000"/>
                </patternFill>
              </fill>
            </x14:dxf>
          </x14:cfRule>
          <x14:cfRule type="cellIs" priority="20" operator="between" id="{CB50099C-477D-428A-9D0B-29EBFA52F168}">
            <xm:f>Bewertung_Stammdaten!$M$24</xm:f>
            <xm:f>Bewertung_Stammdaten!$M$25</xm:f>
            <x14:dxf>
              <fill>
                <patternFill>
                  <bgColor rgb="FFFF0000"/>
                </patternFill>
              </fill>
            </x14:dxf>
          </x14:cfRule>
          <xm:sqref>AS3:AS67</xm:sqref>
        </x14:conditionalFormatting>
        <x14:conditionalFormatting xmlns:xm="http://schemas.microsoft.com/office/excel/2006/main">
          <x14:cfRule type="cellIs" priority="11" operator="between" id="{3F98EAF3-FDD8-46D2-A390-96B1C78F66E3}">
            <xm:f>Bewertung_Stammdaten!$C$32</xm:f>
            <xm:f>Bewertung_Stammdaten!$C$33</xm:f>
            <x14:dxf>
              <fill>
                <patternFill>
                  <bgColor rgb="FF00B050"/>
                </patternFill>
              </fill>
            </x14:dxf>
          </x14:cfRule>
          <x14:cfRule type="cellIs" priority="12" operator="between" id="{0D639024-1C66-4E16-8733-A27E894490BE}">
            <xm:f>Bewertung_Stammdaten!$C$30</xm:f>
            <xm:f>Bewertung_Stammdaten!$C$31</xm:f>
            <x14:dxf>
              <fill>
                <patternFill>
                  <bgColor rgb="FF92D050"/>
                </patternFill>
              </fill>
            </x14:dxf>
          </x14:cfRule>
          <x14:cfRule type="cellIs" priority="13" operator="between" id="{6B11322E-32AD-4C2F-9A41-CA83B9B8B1CC}">
            <xm:f>Bewertung_Stammdaten!$C$28</xm:f>
            <xm:f>Bewertung_Stammdaten!$C$29</xm:f>
            <x14:dxf>
              <fill>
                <patternFill>
                  <bgColor rgb="FFFFFF00"/>
                </patternFill>
              </fill>
            </x14:dxf>
          </x14:cfRule>
          <x14:cfRule type="cellIs" priority="14" operator="between" id="{DDFA5510-7986-4D6E-84AA-C824C1C94832}">
            <xm:f>Bewertung_Stammdaten!$C$26</xm:f>
            <xm:f>Bewertung_Stammdaten!$C$27</xm:f>
            <x14:dxf>
              <fill>
                <patternFill>
                  <bgColor rgb="FFFFC000"/>
                </patternFill>
              </fill>
            </x14:dxf>
          </x14:cfRule>
          <x14:cfRule type="cellIs" priority="15" operator="between" id="{870DE190-6EB5-4E5B-BA5C-6120049962A8}">
            <xm:f>Bewertung_Stammdaten!$C$24</xm:f>
            <xm:f>Bewertung_Stammdaten!$C$25</xm:f>
            <x14:dxf>
              <fill>
                <patternFill>
                  <bgColor rgb="FFFF0000"/>
                </patternFill>
              </fill>
            </x14:dxf>
          </x14:cfRule>
          <xm:sqref>S3:S67</xm:sqref>
        </x14:conditionalFormatting>
        <x14:conditionalFormatting xmlns:xm="http://schemas.microsoft.com/office/excel/2006/main">
          <x14:cfRule type="cellIs" priority="6" operator="between" id="{1A7BCB38-44A3-475E-BA50-9305C98BC1D5}">
            <xm:f>Bewertung_Stammdaten!$E$32</xm:f>
            <xm:f>Bewertung_Stammdaten!$E$33</xm:f>
            <x14:dxf>
              <fill>
                <patternFill>
                  <bgColor rgb="FF00B050"/>
                </patternFill>
              </fill>
            </x14:dxf>
          </x14:cfRule>
          <x14:cfRule type="cellIs" priority="7" operator="between" id="{AB15FA17-7315-4B78-A77C-52FE0F358DC4}">
            <xm:f>Bewertung_Stammdaten!$E$30</xm:f>
            <xm:f>Bewertung_Stammdaten!$E$31</xm:f>
            <x14:dxf>
              <fill>
                <patternFill>
                  <bgColor rgb="FF92D050"/>
                </patternFill>
              </fill>
            </x14:dxf>
          </x14:cfRule>
          <x14:cfRule type="cellIs" priority="8" operator="between" id="{92D1AA71-4E29-4CA6-A760-E31F051F21A8}">
            <xm:f>Bewertung_Stammdaten!$E$28</xm:f>
            <xm:f>Bewertung_Stammdaten!$E$29</xm:f>
            <x14:dxf>
              <fill>
                <patternFill>
                  <bgColor rgb="FFFFFF00"/>
                </patternFill>
              </fill>
            </x14:dxf>
          </x14:cfRule>
          <x14:cfRule type="cellIs" priority="9" operator="between" id="{E07C66A7-E7AC-41F9-9A3A-28D5E316CB15}">
            <xm:f>Bewertung_Stammdaten!$E$26</xm:f>
            <xm:f>Bewertung_Stammdaten!$E$27</xm:f>
            <x14:dxf>
              <fill>
                <patternFill>
                  <bgColor rgb="FFFFC000"/>
                </patternFill>
              </fill>
            </x14:dxf>
          </x14:cfRule>
          <x14:cfRule type="cellIs" priority="10" operator="between" id="{5AD0F363-A209-406F-A23A-19C766214704}">
            <xm:f>Bewertung_Stammdaten!$E$24</xm:f>
            <xm:f>Bewertung_Stammdaten!$E$25</xm:f>
            <x14:dxf>
              <fill>
                <patternFill>
                  <bgColor rgb="FFFF0000"/>
                </patternFill>
              </fill>
            </x14:dxf>
          </x14:cfRule>
          <xm:sqref>T3:T67</xm:sqref>
        </x14:conditionalFormatting>
        <x14:conditionalFormatting xmlns:xm="http://schemas.microsoft.com/office/excel/2006/main">
          <x14:cfRule type="cellIs" priority="1" operator="between" id="{9CEEA2A0-6B41-47E3-84BA-8D4B87B67EB1}">
            <xm:f>Bewertung_Stammdaten!$G$32</xm:f>
            <xm:f>Bewertung_Stammdaten!$G$33</xm:f>
            <x14:dxf>
              <fill>
                <patternFill>
                  <bgColor rgb="FF00B050"/>
                </patternFill>
              </fill>
            </x14:dxf>
          </x14:cfRule>
          <x14:cfRule type="cellIs" priority="2" operator="between" id="{08BED081-97FF-4765-ABD4-C5DECFA774C5}">
            <xm:f>Bewertung_Stammdaten!$G$30</xm:f>
            <xm:f>Bewertung_Stammdaten!$G$31</xm:f>
            <x14:dxf>
              <fill>
                <patternFill>
                  <bgColor rgb="FF92D050"/>
                </patternFill>
              </fill>
            </x14:dxf>
          </x14:cfRule>
          <x14:cfRule type="cellIs" priority="3" operator="between" id="{A4B2789F-FC41-4A09-A40D-9C96B1BB6C1B}">
            <xm:f>Bewertung_Stammdaten!$G$28</xm:f>
            <xm:f>Bewertung_Stammdaten!$G$29</xm:f>
            <x14:dxf>
              <fill>
                <patternFill>
                  <bgColor rgb="FFFFFF00"/>
                </patternFill>
              </fill>
            </x14:dxf>
          </x14:cfRule>
          <x14:cfRule type="cellIs" priority="4" operator="between" id="{85EF9746-1259-4709-96DE-7D3900B1AB12}">
            <xm:f>Bewertung_Stammdaten!$G$26</xm:f>
            <xm:f>Bewertung_Stammdaten!$G$27</xm:f>
            <x14:dxf>
              <fill>
                <patternFill>
                  <bgColor rgb="FFFFC000"/>
                </patternFill>
              </fill>
            </x14:dxf>
          </x14:cfRule>
          <x14:cfRule type="cellIs" priority="5" operator="between" id="{DE8B56EE-1936-47D0-A689-FBA5A5EB1920}">
            <xm:f>Bewertung_Stammdaten!$G$24</xm:f>
            <xm:f>Bewertung_Stammdaten!$G$25</xm:f>
            <x14:dxf>
              <fill>
                <patternFill>
                  <bgColor rgb="FFFF0000"/>
                </patternFill>
              </fill>
            </x14:dxf>
          </x14:cfRule>
          <xm:sqref>U3:U67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workbookViewId="0">
      <pane ySplit="1" topLeftCell="A22" activePane="bottomLeft" state="frozen"/>
      <selection pane="bottomLeft" activeCell="A59" sqref="A59"/>
    </sheetView>
  </sheetViews>
  <sheetFormatPr baseColWidth="10" defaultRowHeight="15" x14ac:dyDescent="0.25"/>
  <cols>
    <col min="1" max="1" width="23.42578125" bestFit="1" customWidth="1"/>
    <col min="2" max="2" width="13.7109375" bestFit="1" customWidth="1"/>
    <col min="3" max="3" width="6.85546875" bestFit="1" customWidth="1"/>
    <col min="4" max="4" width="14.28515625" style="2" bestFit="1" customWidth="1"/>
    <col min="5" max="5" width="15.7109375" style="2" bestFit="1" customWidth="1"/>
    <col min="6" max="6" width="13.5703125" style="2" bestFit="1" customWidth="1"/>
    <col min="7" max="7" width="15" style="2" bestFit="1" customWidth="1"/>
    <col min="8" max="8" width="19.7109375" style="2" bestFit="1" customWidth="1"/>
    <col min="9" max="9" width="21.140625" style="2" bestFit="1" customWidth="1"/>
    <col min="10" max="10" width="19" style="2" bestFit="1" customWidth="1"/>
    <col min="11" max="11" width="20.42578125" style="2" bestFit="1" customWidth="1"/>
    <col min="12" max="12" width="16.7109375" style="39" bestFit="1" customWidth="1"/>
    <col min="13" max="13" width="18.140625" style="39" bestFit="1" customWidth="1"/>
    <col min="14" max="14" width="7.7109375" bestFit="1" customWidth="1"/>
  </cols>
  <sheetData>
    <row r="1" spans="1:14" x14ac:dyDescent="0.25">
      <c r="A1" s="1" t="s">
        <v>0</v>
      </c>
      <c r="B1" s="1" t="s">
        <v>1</v>
      </c>
      <c r="C1" s="1" t="s">
        <v>177</v>
      </c>
      <c r="D1" s="37" t="s">
        <v>178</v>
      </c>
      <c r="E1" s="37" t="s">
        <v>179</v>
      </c>
      <c r="F1" s="37" t="s">
        <v>180</v>
      </c>
      <c r="G1" s="37" t="s">
        <v>181</v>
      </c>
      <c r="H1" s="37" t="s">
        <v>187</v>
      </c>
      <c r="I1" s="37" t="s">
        <v>188</v>
      </c>
      <c r="J1" s="37" t="s">
        <v>217</v>
      </c>
      <c r="K1" s="37" t="s">
        <v>218</v>
      </c>
      <c r="L1" s="38" t="s">
        <v>182</v>
      </c>
      <c r="M1" s="38" t="s">
        <v>183</v>
      </c>
      <c r="N1" s="37" t="s">
        <v>219</v>
      </c>
    </row>
    <row r="2" spans="1:14" x14ac:dyDescent="0.25">
      <c r="A2" t="s">
        <v>80</v>
      </c>
      <c r="B2" t="s">
        <v>81</v>
      </c>
      <c r="C2">
        <v>2010</v>
      </c>
      <c r="D2" s="2">
        <v>128.69999999999999</v>
      </c>
      <c r="E2" s="2">
        <v>10.54</v>
      </c>
      <c r="F2" s="2">
        <v>0.28000000000000003</v>
      </c>
      <c r="G2" s="2">
        <v>3.42</v>
      </c>
      <c r="L2" s="39">
        <v>25.5</v>
      </c>
      <c r="M2" s="39">
        <v>24</v>
      </c>
      <c r="N2" s="39">
        <v>100</v>
      </c>
    </row>
    <row r="3" spans="1:14" x14ac:dyDescent="0.25">
      <c r="A3" t="s">
        <v>2</v>
      </c>
      <c r="B3" t="s">
        <v>3</v>
      </c>
      <c r="C3">
        <v>2007</v>
      </c>
      <c r="D3" s="2">
        <v>10.7</v>
      </c>
      <c r="E3" s="2">
        <v>17.05</v>
      </c>
      <c r="F3" s="2">
        <v>5.13</v>
      </c>
      <c r="G3" s="2">
        <v>3.22</v>
      </c>
      <c r="L3" s="39">
        <v>35</v>
      </c>
      <c r="M3" s="39">
        <v>42.5</v>
      </c>
      <c r="N3" s="39">
        <v>100</v>
      </c>
    </row>
    <row r="4" spans="1:14" x14ac:dyDescent="0.25">
      <c r="A4" t="s">
        <v>6</v>
      </c>
      <c r="B4" t="s">
        <v>7</v>
      </c>
      <c r="C4">
        <v>2008</v>
      </c>
      <c r="D4" s="2">
        <v>8.5</v>
      </c>
      <c r="E4" s="2">
        <v>16.86</v>
      </c>
      <c r="F4" s="2">
        <v>4.84</v>
      </c>
      <c r="G4" s="2">
        <v>2.44</v>
      </c>
      <c r="L4" s="39">
        <v>33</v>
      </c>
      <c r="M4" s="39">
        <v>33</v>
      </c>
      <c r="N4" s="39">
        <v>100</v>
      </c>
    </row>
    <row r="5" spans="1:14" x14ac:dyDescent="0.25">
      <c r="A5" t="s">
        <v>6</v>
      </c>
      <c r="B5" t="s">
        <v>7</v>
      </c>
      <c r="C5">
        <v>2010</v>
      </c>
      <c r="D5" s="2">
        <v>5.4</v>
      </c>
      <c r="E5" s="2">
        <v>25.66</v>
      </c>
      <c r="F5" s="2">
        <v>10.119999999999999</v>
      </c>
      <c r="G5" s="2">
        <v>2.13</v>
      </c>
      <c r="L5" s="39">
        <v>33</v>
      </c>
      <c r="M5" s="39">
        <v>49</v>
      </c>
      <c r="N5" s="39">
        <v>100</v>
      </c>
    </row>
    <row r="6" spans="1:14" x14ac:dyDescent="0.25">
      <c r="A6" t="s">
        <v>10</v>
      </c>
      <c r="B6" t="s">
        <v>11</v>
      </c>
      <c r="C6">
        <v>2006</v>
      </c>
      <c r="D6" s="2">
        <v>16.8</v>
      </c>
      <c r="E6" s="2">
        <v>35.409999999999997</v>
      </c>
      <c r="F6" s="2">
        <v>2.93</v>
      </c>
      <c r="G6" s="2">
        <v>1.39</v>
      </c>
      <c r="L6" s="39">
        <v>52.5</v>
      </c>
      <c r="M6" s="39">
        <v>55.5</v>
      </c>
      <c r="N6" s="39">
        <v>100</v>
      </c>
    </row>
    <row r="7" spans="1:14" x14ac:dyDescent="0.25">
      <c r="A7" t="s">
        <v>26</v>
      </c>
      <c r="B7" t="s">
        <v>27</v>
      </c>
      <c r="C7">
        <v>2007</v>
      </c>
      <c r="D7" s="2">
        <v>10.7</v>
      </c>
      <c r="E7" s="2">
        <v>16.440000000000001</v>
      </c>
      <c r="F7" s="2">
        <v>5.84</v>
      </c>
      <c r="G7" s="2">
        <v>3.8</v>
      </c>
      <c r="L7" s="39">
        <v>58</v>
      </c>
      <c r="M7" s="39">
        <v>63</v>
      </c>
      <c r="N7" s="39">
        <v>100</v>
      </c>
    </row>
    <row r="8" spans="1:14" x14ac:dyDescent="0.25">
      <c r="A8" t="s">
        <v>108</v>
      </c>
      <c r="B8" t="s">
        <v>184</v>
      </c>
      <c r="C8">
        <v>2004</v>
      </c>
      <c r="D8" s="2">
        <v>5.3</v>
      </c>
      <c r="E8" s="2">
        <v>13.38</v>
      </c>
      <c r="F8" s="2">
        <v>4.04</v>
      </c>
      <c r="G8" s="2">
        <v>1.6</v>
      </c>
      <c r="L8" s="39">
        <v>45</v>
      </c>
      <c r="M8" s="39">
        <v>47.5</v>
      </c>
      <c r="N8" s="39">
        <v>100</v>
      </c>
    </row>
    <row r="9" spans="1:14" x14ac:dyDescent="0.25">
      <c r="A9" t="s">
        <v>58</v>
      </c>
      <c r="B9" t="s">
        <v>59</v>
      </c>
      <c r="C9">
        <v>2010</v>
      </c>
      <c r="D9" s="2">
        <v>12.8</v>
      </c>
      <c r="E9" s="2">
        <v>19.510000000000002</v>
      </c>
      <c r="F9" s="2">
        <v>2.5299999999999998</v>
      </c>
      <c r="G9" s="2">
        <v>1.66</v>
      </c>
      <c r="L9" s="39">
        <v>47.5</v>
      </c>
      <c r="M9" s="39">
        <v>58</v>
      </c>
      <c r="N9" s="39">
        <v>100</v>
      </c>
    </row>
    <row r="10" spans="1:14" x14ac:dyDescent="0.25">
      <c r="A10" t="s">
        <v>98</v>
      </c>
      <c r="B10" t="s">
        <v>99</v>
      </c>
      <c r="C10">
        <v>2009</v>
      </c>
      <c r="D10" s="2">
        <v>25.7</v>
      </c>
      <c r="E10" s="2">
        <v>13.81</v>
      </c>
      <c r="F10" s="2">
        <v>1.29</v>
      </c>
      <c r="G10" s="2">
        <v>2.4</v>
      </c>
      <c r="L10" s="39">
        <v>64.5</v>
      </c>
      <c r="M10" s="39">
        <v>63</v>
      </c>
      <c r="N10" s="39">
        <v>100</v>
      </c>
    </row>
    <row r="11" spans="1:14" x14ac:dyDescent="0.25">
      <c r="A11" t="s">
        <v>98</v>
      </c>
      <c r="B11" t="s">
        <v>99</v>
      </c>
      <c r="C11">
        <v>2010</v>
      </c>
      <c r="D11" s="2">
        <v>39.799999999999997</v>
      </c>
      <c r="E11" s="2">
        <v>16.28</v>
      </c>
      <c r="F11" s="2">
        <v>0.9</v>
      </c>
      <c r="G11" s="2">
        <v>2.2000000000000002</v>
      </c>
      <c r="L11" s="39">
        <v>64.5</v>
      </c>
      <c r="M11" s="39">
        <v>59.5</v>
      </c>
      <c r="N11" s="39">
        <v>100</v>
      </c>
    </row>
    <row r="12" spans="1:14" x14ac:dyDescent="0.25">
      <c r="A12" t="s">
        <v>98</v>
      </c>
      <c r="B12" t="s">
        <v>99</v>
      </c>
      <c r="C12">
        <v>2011</v>
      </c>
      <c r="D12" s="2">
        <v>47.2</v>
      </c>
      <c r="E12" s="2">
        <v>18.66</v>
      </c>
      <c r="F12" s="2">
        <v>0.85</v>
      </c>
      <c r="G12" s="2">
        <v>2.15</v>
      </c>
      <c r="L12" s="39">
        <v>64.5</v>
      </c>
      <c r="M12" s="39">
        <v>57.5</v>
      </c>
      <c r="N12" s="39">
        <v>100</v>
      </c>
    </row>
    <row r="13" spans="1:14" x14ac:dyDescent="0.25">
      <c r="A13" t="s">
        <v>98</v>
      </c>
      <c r="B13" t="s">
        <v>99</v>
      </c>
      <c r="C13">
        <v>2012</v>
      </c>
      <c r="D13" s="2">
        <v>139.6</v>
      </c>
      <c r="E13" s="2">
        <v>19.32</v>
      </c>
      <c r="F13" s="2">
        <v>0.31</v>
      </c>
      <c r="G13" s="2">
        <v>2.2400000000000002</v>
      </c>
      <c r="L13" s="39">
        <v>64.5</v>
      </c>
      <c r="M13" s="39">
        <v>67.5</v>
      </c>
      <c r="N13" s="39">
        <v>100</v>
      </c>
    </row>
    <row r="14" spans="1:14" x14ac:dyDescent="0.25">
      <c r="A14" t="s">
        <v>102</v>
      </c>
      <c r="B14" t="s">
        <v>185</v>
      </c>
      <c r="C14">
        <v>2013</v>
      </c>
      <c r="D14" s="2">
        <v>11.6</v>
      </c>
      <c r="E14" s="2">
        <v>20.6</v>
      </c>
      <c r="F14" s="2">
        <v>8.7200000000000006</v>
      </c>
      <c r="G14" s="2">
        <v>4.91</v>
      </c>
      <c r="L14" s="39">
        <v>41.5</v>
      </c>
      <c r="M14" s="39">
        <v>53.5</v>
      </c>
      <c r="N14" s="39">
        <v>100</v>
      </c>
    </row>
    <row r="15" spans="1:14" x14ac:dyDescent="0.25">
      <c r="A15" t="s">
        <v>122</v>
      </c>
      <c r="B15" t="s">
        <v>186</v>
      </c>
      <c r="C15">
        <v>2004</v>
      </c>
      <c r="F15" s="2">
        <v>4.5599999999999996</v>
      </c>
      <c r="G15" s="2">
        <v>1.25</v>
      </c>
      <c r="H15" s="2">
        <v>2.82</v>
      </c>
      <c r="I15" s="2">
        <v>0.77300000000000002</v>
      </c>
      <c r="L15" s="39">
        <v>33.5</v>
      </c>
      <c r="M15" s="39">
        <v>33.5</v>
      </c>
      <c r="N15" s="39">
        <v>100</v>
      </c>
    </row>
    <row r="16" spans="1:14" x14ac:dyDescent="0.25">
      <c r="A16" t="s">
        <v>122</v>
      </c>
      <c r="B16" t="s">
        <v>186</v>
      </c>
      <c r="C16">
        <v>2005</v>
      </c>
      <c r="F16" s="2">
        <v>4.99</v>
      </c>
      <c r="G16" s="2">
        <v>1.22</v>
      </c>
      <c r="H16" s="2">
        <v>3.06</v>
      </c>
      <c r="I16" s="2">
        <v>0.70899999999999996</v>
      </c>
      <c r="L16" s="39">
        <v>33.5</v>
      </c>
      <c r="M16" s="39">
        <v>35.5</v>
      </c>
      <c r="N16" s="39">
        <v>100</v>
      </c>
    </row>
    <row r="17" spans="1:14" x14ac:dyDescent="0.25">
      <c r="A17" t="s">
        <v>122</v>
      </c>
      <c r="B17" t="s">
        <v>186</v>
      </c>
      <c r="C17">
        <v>2006</v>
      </c>
      <c r="F17" s="2">
        <v>5.71</v>
      </c>
      <c r="G17" s="2">
        <v>1.51</v>
      </c>
      <c r="H17" s="2">
        <v>3.32</v>
      </c>
      <c r="I17" s="2">
        <v>0.83499999999999996</v>
      </c>
      <c r="L17" s="39">
        <v>33.5</v>
      </c>
      <c r="M17" s="39">
        <v>41.5</v>
      </c>
      <c r="N17" s="39">
        <v>100</v>
      </c>
    </row>
    <row r="18" spans="1:14" x14ac:dyDescent="0.25">
      <c r="A18" t="s">
        <v>122</v>
      </c>
      <c r="B18" t="s">
        <v>186</v>
      </c>
      <c r="C18">
        <v>2007</v>
      </c>
      <c r="F18" s="2">
        <v>4.62</v>
      </c>
      <c r="G18" s="2">
        <v>1.48</v>
      </c>
      <c r="H18" s="2">
        <v>3.05</v>
      </c>
      <c r="I18" s="2">
        <v>0.94199999999999995</v>
      </c>
      <c r="L18" s="39">
        <v>33.5</v>
      </c>
      <c r="M18" s="39">
        <v>47.5</v>
      </c>
      <c r="N18" s="39">
        <v>100</v>
      </c>
    </row>
    <row r="19" spans="1:14" x14ac:dyDescent="0.25">
      <c r="A19" t="s">
        <v>122</v>
      </c>
      <c r="B19" t="s">
        <v>186</v>
      </c>
      <c r="C19">
        <v>2008</v>
      </c>
      <c r="F19" s="2">
        <v>2.36</v>
      </c>
      <c r="G19" s="2">
        <v>1.48</v>
      </c>
      <c r="H19" s="2">
        <v>1.68</v>
      </c>
      <c r="I19" s="2">
        <v>1.04</v>
      </c>
      <c r="L19" s="39">
        <v>33.5</v>
      </c>
      <c r="M19" s="39">
        <v>55.5</v>
      </c>
      <c r="N19" s="39">
        <v>100</v>
      </c>
    </row>
    <row r="20" spans="1:14" x14ac:dyDescent="0.25">
      <c r="A20" t="s">
        <v>92</v>
      </c>
      <c r="B20" t="s">
        <v>93</v>
      </c>
      <c r="C20">
        <v>2006</v>
      </c>
      <c r="D20" s="2">
        <v>9.6999999999999993</v>
      </c>
      <c r="E20" s="2">
        <v>16.98</v>
      </c>
      <c r="F20" s="2">
        <v>2.66</v>
      </c>
      <c r="G20" s="2">
        <v>1.52</v>
      </c>
      <c r="L20" s="39">
        <v>26</v>
      </c>
      <c r="M20" s="39">
        <v>33</v>
      </c>
      <c r="N20" s="39">
        <v>100</v>
      </c>
    </row>
    <row r="21" spans="1:14" x14ac:dyDescent="0.25">
      <c r="A21" t="s">
        <v>92</v>
      </c>
      <c r="B21" t="s">
        <v>93</v>
      </c>
      <c r="C21">
        <v>2013</v>
      </c>
      <c r="D21" s="2">
        <v>9.5</v>
      </c>
      <c r="E21" s="2">
        <v>18.36</v>
      </c>
      <c r="F21" s="2">
        <v>3.19</v>
      </c>
      <c r="G21" s="2">
        <v>1.65</v>
      </c>
      <c r="L21" s="39">
        <v>26</v>
      </c>
      <c r="M21" s="39">
        <v>35.5</v>
      </c>
      <c r="N21" s="39">
        <v>100</v>
      </c>
    </row>
    <row r="22" spans="1:14" x14ac:dyDescent="0.25">
      <c r="A22" t="s">
        <v>34</v>
      </c>
      <c r="B22" t="s">
        <v>35</v>
      </c>
      <c r="C22">
        <v>2007</v>
      </c>
      <c r="D22" s="2">
        <v>7</v>
      </c>
      <c r="E22" s="2">
        <v>33.31</v>
      </c>
      <c r="F22" s="2">
        <v>8.7100000000000009</v>
      </c>
      <c r="G22" s="2">
        <v>1.83</v>
      </c>
      <c r="L22" s="39">
        <v>29</v>
      </c>
      <c r="M22" s="39">
        <v>38.5</v>
      </c>
      <c r="N22" s="39">
        <v>100</v>
      </c>
    </row>
    <row r="23" spans="1:14" x14ac:dyDescent="0.25">
      <c r="A23" t="s">
        <v>70</v>
      </c>
      <c r="B23" t="s">
        <v>71</v>
      </c>
      <c r="C23">
        <v>2008</v>
      </c>
      <c r="J23" s="2">
        <v>10.06</v>
      </c>
      <c r="K23" s="2">
        <v>18.989999999999998</v>
      </c>
      <c r="L23" s="39">
        <v>119.5</v>
      </c>
      <c r="M23" s="39">
        <v>127.5</v>
      </c>
      <c r="N23" s="39">
        <v>175</v>
      </c>
    </row>
    <row r="24" spans="1:14" x14ac:dyDescent="0.25">
      <c r="A24" t="s">
        <v>40</v>
      </c>
      <c r="B24" t="s">
        <v>41</v>
      </c>
      <c r="C24">
        <v>2007</v>
      </c>
      <c r="J24" s="2">
        <v>1.53</v>
      </c>
      <c r="K24" s="2">
        <v>5.5</v>
      </c>
      <c r="L24" s="39">
        <v>82.5</v>
      </c>
      <c r="M24" s="39">
        <v>80.5</v>
      </c>
      <c r="N24" s="39">
        <v>175</v>
      </c>
    </row>
    <row r="25" spans="1:14" x14ac:dyDescent="0.25">
      <c r="A25" t="s">
        <v>122</v>
      </c>
      <c r="B25" t="s">
        <v>186</v>
      </c>
      <c r="C25">
        <v>2004</v>
      </c>
      <c r="J25" s="2">
        <v>14.91</v>
      </c>
      <c r="L25" s="39">
        <v>81</v>
      </c>
      <c r="M25" s="39">
        <v>90.5</v>
      </c>
      <c r="N25" s="39">
        <v>175</v>
      </c>
    </row>
    <row r="26" spans="1:14" x14ac:dyDescent="0.25">
      <c r="A26" t="s">
        <v>122</v>
      </c>
      <c r="B26" t="s">
        <v>186</v>
      </c>
      <c r="C26">
        <v>2005</v>
      </c>
      <c r="J26" s="2">
        <v>17.13</v>
      </c>
      <c r="L26" s="39">
        <v>81</v>
      </c>
      <c r="M26" s="39">
        <v>90.5</v>
      </c>
      <c r="N26" s="39">
        <v>175</v>
      </c>
    </row>
    <row r="27" spans="1:14" x14ac:dyDescent="0.25">
      <c r="A27" t="s">
        <v>122</v>
      </c>
      <c r="B27" t="s">
        <v>186</v>
      </c>
      <c r="C27">
        <v>2006</v>
      </c>
      <c r="J27" s="2">
        <v>18.89</v>
      </c>
      <c r="L27" s="39">
        <v>81</v>
      </c>
      <c r="M27" s="39">
        <v>90.5</v>
      </c>
      <c r="N27" s="39">
        <v>175</v>
      </c>
    </row>
    <row r="28" spans="1:14" x14ac:dyDescent="0.25">
      <c r="A28" t="s">
        <v>122</v>
      </c>
      <c r="B28" t="s">
        <v>186</v>
      </c>
      <c r="C28">
        <v>2007</v>
      </c>
      <c r="J28" s="2">
        <v>8.8000000000000007</v>
      </c>
      <c r="L28" s="39">
        <v>81</v>
      </c>
      <c r="M28" s="39">
        <v>90.5</v>
      </c>
      <c r="N28" s="39">
        <v>175</v>
      </c>
    </row>
    <row r="29" spans="1:14" x14ac:dyDescent="0.25">
      <c r="A29" t="s">
        <v>122</v>
      </c>
      <c r="B29" t="s">
        <v>186</v>
      </c>
      <c r="C29">
        <v>2008</v>
      </c>
      <c r="J29" s="2">
        <v>1.37</v>
      </c>
      <c r="L29" s="39">
        <v>81</v>
      </c>
      <c r="M29" s="39">
        <v>90.5</v>
      </c>
      <c r="N29" s="39">
        <v>175</v>
      </c>
    </row>
    <row r="30" spans="1:14" x14ac:dyDescent="0.25">
      <c r="A30" t="s">
        <v>96</v>
      </c>
      <c r="B30" t="s">
        <v>97</v>
      </c>
      <c r="C30">
        <v>2004</v>
      </c>
      <c r="J30" s="2">
        <v>6.79</v>
      </c>
      <c r="L30" s="39">
        <v>88</v>
      </c>
      <c r="M30" s="39">
        <v>82</v>
      </c>
      <c r="N30" s="39">
        <v>175</v>
      </c>
    </row>
    <row r="31" spans="1:14" x14ac:dyDescent="0.25">
      <c r="A31" t="s">
        <v>96</v>
      </c>
      <c r="B31" t="s">
        <v>97</v>
      </c>
      <c r="C31">
        <v>2005</v>
      </c>
      <c r="J31" s="2">
        <v>7.07</v>
      </c>
      <c r="L31" s="39">
        <v>88</v>
      </c>
      <c r="M31" s="39">
        <v>82</v>
      </c>
      <c r="N31" s="39">
        <v>175</v>
      </c>
    </row>
    <row r="32" spans="1:14" x14ac:dyDescent="0.25">
      <c r="A32" t="s">
        <v>80</v>
      </c>
      <c r="B32" t="s">
        <v>81</v>
      </c>
      <c r="C32">
        <v>2004</v>
      </c>
      <c r="J32" s="2">
        <v>7.83</v>
      </c>
      <c r="L32" s="39">
        <v>63.5</v>
      </c>
      <c r="M32" s="39">
        <v>63.5</v>
      </c>
      <c r="N32" s="39">
        <v>175</v>
      </c>
    </row>
    <row r="33" spans="1:14" x14ac:dyDescent="0.25">
      <c r="A33" t="s">
        <v>80</v>
      </c>
      <c r="B33" t="s">
        <v>81</v>
      </c>
      <c r="C33">
        <v>2005</v>
      </c>
      <c r="J33" s="2">
        <v>8.2100000000000009</v>
      </c>
      <c r="L33" s="39">
        <v>63.5</v>
      </c>
      <c r="M33" s="39">
        <v>60.5</v>
      </c>
      <c r="N33" s="39">
        <v>175</v>
      </c>
    </row>
    <row r="34" spans="1:14" x14ac:dyDescent="0.25">
      <c r="A34" t="s">
        <v>80</v>
      </c>
      <c r="B34" t="s">
        <v>81</v>
      </c>
      <c r="C34">
        <v>2006</v>
      </c>
      <c r="J34" s="2">
        <v>8.1</v>
      </c>
      <c r="L34" s="39">
        <v>63.5</v>
      </c>
      <c r="M34" s="39">
        <v>60.5</v>
      </c>
      <c r="N34" s="39">
        <v>175</v>
      </c>
    </row>
    <row r="35" spans="1:14" x14ac:dyDescent="0.25">
      <c r="A35" t="s">
        <v>80</v>
      </c>
      <c r="B35" t="s">
        <v>81</v>
      </c>
      <c r="C35">
        <v>2007</v>
      </c>
      <c r="J35" s="2">
        <v>8.3699999999999992</v>
      </c>
      <c r="L35" s="39">
        <v>63.5</v>
      </c>
      <c r="M35" s="39">
        <v>57.5</v>
      </c>
      <c r="N35" s="39">
        <v>175</v>
      </c>
    </row>
    <row r="36" spans="1:14" x14ac:dyDescent="0.25">
      <c r="A36" t="s">
        <v>80</v>
      </c>
      <c r="B36" t="s">
        <v>81</v>
      </c>
      <c r="C36">
        <v>2008</v>
      </c>
      <c r="J36" s="2">
        <v>8.9</v>
      </c>
      <c r="L36" s="39">
        <v>63.5</v>
      </c>
      <c r="M36" s="39">
        <v>55.5</v>
      </c>
      <c r="N36" s="39">
        <v>175</v>
      </c>
    </row>
    <row r="37" spans="1:14" x14ac:dyDescent="0.25">
      <c r="A37" t="s">
        <v>44</v>
      </c>
      <c r="B37" t="s">
        <v>45</v>
      </c>
      <c r="C37">
        <v>2004</v>
      </c>
      <c r="J37" s="2">
        <v>8.86</v>
      </c>
      <c r="L37" s="39">
        <v>103.5</v>
      </c>
      <c r="M37" s="39">
        <v>101.5</v>
      </c>
      <c r="N37" s="39">
        <v>175</v>
      </c>
    </row>
    <row r="38" spans="1:14" x14ac:dyDescent="0.25">
      <c r="A38" t="s">
        <v>44</v>
      </c>
      <c r="B38" t="s">
        <v>45</v>
      </c>
      <c r="C38">
        <v>2005</v>
      </c>
      <c r="J38" s="2">
        <v>11.07</v>
      </c>
      <c r="L38" s="39">
        <v>103.5</v>
      </c>
      <c r="M38" s="39">
        <v>98.5</v>
      </c>
      <c r="N38" s="39">
        <v>175</v>
      </c>
    </row>
    <row r="39" spans="1:14" x14ac:dyDescent="0.25">
      <c r="A39" t="s">
        <v>44</v>
      </c>
      <c r="B39" t="s">
        <v>45</v>
      </c>
      <c r="C39">
        <v>2006</v>
      </c>
      <c r="J39" s="2">
        <v>13.64</v>
      </c>
      <c r="L39" s="39">
        <v>103.5</v>
      </c>
      <c r="M39" s="39">
        <v>96.5</v>
      </c>
      <c r="N39" s="39">
        <v>175</v>
      </c>
    </row>
    <row r="40" spans="1:14" x14ac:dyDescent="0.25">
      <c r="A40" t="s">
        <v>44</v>
      </c>
      <c r="B40" t="s">
        <v>45</v>
      </c>
      <c r="C40">
        <v>2007</v>
      </c>
      <c r="J40" s="2">
        <v>18.52</v>
      </c>
      <c r="L40" s="39">
        <v>103.5</v>
      </c>
      <c r="M40" s="39">
        <v>102</v>
      </c>
      <c r="N40" s="39">
        <v>175</v>
      </c>
    </row>
    <row r="41" spans="1:14" x14ac:dyDescent="0.25">
      <c r="A41" t="s">
        <v>44</v>
      </c>
      <c r="B41" t="s">
        <v>45</v>
      </c>
      <c r="C41">
        <v>2008</v>
      </c>
      <c r="J41" s="2">
        <v>14.31</v>
      </c>
      <c r="L41" s="39">
        <v>103.5</v>
      </c>
      <c r="M41" s="39">
        <v>99</v>
      </c>
      <c r="N41" s="39">
        <v>175</v>
      </c>
    </row>
    <row r="42" spans="1:14" x14ac:dyDescent="0.25">
      <c r="A42" t="s">
        <v>34</v>
      </c>
      <c r="B42" t="s">
        <v>35</v>
      </c>
      <c r="C42">
        <v>2004</v>
      </c>
      <c r="J42" s="2">
        <v>9.49</v>
      </c>
      <c r="L42" s="39">
        <v>75.5</v>
      </c>
      <c r="M42" s="39">
        <v>74.5</v>
      </c>
      <c r="N42" s="39">
        <v>175</v>
      </c>
    </row>
    <row r="43" spans="1:14" x14ac:dyDescent="0.25">
      <c r="A43" t="s">
        <v>34</v>
      </c>
      <c r="B43" t="s">
        <v>35</v>
      </c>
      <c r="C43">
        <v>2005</v>
      </c>
      <c r="J43" s="2">
        <v>9.99</v>
      </c>
      <c r="L43" s="39">
        <v>75.5</v>
      </c>
      <c r="M43" s="39">
        <v>72.5</v>
      </c>
      <c r="N43" s="39">
        <v>175</v>
      </c>
    </row>
    <row r="44" spans="1:14" x14ac:dyDescent="0.25">
      <c r="A44" t="s">
        <v>34</v>
      </c>
      <c r="B44" t="s">
        <v>35</v>
      </c>
      <c r="C44">
        <v>2006</v>
      </c>
      <c r="J44" s="2">
        <v>11.16</v>
      </c>
      <c r="L44" s="39">
        <v>75.5</v>
      </c>
      <c r="M44" s="39">
        <v>71.5</v>
      </c>
      <c r="N44" s="39">
        <v>175</v>
      </c>
    </row>
    <row r="45" spans="1:14" x14ac:dyDescent="0.25">
      <c r="A45" t="s">
        <v>26</v>
      </c>
      <c r="B45" t="s">
        <v>27</v>
      </c>
      <c r="C45">
        <v>2004</v>
      </c>
      <c r="J45" s="2">
        <v>16.95</v>
      </c>
      <c r="L45" s="39">
        <v>98</v>
      </c>
      <c r="M45" s="39">
        <v>98.5</v>
      </c>
      <c r="N45" s="39">
        <v>175</v>
      </c>
    </row>
    <row r="46" spans="1:14" x14ac:dyDescent="0.25">
      <c r="A46" t="s">
        <v>26</v>
      </c>
      <c r="B46" t="s">
        <v>27</v>
      </c>
      <c r="C46">
        <v>2005</v>
      </c>
      <c r="J46" s="2">
        <v>15.28</v>
      </c>
      <c r="L46" s="39">
        <v>98</v>
      </c>
      <c r="M46" s="39">
        <v>97.5</v>
      </c>
      <c r="N46" s="39">
        <v>175</v>
      </c>
    </row>
    <row r="47" spans="1:14" x14ac:dyDescent="0.25">
      <c r="A47" t="s">
        <v>26</v>
      </c>
      <c r="B47" t="s">
        <v>27</v>
      </c>
      <c r="C47">
        <v>2006</v>
      </c>
      <c r="J47" s="2">
        <v>16.809999999999999</v>
      </c>
      <c r="L47" s="39">
        <v>98</v>
      </c>
      <c r="M47" s="39">
        <v>95.5</v>
      </c>
      <c r="N47" s="39">
        <v>175</v>
      </c>
    </row>
    <row r="48" spans="1:14" x14ac:dyDescent="0.25">
      <c r="A48" t="s">
        <v>6</v>
      </c>
      <c r="B48" t="s">
        <v>7</v>
      </c>
      <c r="C48">
        <v>2004</v>
      </c>
      <c r="J48" s="2">
        <v>10.09</v>
      </c>
      <c r="L48" s="39">
        <v>91.5</v>
      </c>
      <c r="M48" s="39">
        <v>89.5</v>
      </c>
      <c r="N48" s="39">
        <v>175</v>
      </c>
    </row>
    <row r="49" spans="1:14" x14ac:dyDescent="0.25">
      <c r="A49" t="s">
        <v>6</v>
      </c>
      <c r="B49" t="s">
        <v>7</v>
      </c>
      <c r="C49">
        <v>2005</v>
      </c>
      <c r="J49" s="2">
        <v>12.35</v>
      </c>
      <c r="L49" s="39">
        <v>91.5</v>
      </c>
      <c r="M49" s="39">
        <v>88.5</v>
      </c>
      <c r="N49" s="39">
        <v>175</v>
      </c>
    </row>
    <row r="50" spans="1:14" x14ac:dyDescent="0.25">
      <c r="A50" t="s">
        <v>6</v>
      </c>
      <c r="B50" t="s">
        <v>7</v>
      </c>
      <c r="C50">
        <v>2006</v>
      </c>
      <c r="J50" s="2">
        <v>12.73</v>
      </c>
      <c r="L50" s="39">
        <v>91.5</v>
      </c>
      <c r="M50" s="39">
        <v>88.5</v>
      </c>
      <c r="N50" s="39">
        <v>175</v>
      </c>
    </row>
    <row r="51" spans="1:14" x14ac:dyDescent="0.25">
      <c r="A51" t="s">
        <v>6</v>
      </c>
      <c r="B51" t="s">
        <v>7</v>
      </c>
      <c r="C51">
        <v>2007</v>
      </c>
      <c r="J51" s="2">
        <v>13.25</v>
      </c>
      <c r="L51" s="39">
        <v>91.5</v>
      </c>
      <c r="M51" s="39">
        <v>86.5</v>
      </c>
      <c r="N51" s="39">
        <v>175</v>
      </c>
    </row>
    <row r="52" spans="1:14" x14ac:dyDescent="0.25">
      <c r="A52" t="s">
        <v>6</v>
      </c>
      <c r="B52" t="s">
        <v>7</v>
      </c>
      <c r="C52">
        <v>2008</v>
      </c>
      <c r="J52" s="2">
        <v>13.26</v>
      </c>
      <c r="L52" s="39">
        <v>91.5</v>
      </c>
      <c r="M52" s="39">
        <v>85.5</v>
      </c>
      <c r="N52" s="39">
        <v>175</v>
      </c>
    </row>
    <row r="53" spans="1:14" x14ac:dyDescent="0.25">
      <c r="A53" t="s">
        <v>6</v>
      </c>
      <c r="B53" t="s">
        <v>7</v>
      </c>
      <c r="C53">
        <v>2009</v>
      </c>
      <c r="J53" s="2">
        <v>13.4</v>
      </c>
      <c r="L53" s="39">
        <v>91.5</v>
      </c>
      <c r="M53" s="39">
        <v>83.5</v>
      </c>
      <c r="N53" s="39">
        <v>175</v>
      </c>
    </row>
    <row r="54" spans="1:14" x14ac:dyDescent="0.25">
      <c r="A54" t="s">
        <v>4</v>
      </c>
      <c r="B54" t="s">
        <v>5</v>
      </c>
      <c r="C54">
        <v>2004</v>
      </c>
      <c r="J54" s="2">
        <v>32.72</v>
      </c>
      <c r="L54" s="39">
        <v>80.5</v>
      </c>
      <c r="M54" s="39">
        <v>80.5</v>
      </c>
      <c r="N54" s="39">
        <v>175</v>
      </c>
    </row>
    <row r="55" spans="1:14" x14ac:dyDescent="0.25">
      <c r="A55" t="s">
        <v>4</v>
      </c>
      <c r="B55" t="s">
        <v>5</v>
      </c>
      <c r="C55">
        <v>2005</v>
      </c>
      <c r="J55" s="2">
        <v>40.479999999999997</v>
      </c>
      <c r="L55" s="39">
        <v>80.5</v>
      </c>
      <c r="M55" s="39">
        <v>80.5</v>
      </c>
      <c r="N55" s="39">
        <v>175</v>
      </c>
    </row>
    <row r="56" spans="1:14" x14ac:dyDescent="0.25">
      <c r="A56" t="s">
        <v>4</v>
      </c>
      <c r="B56" t="s">
        <v>5</v>
      </c>
      <c r="C56">
        <v>2006</v>
      </c>
      <c r="J56" s="2">
        <v>45.73</v>
      </c>
      <c r="L56" s="39">
        <v>80.5</v>
      </c>
      <c r="M56" s="39">
        <v>82.5</v>
      </c>
      <c r="N56" s="39">
        <v>175</v>
      </c>
    </row>
    <row r="57" spans="1:14" x14ac:dyDescent="0.25">
      <c r="A57" t="s">
        <v>4</v>
      </c>
      <c r="B57" t="s">
        <v>5</v>
      </c>
      <c r="C57">
        <v>2007</v>
      </c>
      <c r="J57" s="2">
        <v>52.57</v>
      </c>
      <c r="L57" s="39">
        <v>80.5</v>
      </c>
      <c r="M57" s="39">
        <v>88.5</v>
      </c>
      <c r="N57" s="39">
        <v>175</v>
      </c>
    </row>
    <row r="58" spans="1:14" x14ac:dyDescent="0.25">
      <c r="A58" t="s">
        <v>4</v>
      </c>
      <c r="B58" t="s">
        <v>5</v>
      </c>
      <c r="C58">
        <v>2008</v>
      </c>
      <c r="J58" s="2">
        <v>51.57</v>
      </c>
      <c r="L58" s="39">
        <v>80.5</v>
      </c>
      <c r="M58" s="39">
        <v>117</v>
      </c>
      <c r="N58" s="39">
        <v>175</v>
      </c>
    </row>
  </sheetData>
  <autoFilter ref="A1:N1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"/>
  <sheetViews>
    <sheetView zoomScale="60" zoomScaleNormal="60" workbookViewId="0"/>
  </sheetViews>
  <sheetFormatPr baseColWidth="10" defaultRowHeight="15" x14ac:dyDescent="0.25"/>
  <cols>
    <col min="1" max="1" width="28" customWidth="1"/>
    <col min="2" max="2" width="20.85546875" customWidth="1"/>
    <col min="3" max="3" width="10.85546875" bestFit="1" customWidth="1"/>
    <col min="4" max="4" width="11.28515625" bestFit="1" customWidth="1"/>
    <col min="5" max="5" width="10.5703125" bestFit="1" customWidth="1"/>
    <col min="6" max="13" width="11.140625" bestFit="1" customWidth="1"/>
    <col min="14" max="14" width="12" bestFit="1" customWidth="1"/>
    <col min="15" max="16" width="10.85546875" bestFit="1" customWidth="1"/>
    <col min="17" max="17" width="11.28515625" bestFit="1" customWidth="1"/>
    <col min="18" max="18" width="14.140625" bestFit="1" customWidth="1"/>
    <col min="19" max="19" width="26.28515625" bestFit="1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60" t="s">
        <v>145</v>
      </c>
      <c r="Q1" s="60"/>
      <c r="R1" s="1"/>
      <c r="S1" s="1"/>
    </row>
    <row r="2" spans="1:19" x14ac:dyDescent="0.25">
      <c r="A2" s="1"/>
      <c r="B2" s="1"/>
      <c r="C2" s="1">
        <v>2015</v>
      </c>
      <c r="D2" s="1">
        <v>2014</v>
      </c>
      <c r="E2" s="1">
        <v>2013</v>
      </c>
      <c r="F2" s="1">
        <v>2012</v>
      </c>
      <c r="G2" s="1">
        <v>2011</v>
      </c>
      <c r="H2" s="1">
        <v>2010</v>
      </c>
      <c r="I2" s="1">
        <v>2009</v>
      </c>
      <c r="J2" s="1">
        <v>2008</v>
      </c>
      <c r="K2" s="1">
        <v>2007</v>
      </c>
      <c r="L2" s="1">
        <v>2006</v>
      </c>
      <c r="M2" s="1">
        <v>2005</v>
      </c>
      <c r="N2" s="1">
        <v>2004</v>
      </c>
      <c r="O2" s="1"/>
      <c r="P2" s="1">
        <f>C2</f>
        <v>2015</v>
      </c>
      <c r="Q2" s="1">
        <f>D2</f>
        <v>2014</v>
      </c>
      <c r="R2" s="1"/>
      <c r="S2" s="1"/>
    </row>
    <row r="3" spans="1:19" x14ac:dyDescent="0.25">
      <c r="A3" s="1" t="s">
        <v>0</v>
      </c>
      <c r="B3" s="1" t="s">
        <v>1</v>
      </c>
      <c r="C3" s="1" t="s">
        <v>142</v>
      </c>
      <c r="D3" s="1" t="s">
        <v>143</v>
      </c>
      <c r="E3" s="1" t="s">
        <v>132</v>
      </c>
      <c r="F3" s="1" t="s">
        <v>133</v>
      </c>
      <c r="G3" s="1" t="s">
        <v>134</v>
      </c>
      <c r="H3" s="1" t="s">
        <v>135</v>
      </c>
      <c r="I3" s="1" t="s">
        <v>136</v>
      </c>
      <c r="J3" s="1" t="s">
        <v>137</v>
      </c>
      <c r="K3" s="1" t="s">
        <v>138</v>
      </c>
      <c r="L3" s="1" t="s">
        <v>139</v>
      </c>
      <c r="M3" s="1" t="s">
        <v>140</v>
      </c>
      <c r="N3" s="1" t="s">
        <v>141</v>
      </c>
      <c r="O3" s="1" t="s">
        <v>144</v>
      </c>
      <c r="P3" s="1" t="s">
        <v>142</v>
      </c>
      <c r="Q3" s="1" t="s">
        <v>143</v>
      </c>
      <c r="R3" s="1" t="s">
        <v>213</v>
      </c>
      <c r="S3" s="1" t="s">
        <v>146</v>
      </c>
    </row>
    <row r="4" spans="1:19" x14ac:dyDescent="0.25">
      <c r="A4" t="s">
        <v>2</v>
      </c>
      <c r="B4" t="s">
        <v>3</v>
      </c>
      <c r="C4" s="2">
        <v>19.2</v>
      </c>
      <c r="D4" s="2">
        <v>20.8</v>
      </c>
      <c r="E4" s="6">
        <v>21.4</v>
      </c>
      <c r="F4" s="6">
        <v>16.100000000000001</v>
      </c>
      <c r="G4" s="6">
        <v>15</v>
      </c>
      <c r="H4" s="6">
        <v>13.6</v>
      </c>
      <c r="I4" s="6">
        <v>14.7</v>
      </c>
      <c r="J4" s="6">
        <v>13.8</v>
      </c>
      <c r="K4" s="40">
        <v>17.05</v>
      </c>
      <c r="L4" s="6">
        <v>18.8</v>
      </c>
      <c r="M4" s="6">
        <v>20</v>
      </c>
      <c r="N4" s="6">
        <v>22</v>
      </c>
      <c r="O4" s="3">
        <f>MEDIAN(E4:N4)</f>
        <v>16.575000000000003</v>
      </c>
      <c r="P4" s="4">
        <f ca="1">360-Q4</f>
        <v>217</v>
      </c>
      <c r="Q4" s="4">
        <f t="shared" ref="Q4:Q35" ca="1" si="0">DAYS360(TODAY(),CONCATENATE("31.12.",Q$2))</f>
        <v>143</v>
      </c>
      <c r="R4" s="3">
        <f ca="1">(C4/360*P4)+(D4/360*Q4)</f>
        <v>19.835555555555555</v>
      </c>
      <c r="S4" s="5">
        <f ca="1">(R4/O4)-1</f>
        <v>0.19671526730350242</v>
      </c>
    </row>
    <row r="5" spans="1:19" x14ac:dyDescent="0.25">
      <c r="A5" t="s">
        <v>4</v>
      </c>
      <c r="B5" t="s">
        <v>5</v>
      </c>
      <c r="C5" s="2">
        <v>16.899999999999999</v>
      </c>
      <c r="D5" s="2">
        <v>18.3</v>
      </c>
      <c r="E5" s="6">
        <v>18.899999999999999</v>
      </c>
      <c r="F5" s="6">
        <v>16.399999999999999</v>
      </c>
      <c r="G5" s="6">
        <v>14.5</v>
      </c>
      <c r="H5" s="6">
        <v>13.5</v>
      </c>
      <c r="I5" s="6">
        <v>19.399999999999999</v>
      </c>
      <c r="J5" s="6">
        <v>15.6</v>
      </c>
      <c r="K5" s="6">
        <v>17.2</v>
      </c>
      <c r="L5" s="6">
        <v>23.6</v>
      </c>
      <c r="M5" s="6">
        <v>32</v>
      </c>
      <c r="N5" s="6">
        <v>19</v>
      </c>
      <c r="O5" s="3">
        <f t="shared" ref="O5:O68" si="1">MEDIAN(E5:N5)</f>
        <v>18.049999999999997</v>
      </c>
      <c r="P5" s="4">
        <f t="shared" ref="P5:P68" ca="1" si="2">360-Q5</f>
        <v>217</v>
      </c>
      <c r="Q5" s="4">
        <f t="shared" ca="1" si="0"/>
        <v>143</v>
      </c>
      <c r="R5" s="3">
        <f t="shared" ref="R5:R68" ca="1" si="3">(C5/360*P5)+(D5/360*Q5)</f>
        <v>17.456111111111113</v>
      </c>
      <c r="S5" s="5">
        <f t="shared" ref="S5:S68" ca="1" si="4">(R5/O5)-1</f>
        <v>-3.2902431517389696E-2</v>
      </c>
    </row>
    <row r="6" spans="1:19" x14ac:dyDescent="0.25">
      <c r="A6" t="s">
        <v>6</v>
      </c>
      <c r="B6" t="s">
        <v>7</v>
      </c>
      <c r="C6" s="2">
        <v>19</v>
      </c>
      <c r="D6" s="2">
        <v>18.899999999999999</v>
      </c>
      <c r="E6" s="6">
        <v>20.8</v>
      </c>
      <c r="F6" s="6">
        <v>17.899999999999999</v>
      </c>
      <c r="G6" s="6">
        <v>18.2</v>
      </c>
      <c r="H6" s="40">
        <v>25.66</v>
      </c>
      <c r="I6" s="6">
        <v>17.2</v>
      </c>
      <c r="J6" s="40">
        <v>16.86</v>
      </c>
      <c r="K6" s="6">
        <v>18.7</v>
      </c>
      <c r="L6" s="6">
        <v>18.3</v>
      </c>
      <c r="M6" s="6">
        <v>19.100000000000001</v>
      </c>
      <c r="N6" s="6">
        <v>17.2</v>
      </c>
      <c r="O6" s="3">
        <f t="shared" si="1"/>
        <v>18.25</v>
      </c>
      <c r="P6" s="4">
        <f t="shared" ca="1" si="2"/>
        <v>217</v>
      </c>
      <c r="Q6" s="4">
        <f t="shared" ca="1" si="0"/>
        <v>143</v>
      </c>
      <c r="R6" s="3">
        <f t="shared" ca="1" si="3"/>
        <v>18.960277777777776</v>
      </c>
      <c r="S6" s="5">
        <f t="shared" ca="1" si="4"/>
        <v>3.8919330289193255E-2</v>
      </c>
    </row>
    <row r="7" spans="1:19" x14ac:dyDescent="0.25">
      <c r="A7" t="s">
        <v>8</v>
      </c>
      <c r="B7" t="s">
        <v>9</v>
      </c>
      <c r="C7" s="2">
        <v>7.9</v>
      </c>
      <c r="D7" s="2">
        <v>13.6</v>
      </c>
      <c r="E7" s="6">
        <v>51.7</v>
      </c>
      <c r="F7" s="6">
        <v>131.80000000000001</v>
      </c>
      <c r="G7" s="6">
        <v>6.6</v>
      </c>
      <c r="H7" s="6">
        <v>12.7</v>
      </c>
      <c r="I7" s="6">
        <v>6.9</v>
      </c>
      <c r="J7" s="6"/>
      <c r="K7" s="6">
        <v>6.5</v>
      </c>
      <c r="L7" s="6">
        <v>7.6</v>
      </c>
      <c r="M7" s="6">
        <v>10.7</v>
      </c>
      <c r="N7" s="6">
        <v>13</v>
      </c>
      <c r="O7" s="3">
        <f t="shared" si="1"/>
        <v>10.7</v>
      </c>
      <c r="P7" s="4">
        <f t="shared" ca="1" si="2"/>
        <v>217</v>
      </c>
      <c r="Q7" s="4">
        <f t="shared" ca="1" si="0"/>
        <v>143</v>
      </c>
      <c r="R7" s="3">
        <f t="shared" ca="1" si="3"/>
        <v>10.164166666666667</v>
      </c>
      <c r="S7" s="5">
        <f t="shared" ca="1" si="4"/>
        <v>-5.0077881619937648E-2</v>
      </c>
    </row>
    <row r="8" spans="1:19" x14ac:dyDescent="0.25">
      <c r="A8" t="s">
        <v>10</v>
      </c>
      <c r="B8" t="s">
        <v>11</v>
      </c>
      <c r="C8" s="2">
        <v>24.1</v>
      </c>
      <c r="D8" s="2">
        <v>26.7</v>
      </c>
      <c r="E8" s="6">
        <v>31.3</v>
      </c>
      <c r="F8" s="6">
        <v>31.7</v>
      </c>
      <c r="G8" s="6">
        <v>39.799999999999997</v>
      </c>
      <c r="H8" s="6">
        <v>29.7</v>
      </c>
      <c r="I8" s="6">
        <v>27.8</v>
      </c>
      <c r="J8" s="6">
        <v>16.899999999999999</v>
      </c>
      <c r="K8" s="6">
        <v>27.5</v>
      </c>
      <c r="L8" s="40">
        <v>35.409999999999997</v>
      </c>
      <c r="M8" s="6">
        <v>35.9</v>
      </c>
      <c r="N8" s="6">
        <v>33.200000000000003</v>
      </c>
      <c r="O8" s="3">
        <f t="shared" si="1"/>
        <v>31.5</v>
      </c>
      <c r="P8" s="4">
        <f t="shared" ca="1" si="2"/>
        <v>217</v>
      </c>
      <c r="Q8" s="4">
        <f t="shared" ca="1" si="0"/>
        <v>143</v>
      </c>
      <c r="R8" s="3">
        <f t="shared" ca="1" si="3"/>
        <v>25.132777777777775</v>
      </c>
      <c r="S8" s="5">
        <f t="shared" ca="1" si="4"/>
        <v>-0.20213403880070557</v>
      </c>
    </row>
    <row r="9" spans="1:19" x14ac:dyDescent="0.25">
      <c r="A9" t="s">
        <v>12</v>
      </c>
      <c r="B9" t="s">
        <v>13</v>
      </c>
      <c r="C9" s="2">
        <v>13.3</v>
      </c>
      <c r="D9" s="2">
        <v>14.8</v>
      </c>
      <c r="E9" s="6">
        <v>15.3</v>
      </c>
      <c r="F9" s="6">
        <v>12.1</v>
      </c>
      <c r="G9" s="6">
        <v>12.4</v>
      </c>
      <c r="H9" s="6">
        <v>6</v>
      </c>
      <c r="I9" s="6">
        <v>25.4</v>
      </c>
      <c r="J9" s="6"/>
      <c r="K9" s="6">
        <v>20.399999999999999</v>
      </c>
      <c r="L9" s="6">
        <v>14.3</v>
      </c>
      <c r="M9" s="6">
        <v>10.3</v>
      </c>
      <c r="N9" s="6">
        <v>11.8</v>
      </c>
      <c r="O9" s="3">
        <f t="shared" si="1"/>
        <v>12.4</v>
      </c>
      <c r="P9" s="4">
        <f t="shared" ca="1" si="2"/>
        <v>217</v>
      </c>
      <c r="Q9" s="4">
        <f t="shared" ca="1" si="0"/>
        <v>143</v>
      </c>
      <c r="R9" s="3">
        <f t="shared" ca="1" si="3"/>
        <v>13.895833333333332</v>
      </c>
      <c r="S9" s="5">
        <f t="shared" ca="1" si="4"/>
        <v>0.1206317204301075</v>
      </c>
    </row>
    <row r="10" spans="1:19" x14ac:dyDescent="0.25">
      <c r="A10" t="s">
        <v>14</v>
      </c>
      <c r="B10" t="s">
        <v>15</v>
      </c>
      <c r="C10" s="2">
        <v>20.8</v>
      </c>
      <c r="D10" s="2">
        <v>20.5</v>
      </c>
      <c r="E10" s="6">
        <v>59.2</v>
      </c>
      <c r="F10" s="6"/>
      <c r="G10" s="6">
        <v>68.2</v>
      </c>
      <c r="H10" s="6">
        <v>24.7</v>
      </c>
      <c r="I10" s="6">
        <v>128.6</v>
      </c>
      <c r="J10" s="6">
        <v>31.6</v>
      </c>
      <c r="K10" s="6">
        <v>115.5</v>
      </c>
      <c r="L10" s="6">
        <v>18.7</v>
      </c>
      <c r="M10" s="6">
        <v>10.7</v>
      </c>
      <c r="N10" s="6">
        <v>15.1</v>
      </c>
      <c r="O10" s="3">
        <f t="shared" si="1"/>
        <v>31.6</v>
      </c>
      <c r="P10" s="4">
        <f t="shared" ca="1" si="2"/>
        <v>217</v>
      </c>
      <c r="Q10" s="4">
        <f t="shared" ca="1" si="0"/>
        <v>143</v>
      </c>
      <c r="R10" s="3">
        <f t="shared" ca="1" si="3"/>
        <v>20.680833333333332</v>
      </c>
      <c r="S10" s="5">
        <f t="shared" ca="1" si="4"/>
        <v>-0.34554324894514776</v>
      </c>
    </row>
    <row r="11" spans="1:19" x14ac:dyDescent="0.25">
      <c r="A11" t="s">
        <v>16</v>
      </c>
      <c r="B11" t="s">
        <v>17</v>
      </c>
      <c r="C11" s="2">
        <v>17.5</v>
      </c>
      <c r="D11" s="2">
        <v>20.2</v>
      </c>
      <c r="E11" s="6">
        <v>22.3</v>
      </c>
      <c r="F11" s="6">
        <v>25.6</v>
      </c>
      <c r="G11" s="6">
        <v>14.1</v>
      </c>
      <c r="H11" s="6">
        <v>25.1</v>
      </c>
      <c r="I11" s="6">
        <v>22.4</v>
      </c>
      <c r="J11" s="6">
        <v>16.3</v>
      </c>
      <c r="K11" s="6">
        <v>22.3</v>
      </c>
      <c r="L11" s="6">
        <v>26.3</v>
      </c>
      <c r="M11" s="6">
        <v>31.6</v>
      </c>
      <c r="N11" s="6">
        <v>31</v>
      </c>
      <c r="O11" s="3">
        <f t="shared" si="1"/>
        <v>23.75</v>
      </c>
      <c r="P11" s="4">
        <f t="shared" ca="1" si="2"/>
        <v>217</v>
      </c>
      <c r="Q11" s="4">
        <f t="shared" ca="1" si="0"/>
        <v>143</v>
      </c>
      <c r="R11" s="3">
        <f t="shared" ca="1" si="3"/>
        <v>18.572499999999998</v>
      </c>
      <c r="S11" s="5">
        <f t="shared" ca="1" si="4"/>
        <v>-0.21800000000000008</v>
      </c>
    </row>
    <row r="12" spans="1:19" x14ac:dyDescent="0.25">
      <c r="A12" t="s">
        <v>18</v>
      </c>
      <c r="B12" t="s">
        <v>19</v>
      </c>
      <c r="C12" s="2">
        <v>12.6</v>
      </c>
      <c r="D12" s="2">
        <v>14.5</v>
      </c>
      <c r="E12" s="6">
        <v>17.5</v>
      </c>
      <c r="F12" s="6">
        <v>15.2</v>
      </c>
      <c r="G12" s="6">
        <v>9.6999999999999993</v>
      </c>
      <c r="H12" s="6">
        <v>17.2</v>
      </c>
      <c r="I12" s="6">
        <v>23.9</v>
      </c>
      <c r="J12" s="6">
        <v>10.3</v>
      </c>
      <c r="K12" s="6">
        <v>22.7</v>
      </c>
      <c r="L12" s="6">
        <v>20.2</v>
      </c>
      <c r="M12" s="6">
        <v>25.4</v>
      </c>
      <c r="N12" s="6">
        <v>15.5</v>
      </c>
      <c r="O12" s="3">
        <f t="shared" si="1"/>
        <v>17.350000000000001</v>
      </c>
      <c r="P12" s="4">
        <f t="shared" ca="1" si="2"/>
        <v>217</v>
      </c>
      <c r="Q12" s="4">
        <f t="shared" ca="1" si="0"/>
        <v>143</v>
      </c>
      <c r="R12" s="3">
        <f t="shared" ca="1" si="3"/>
        <v>13.354722222222222</v>
      </c>
      <c r="S12" s="5">
        <f t="shared" ca="1" si="4"/>
        <v>-0.23027537624079419</v>
      </c>
    </row>
    <row r="13" spans="1:19" x14ac:dyDescent="0.25">
      <c r="A13" t="s">
        <v>20</v>
      </c>
      <c r="B13" t="s">
        <v>21</v>
      </c>
      <c r="C13" s="2">
        <v>9.4</v>
      </c>
      <c r="D13" s="2">
        <v>9.5</v>
      </c>
      <c r="E13" s="6">
        <v>9.9</v>
      </c>
      <c r="F13" s="6">
        <v>9.1999999999999993</v>
      </c>
      <c r="G13" s="6">
        <v>13.1</v>
      </c>
      <c r="H13" s="6">
        <v>7.9</v>
      </c>
      <c r="I13" s="6">
        <v>9.1</v>
      </c>
      <c r="J13" s="6"/>
      <c r="K13" s="6">
        <v>8.1999999999999993</v>
      </c>
      <c r="L13" s="6">
        <v>9.1</v>
      </c>
      <c r="M13" s="6">
        <v>11.4</v>
      </c>
      <c r="N13" s="6">
        <v>16.2</v>
      </c>
      <c r="O13" s="3">
        <f t="shared" si="1"/>
        <v>9.1999999999999993</v>
      </c>
      <c r="P13" s="4">
        <f t="shared" ca="1" si="2"/>
        <v>217</v>
      </c>
      <c r="Q13" s="4">
        <f t="shared" ca="1" si="0"/>
        <v>143</v>
      </c>
      <c r="R13" s="3">
        <f t="shared" ca="1" si="3"/>
        <v>9.4397222222222226</v>
      </c>
      <c r="S13" s="5">
        <f t="shared" ca="1" si="4"/>
        <v>2.6056763285024376E-2</v>
      </c>
    </row>
    <row r="14" spans="1:19" x14ac:dyDescent="0.25">
      <c r="A14" t="s">
        <v>22</v>
      </c>
      <c r="B14" t="s">
        <v>23</v>
      </c>
      <c r="C14" s="2">
        <v>9.3000000000000007</v>
      </c>
      <c r="D14" s="2">
        <v>9.3000000000000007</v>
      </c>
      <c r="E14" s="6">
        <v>8.6999999999999993</v>
      </c>
      <c r="F14" s="6">
        <v>7.6</v>
      </c>
      <c r="G14" s="6">
        <v>24.1</v>
      </c>
      <c r="H14" s="6">
        <v>8.6999999999999993</v>
      </c>
      <c r="I14" s="6">
        <v>8.4</v>
      </c>
      <c r="J14" s="6">
        <v>14.8</v>
      </c>
      <c r="K14" s="6">
        <v>7.4</v>
      </c>
      <c r="L14" s="6">
        <v>8.6</v>
      </c>
      <c r="M14" s="6">
        <v>9.8000000000000007</v>
      </c>
      <c r="N14" s="6">
        <v>11.3</v>
      </c>
      <c r="O14" s="3">
        <f t="shared" si="1"/>
        <v>8.6999999999999993</v>
      </c>
      <c r="P14" s="4">
        <f t="shared" ca="1" si="2"/>
        <v>217</v>
      </c>
      <c r="Q14" s="4">
        <f t="shared" ca="1" si="0"/>
        <v>143</v>
      </c>
      <c r="R14" s="3">
        <f t="shared" ca="1" si="3"/>
        <v>9.3000000000000007</v>
      </c>
      <c r="S14" s="5">
        <f t="shared" ca="1" si="4"/>
        <v>6.8965517241379448E-2</v>
      </c>
    </row>
    <row r="15" spans="1:19" x14ac:dyDescent="0.25">
      <c r="A15" t="s">
        <v>24</v>
      </c>
      <c r="B15" t="s">
        <v>25</v>
      </c>
      <c r="C15" s="2">
        <v>13.6</v>
      </c>
      <c r="D15" s="2">
        <v>14.6</v>
      </c>
      <c r="E15" s="6">
        <v>14.7</v>
      </c>
      <c r="F15" s="6">
        <v>13.4</v>
      </c>
      <c r="G15" s="6">
        <v>8</v>
      </c>
      <c r="H15" s="6">
        <v>12</v>
      </c>
      <c r="I15" s="6">
        <v>28.2</v>
      </c>
      <c r="J15" s="6">
        <v>8.9</v>
      </c>
      <c r="K15" s="6">
        <v>12.2</v>
      </c>
      <c r="L15" s="6">
        <v>11.6</v>
      </c>
      <c r="M15" s="6">
        <v>11.3</v>
      </c>
      <c r="N15" s="6">
        <v>15.4</v>
      </c>
      <c r="O15" s="3">
        <f t="shared" si="1"/>
        <v>12.1</v>
      </c>
      <c r="P15" s="4">
        <f t="shared" ca="1" si="2"/>
        <v>217</v>
      </c>
      <c r="Q15" s="4">
        <f t="shared" ca="1" si="0"/>
        <v>143</v>
      </c>
      <c r="R15" s="3">
        <f t="shared" ca="1" si="3"/>
        <v>13.997222222222224</v>
      </c>
      <c r="S15" s="5">
        <f t="shared" ca="1" si="4"/>
        <v>0.15679522497704323</v>
      </c>
    </row>
    <row r="16" spans="1:19" x14ac:dyDescent="0.25">
      <c r="A16" t="s">
        <v>26</v>
      </c>
      <c r="B16" t="s">
        <v>27</v>
      </c>
      <c r="C16" s="2">
        <v>17.899999999999999</v>
      </c>
      <c r="D16" s="2">
        <v>20.7</v>
      </c>
      <c r="E16" s="6">
        <v>26.4</v>
      </c>
      <c r="F16" s="6">
        <v>24.3</v>
      </c>
      <c r="G16" s="6">
        <v>16.5</v>
      </c>
      <c r="H16" s="6">
        <v>35.200000000000003</v>
      </c>
      <c r="I16" s="6">
        <v>32.9</v>
      </c>
      <c r="J16" s="6">
        <v>18.7</v>
      </c>
      <c r="K16" s="40">
        <v>16.440000000000001</v>
      </c>
      <c r="L16" s="6">
        <v>18.3</v>
      </c>
      <c r="M16" s="6">
        <v>16.100000000000001</v>
      </c>
      <c r="N16" s="6">
        <v>30</v>
      </c>
      <c r="O16" s="3">
        <f t="shared" si="1"/>
        <v>21.5</v>
      </c>
      <c r="P16" s="4">
        <f t="shared" ca="1" si="2"/>
        <v>217</v>
      </c>
      <c r="Q16" s="4">
        <f t="shared" ca="1" si="0"/>
        <v>143</v>
      </c>
      <c r="R16" s="3">
        <f t="shared" ca="1" si="3"/>
        <v>19.012222222222221</v>
      </c>
      <c r="S16" s="5">
        <f t="shared" ca="1" si="4"/>
        <v>-0.11571059431524555</v>
      </c>
    </row>
    <row r="17" spans="1:19" x14ac:dyDescent="0.25">
      <c r="A17" t="s">
        <v>28</v>
      </c>
      <c r="B17" t="s">
        <v>29</v>
      </c>
      <c r="C17" s="2">
        <v>12.6</v>
      </c>
      <c r="D17" s="2">
        <v>15.4</v>
      </c>
      <c r="E17" s="6">
        <v>16.399999999999999</v>
      </c>
      <c r="F17" s="6">
        <v>26.5</v>
      </c>
      <c r="G17" s="6">
        <v>9.8000000000000007</v>
      </c>
      <c r="H17" s="6">
        <v>8.4</v>
      </c>
      <c r="I17" s="6">
        <v>11</v>
      </c>
      <c r="J17" s="6">
        <v>5.5</v>
      </c>
      <c r="K17" s="6">
        <v>10.3</v>
      </c>
      <c r="L17" s="6">
        <v>11.7</v>
      </c>
      <c r="M17" s="6">
        <v>11.2</v>
      </c>
      <c r="N17" s="6">
        <v>14.5</v>
      </c>
      <c r="O17" s="3">
        <f t="shared" si="1"/>
        <v>11.1</v>
      </c>
      <c r="P17" s="4">
        <f t="shared" ca="1" si="2"/>
        <v>217</v>
      </c>
      <c r="Q17" s="4">
        <f t="shared" ca="1" si="0"/>
        <v>143</v>
      </c>
      <c r="R17" s="3">
        <f t="shared" ca="1" si="3"/>
        <v>13.71222222222222</v>
      </c>
      <c r="S17" s="5">
        <f t="shared" ca="1" si="4"/>
        <v>0.23533533533533513</v>
      </c>
    </row>
    <row r="18" spans="1:19" x14ac:dyDescent="0.25">
      <c r="A18" t="s">
        <v>30</v>
      </c>
      <c r="B18" t="s">
        <v>31</v>
      </c>
      <c r="C18" s="2">
        <v>12.8</v>
      </c>
      <c r="D18" s="2">
        <v>14</v>
      </c>
      <c r="E18" s="6">
        <v>11.7</v>
      </c>
      <c r="F18" s="6">
        <v>11.7</v>
      </c>
      <c r="G18" s="6">
        <v>11.2</v>
      </c>
      <c r="H18" s="6">
        <v>7.5</v>
      </c>
      <c r="I18" s="6">
        <v>11.4</v>
      </c>
      <c r="J18" s="6">
        <v>9.6999999999999993</v>
      </c>
      <c r="K18" s="6">
        <v>11.9</v>
      </c>
      <c r="L18" s="6">
        <v>12.4</v>
      </c>
      <c r="M18" s="6">
        <v>14</v>
      </c>
      <c r="N18" s="6">
        <v>23.1</v>
      </c>
      <c r="O18" s="3">
        <f t="shared" si="1"/>
        <v>11.7</v>
      </c>
      <c r="P18" s="4">
        <f t="shared" ca="1" si="2"/>
        <v>217</v>
      </c>
      <c r="Q18" s="4">
        <f t="shared" ca="1" si="0"/>
        <v>143</v>
      </c>
      <c r="R18" s="3">
        <f t="shared" ca="1" si="3"/>
        <v>13.276666666666667</v>
      </c>
      <c r="S18" s="5">
        <f t="shared" ca="1" si="4"/>
        <v>0.13475783475783487</v>
      </c>
    </row>
    <row r="19" spans="1:19" x14ac:dyDescent="0.25">
      <c r="A19" t="s">
        <v>32</v>
      </c>
      <c r="B19" t="s">
        <v>33</v>
      </c>
      <c r="C19" s="2">
        <v>9.8000000000000007</v>
      </c>
      <c r="D19" s="2">
        <v>10.4</v>
      </c>
      <c r="E19" s="6">
        <v>11.9</v>
      </c>
      <c r="F19" s="6">
        <v>8.1999999999999993</v>
      </c>
      <c r="G19" s="6">
        <v>7.2</v>
      </c>
      <c r="H19" s="6">
        <v>8.4</v>
      </c>
      <c r="I19" s="6">
        <v>11.9</v>
      </c>
      <c r="J19" s="6">
        <v>8.1999999999999993</v>
      </c>
      <c r="K19" s="6">
        <v>9.6999999999999993</v>
      </c>
      <c r="L19" s="6">
        <v>10.7</v>
      </c>
      <c r="M19" s="6">
        <v>10.1</v>
      </c>
      <c r="N19" s="6">
        <v>10.9</v>
      </c>
      <c r="O19" s="3">
        <f t="shared" si="1"/>
        <v>9.8999999999999986</v>
      </c>
      <c r="P19" s="4">
        <f t="shared" ca="1" si="2"/>
        <v>217</v>
      </c>
      <c r="Q19" s="4">
        <f t="shared" ca="1" si="0"/>
        <v>143</v>
      </c>
      <c r="R19" s="3">
        <f t="shared" ca="1" si="3"/>
        <v>10.038333333333334</v>
      </c>
      <c r="S19" s="5">
        <f t="shared" ca="1" si="4"/>
        <v>1.3973063973064193E-2</v>
      </c>
    </row>
    <row r="20" spans="1:19" x14ac:dyDescent="0.25">
      <c r="A20" t="s">
        <v>34</v>
      </c>
      <c r="B20" t="s">
        <v>35</v>
      </c>
      <c r="C20" s="2">
        <v>18.7</v>
      </c>
      <c r="D20" s="2">
        <v>21.6</v>
      </c>
      <c r="E20" s="6">
        <v>21.6</v>
      </c>
      <c r="F20" s="6">
        <v>17.899999999999999</v>
      </c>
      <c r="G20" s="6">
        <v>17.5</v>
      </c>
      <c r="H20" s="6">
        <v>15.5</v>
      </c>
      <c r="I20" s="6">
        <v>16.600000000000001</v>
      </c>
      <c r="J20" s="6">
        <v>15.7</v>
      </c>
      <c r="K20" s="40">
        <v>33.31</v>
      </c>
      <c r="L20" s="6">
        <v>20.6</v>
      </c>
      <c r="M20" s="6">
        <v>14.8</v>
      </c>
      <c r="N20" s="6">
        <v>53.9</v>
      </c>
      <c r="O20" s="3">
        <f t="shared" si="1"/>
        <v>17.7</v>
      </c>
      <c r="P20" s="4">
        <f t="shared" ca="1" si="2"/>
        <v>217</v>
      </c>
      <c r="Q20" s="4">
        <f t="shared" ca="1" si="0"/>
        <v>143</v>
      </c>
      <c r="R20" s="3">
        <f t="shared" ca="1" si="3"/>
        <v>19.851944444444445</v>
      </c>
      <c r="S20" s="5">
        <f t="shared" ca="1" si="4"/>
        <v>0.12157878217200269</v>
      </c>
    </row>
    <row r="21" spans="1:19" x14ac:dyDescent="0.25">
      <c r="A21" t="s">
        <v>36</v>
      </c>
      <c r="B21" t="s">
        <v>37</v>
      </c>
      <c r="C21" s="2">
        <v>13.4</v>
      </c>
      <c r="D21" s="2">
        <v>12.7</v>
      </c>
      <c r="E21" s="6">
        <v>12.8</v>
      </c>
      <c r="F21" s="6">
        <v>9.9</v>
      </c>
      <c r="G21" s="6">
        <v>8.8000000000000007</v>
      </c>
      <c r="H21" s="6">
        <v>12.2</v>
      </c>
      <c r="I21" s="6">
        <v>20.5</v>
      </c>
      <c r="J21" s="6">
        <v>10.4</v>
      </c>
      <c r="K21" s="6">
        <v>12.4</v>
      </c>
      <c r="L21" s="6">
        <v>12.2</v>
      </c>
      <c r="M21" s="6">
        <v>14.3</v>
      </c>
      <c r="N21" s="6"/>
      <c r="O21" s="3">
        <f t="shared" si="1"/>
        <v>12.2</v>
      </c>
      <c r="P21" s="4">
        <f t="shared" ca="1" si="2"/>
        <v>217</v>
      </c>
      <c r="Q21" s="4">
        <f t="shared" ca="1" si="0"/>
        <v>143</v>
      </c>
      <c r="R21" s="3">
        <f t="shared" ca="1" si="3"/>
        <v>13.121944444444445</v>
      </c>
      <c r="S21" s="5">
        <f t="shared" ca="1" si="4"/>
        <v>7.5569216757741531E-2</v>
      </c>
    </row>
    <row r="22" spans="1:19" x14ac:dyDescent="0.25">
      <c r="A22" t="s">
        <v>38</v>
      </c>
      <c r="B22" t="s">
        <v>39</v>
      </c>
      <c r="C22" s="2">
        <v>15.5</v>
      </c>
      <c r="D22" s="2">
        <v>16.899999999999999</v>
      </c>
      <c r="E22" s="6">
        <v>15.8</v>
      </c>
      <c r="F22" s="6">
        <v>15.8</v>
      </c>
      <c r="G22" s="6">
        <v>19.5</v>
      </c>
      <c r="H22" s="6">
        <v>17</v>
      </c>
      <c r="I22" s="6">
        <v>14.7</v>
      </c>
      <c r="J22" s="6">
        <v>14.6</v>
      </c>
      <c r="K22" s="6">
        <v>18.7</v>
      </c>
      <c r="L22" s="6"/>
      <c r="M22" s="6"/>
      <c r="N22" s="6"/>
      <c r="O22" s="3">
        <f t="shared" si="1"/>
        <v>15.8</v>
      </c>
      <c r="P22" s="4">
        <f t="shared" ca="1" si="2"/>
        <v>217</v>
      </c>
      <c r="Q22" s="4">
        <f t="shared" ca="1" si="0"/>
        <v>143</v>
      </c>
      <c r="R22" s="3">
        <f t="shared" ca="1" si="3"/>
        <v>16.056111111111111</v>
      </c>
      <c r="S22" s="5">
        <f t="shared" ca="1" si="4"/>
        <v>1.620956399437401E-2</v>
      </c>
    </row>
    <row r="23" spans="1:19" x14ac:dyDescent="0.25">
      <c r="A23" t="s">
        <v>40</v>
      </c>
      <c r="B23" t="s">
        <v>41</v>
      </c>
      <c r="C23" s="2">
        <v>16.2</v>
      </c>
      <c r="D23" s="2">
        <v>18</v>
      </c>
      <c r="E23" s="6">
        <v>23.3</v>
      </c>
      <c r="F23" s="6">
        <v>33.700000000000003</v>
      </c>
      <c r="G23" s="6">
        <v>12.3</v>
      </c>
      <c r="H23" s="6">
        <v>12.7</v>
      </c>
      <c r="I23" s="6">
        <v>27.4</v>
      </c>
      <c r="J23" s="6">
        <v>35.200000000000003</v>
      </c>
      <c r="K23" s="6">
        <v>19.2</v>
      </c>
      <c r="L23" s="6"/>
      <c r="M23" s="6"/>
      <c r="N23" s="6"/>
      <c r="O23" s="3">
        <f t="shared" si="1"/>
        <v>23.3</v>
      </c>
      <c r="P23" s="4">
        <f t="shared" ca="1" si="2"/>
        <v>217</v>
      </c>
      <c r="Q23" s="4">
        <f t="shared" ca="1" si="0"/>
        <v>143</v>
      </c>
      <c r="R23" s="3">
        <f t="shared" ca="1" si="3"/>
        <v>16.914999999999999</v>
      </c>
      <c r="S23" s="5">
        <f t="shared" ca="1" si="4"/>
        <v>-0.27403433476394856</v>
      </c>
    </row>
    <row r="24" spans="1:19" x14ac:dyDescent="0.25">
      <c r="A24" t="s">
        <v>42</v>
      </c>
      <c r="B24" t="s">
        <v>43</v>
      </c>
      <c r="C24" s="2">
        <v>10.5</v>
      </c>
      <c r="D24" s="2">
        <v>11.4</v>
      </c>
      <c r="E24" s="6">
        <v>12.9</v>
      </c>
      <c r="F24" s="6">
        <v>13.2</v>
      </c>
      <c r="G24" s="6">
        <v>8.5</v>
      </c>
      <c r="H24" s="6">
        <v>11.4</v>
      </c>
      <c r="I24" s="6">
        <v>31.7</v>
      </c>
      <c r="J24" s="6">
        <v>14.1</v>
      </c>
      <c r="K24" s="6">
        <v>10.1</v>
      </c>
      <c r="L24" s="6">
        <v>12.9</v>
      </c>
      <c r="M24" s="6">
        <v>12</v>
      </c>
      <c r="N24" s="6">
        <v>15.5</v>
      </c>
      <c r="O24" s="3">
        <f t="shared" si="1"/>
        <v>12.9</v>
      </c>
      <c r="P24" s="4">
        <f t="shared" ca="1" si="2"/>
        <v>217</v>
      </c>
      <c r="Q24" s="4">
        <f t="shared" ca="1" si="0"/>
        <v>143</v>
      </c>
      <c r="R24" s="3">
        <f t="shared" ca="1" si="3"/>
        <v>10.8575</v>
      </c>
      <c r="S24" s="5">
        <f t="shared" ca="1" si="4"/>
        <v>-0.15833333333333333</v>
      </c>
    </row>
    <row r="25" spans="1:19" x14ac:dyDescent="0.25">
      <c r="A25" t="s">
        <v>44</v>
      </c>
      <c r="B25" t="s">
        <v>45</v>
      </c>
      <c r="C25" s="2">
        <v>9.5</v>
      </c>
      <c r="D25" s="2">
        <v>10.8</v>
      </c>
      <c r="E25" s="6">
        <v>28.6</v>
      </c>
      <c r="F25" s="6"/>
      <c r="G25" s="6">
        <v>16.100000000000001</v>
      </c>
      <c r="H25" s="6">
        <v>7.3</v>
      </c>
      <c r="I25" s="6">
        <v>18.600000000000001</v>
      </c>
      <c r="J25" s="6">
        <v>9.1</v>
      </c>
      <c r="K25" s="6">
        <v>18.600000000000001</v>
      </c>
      <c r="L25" s="6">
        <v>9.6</v>
      </c>
      <c r="M25" s="6">
        <v>12.7</v>
      </c>
      <c r="N25" s="6">
        <v>17.3</v>
      </c>
      <c r="O25" s="3">
        <f t="shared" si="1"/>
        <v>16.100000000000001</v>
      </c>
      <c r="P25" s="4">
        <f t="shared" ca="1" si="2"/>
        <v>217</v>
      </c>
      <c r="Q25" s="4">
        <f t="shared" ca="1" si="0"/>
        <v>143</v>
      </c>
      <c r="R25" s="3">
        <f t="shared" ca="1" si="3"/>
        <v>10.016388888888889</v>
      </c>
      <c r="S25" s="5">
        <f t="shared" ca="1" si="4"/>
        <v>-0.37786404416839203</v>
      </c>
    </row>
    <row r="26" spans="1:19" x14ac:dyDescent="0.25">
      <c r="A26" t="s">
        <v>46</v>
      </c>
      <c r="B26" t="s">
        <v>47</v>
      </c>
      <c r="C26" s="2">
        <v>10</v>
      </c>
      <c r="D26" s="2">
        <v>10.7</v>
      </c>
      <c r="E26" s="6">
        <v>6.5</v>
      </c>
      <c r="F26" s="6">
        <v>11</v>
      </c>
      <c r="G26" s="6">
        <v>4.0999999999999996</v>
      </c>
      <c r="H26" s="6"/>
      <c r="I26" s="6">
        <v>7.6</v>
      </c>
      <c r="J26" s="6">
        <v>4.7</v>
      </c>
      <c r="K26" s="6">
        <v>5.6</v>
      </c>
      <c r="L26" s="6">
        <v>5.2</v>
      </c>
      <c r="M26" s="6">
        <v>11</v>
      </c>
      <c r="N26" s="6">
        <v>12.8</v>
      </c>
      <c r="O26" s="3">
        <f t="shared" si="1"/>
        <v>6.5</v>
      </c>
      <c r="P26" s="4">
        <f t="shared" ca="1" si="2"/>
        <v>217</v>
      </c>
      <c r="Q26" s="4">
        <f t="shared" ca="1" si="0"/>
        <v>143</v>
      </c>
      <c r="R26" s="3">
        <f t="shared" ca="1" si="3"/>
        <v>10.278055555555554</v>
      </c>
      <c r="S26" s="5">
        <f t="shared" ca="1" si="4"/>
        <v>0.58123931623931591</v>
      </c>
    </row>
    <row r="27" spans="1:19" x14ac:dyDescent="0.25">
      <c r="A27" t="s">
        <v>48</v>
      </c>
      <c r="B27" t="s">
        <v>49</v>
      </c>
      <c r="C27" s="2">
        <v>10.8</v>
      </c>
      <c r="D27" s="2">
        <v>11.5</v>
      </c>
      <c r="E27" s="6">
        <v>10</v>
      </c>
      <c r="F27" s="6">
        <v>8.3000000000000007</v>
      </c>
      <c r="G27" s="6">
        <v>7.3</v>
      </c>
      <c r="H27" s="6">
        <v>9.8000000000000007</v>
      </c>
      <c r="I27" s="6">
        <v>13.4</v>
      </c>
      <c r="J27" s="6">
        <v>5.9</v>
      </c>
      <c r="K27" s="6">
        <v>8.5</v>
      </c>
      <c r="L27" s="6">
        <v>9.9</v>
      </c>
      <c r="M27" s="6">
        <v>10</v>
      </c>
      <c r="N27" s="6"/>
      <c r="O27" s="3">
        <f t="shared" si="1"/>
        <v>9.8000000000000007</v>
      </c>
      <c r="P27" s="4">
        <f t="shared" ca="1" si="2"/>
        <v>217</v>
      </c>
      <c r="Q27" s="4">
        <f t="shared" ca="1" si="0"/>
        <v>143</v>
      </c>
      <c r="R27" s="3">
        <f t="shared" ca="1" si="3"/>
        <v>11.078055555555556</v>
      </c>
      <c r="S27" s="5">
        <f t="shared" ca="1" si="4"/>
        <v>0.1304138321995465</v>
      </c>
    </row>
    <row r="28" spans="1:19" x14ac:dyDescent="0.25">
      <c r="A28" t="s">
        <v>50</v>
      </c>
      <c r="B28" t="s">
        <v>51</v>
      </c>
      <c r="C28" s="2">
        <v>31.4</v>
      </c>
      <c r="D28" s="2">
        <v>1.1000000000000001</v>
      </c>
      <c r="E28" s="6">
        <v>214.9</v>
      </c>
      <c r="F28" s="6">
        <v>12.3</v>
      </c>
      <c r="G28" s="6">
        <v>11.8</v>
      </c>
      <c r="H28" s="6">
        <v>9.5</v>
      </c>
      <c r="I28" s="6">
        <v>20.5</v>
      </c>
      <c r="J28" s="6">
        <v>11.6</v>
      </c>
      <c r="K28" s="6"/>
      <c r="L28" s="6"/>
      <c r="M28" s="6"/>
      <c r="N28" s="6"/>
      <c r="O28" s="3">
        <f t="shared" si="1"/>
        <v>12.05</v>
      </c>
      <c r="P28" s="4">
        <f t="shared" ca="1" si="2"/>
        <v>217</v>
      </c>
      <c r="Q28" s="4">
        <f t="shared" ca="1" si="0"/>
        <v>143</v>
      </c>
      <c r="R28" s="3">
        <f t="shared" ca="1" si="3"/>
        <v>19.364166666666666</v>
      </c>
      <c r="S28" s="5">
        <f t="shared" ca="1" si="4"/>
        <v>0.60698478561549085</v>
      </c>
    </row>
    <row r="29" spans="1:19" x14ac:dyDescent="0.25">
      <c r="A29" t="s">
        <v>52</v>
      </c>
      <c r="B29" t="s">
        <v>53</v>
      </c>
      <c r="C29" s="2">
        <v>18.399999999999999</v>
      </c>
      <c r="D29" s="2">
        <v>19.7</v>
      </c>
      <c r="E29" s="6">
        <v>17.100000000000001</v>
      </c>
      <c r="F29" s="6">
        <v>18.2</v>
      </c>
      <c r="G29" s="6">
        <v>17.600000000000001</v>
      </c>
      <c r="H29" s="6">
        <v>15.4</v>
      </c>
      <c r="I29" s="6">
        <v>18.8</v>
      </c>
      <c r="J29" s="6">
        <v>9.6999999999999993</v>
      </c>
      <c r="K29" s="6">
        <v>18.600000000000001</v>
      </c>
      <c r="L29" s="6">
        <v>12.6</v>
      </c>
      <c r="M29" s="6">
        <v>14.9</v>
      </c>
      <c r="N29" s="6">
        <v>25.7</v>
      </c>
      <c r="O29" s="3">
        <f t="shared" si="1"/>
        <v>17.350000000000001</v>
      </c>
      <c r="P29" s="4">
        <f t="shared" ca="1" si="2"/>
        <v>217</v>
      </c>
      <c r="Q29" s="4">
        <f t="shared" ca="1" si="0"/>
        <v>143</v>
      </c>
      <c r="R29" s="3">
        <f t="shared" ca="1" si="3"/>
        <v>18.916388888888889</v>
      </c>
      <c r="S29" s="5">
        <f t="shared" ca="1" si="4"/>
        <v>9.0281780339417139E-2</v>
      </c>
    </row>
    <row r="30" spans="1:19" x14ac:dyDescent="0.25">
      <c r="A30" t="s">
        <v>54</v>
      </c>
      <c r="B30" t="s">
        <v>55</v>
      </c>
      <c r="C30" s="2">
        <v>13</v>
      </c>
      <c r="D30" s="2">
        <v>13.6</v>
      </c>
      <c r="E30" s="6">
        <v>10.4</v>
      </c>
      <c r="F30" s="6">
        <v>27</v>
      </c>
      <c r="G30" s="6">
        <v>45.8</v>
      </c>
      <c r="H30" s="6">
        <v>8.6999999999999993</v>
      </c>
      <c r="I30" s="6">
        <v>13.2</v>
      </c>
      <c r="J30" s="6">
        <v>13.1</v>
      </c>
      <c r="K30" s="6">
        <v>21.3</v>
      </c>
      <c r="L30" s="6">
        <v>18.899999999999999</v>
      </c>
      <c r="M30" s="6">
        <v>17.2</v>
      </c>
      <c r="N30" s="6">
        <v>14.5</v>
      </c>
      <c r="O30" s="3">
        <f t="shared" si="1"/>
        <v>15.85</v>
      </c>
      <c r="P30" s="4">
        <f t="shared" ca="1" si="2"/>
        <v>217</v>
      </c>
      <c r="Q30" s="4">
        <f t="shared" ca="1" si="0"/>
        <v>143</v>
      </c>
      <c r="R30" s="3">
        <f t="shared" ca="1" si="3"/>
        <v>13.238333333333333</v>
      </c>
      <c r="S30" s="5">
        <f t="shared" ca="1" si="4"/>
        <v>-0.16477392218717135</v>
      </c>
    </row>
    <row r="31" spans="1:19" x14ac:dyDescent="0.25">
      <c r="A31" t="s">
        <v>56</v>
      </c>
      <c r="B31" t="s">
        <v>57</v>
      </c>
      <c r="C31" s="2">
        <v>11.5</v>
      </c>
      <c r="D31" s="2">
        <v>12</v>
      </c>
      <c r="E31" s="6">
        <v>11.2</v>
      </c>
      <c r="F31" s="6">
        <v>8.1</v>
      </c>
      <c r="G31" s="6">
        <v>7.9</v>
      </c>
      <c r="H31" s="6">
        <v>9.6</v>
      </c>
      <c r="I31" s="6">
        <v>14.6</v>
      </c>
      <c r="J31" s="6">
        <v>6.3</v>
      </c>
      <c r="K31" s="6">
        <v>10.6</v>
      </c>
      <c r="L31" s="6">
        <v>9.4</v>
      </c>
      <c r="M31" s="6">
        <v>8.6</v>
      </c>
      <c r="N31" s="6">
        <v>8.3000000000000007</v>
      </c>
      <c r="O31" s="3">
        <f t="shared" si="1"/>
        <v>9</v>
      </c>
      <c r="P31" s="4">
        <f t="shared" ca="1" si="2"/>
        <v>217</v>
      </c>
      <c r="Q31" s="4">
        <f t="shared" ca="1" si="0"/>
        <v>143</v>
      </c>
      <c r="R31" s="3">
        <f t="shared" ca="1" si="3"/>
        <v>11.698611111111109</v>
      </c>
      <c r="S31" s="5">
        <f t="shared" ca="1" si="4"/>
        <v>0.29984567901234538</v>
      </c>
    </row>
    <row r="32" spans="1:19" x14ac:dyDescent="0.25">
      <c r="A32" t="s">
        <v>58</v>
      </c>
      <c r="B32" t="s">
        <v>59</v>
      </c>
      <c r="C32" s="2">
        <v>18.899999999999999</v>
      </c>
      <c r="D32" s="2">
        <v>20.7</v>
      </c>
      <c r="E32" s="6">
        <v>21.3</v>
      </c>
      <c r="F32" s="6">
        <v>18.100000000000001</v>
      </c>
      <c r="G32" s="6">
        <v>18.600000000000001</v>
      </c>
      <c r="H32" s="40">
        <v>19.510000000000002</v>
      </c>
      <c r="I32" s="6">
        <v>19.399999999999999</v>
      </c>
      <c r="J32" s="6">
        <v>18</v>
      </c>
      <c r="K32" s="6">
        <v>23.6</v>
      </c>
      <c r="L32" s="6">
        <v>22.3</v>
      </c>
      <c r="M32" s="6">
        <v>19.8</v>
      </c>
      <c r="N32" s="6">
        <v>20.8</v>
      </c>
      <c r="O32" s="3">
        <f t="shared" si="1"/>
        <v>19.655000000000001</v>
      </c>
      <c r="P32" s="4">
        <f t="shared" ca="1" si="2"/>
        <v>217</v>
      </c>
      <c r="Q32" s="4">
        <f t="shared" ca="1" si="0"/>
        <v>143</v>
      </c>
      <c r="R32" s="3">
        <f t="shared" ca="1" si="3"/>
        <v>19.615000000000002</v>
      </c>
      <c r="S32" s="5">
        <f t="shared" ca="1" si="4"/>
        <v>-2.0351055711014254E-3</v>
      </c>
    </row>
    <row r="33" spans="1:19" x14ac:dyDescent="0.25">
      <c r="A33" t="s">
        <v>60</v>
      </c>
      <c r="B33" t="s">
        <v>61</v>
      </c>
      <c r="C33" s="2">
        <v>21.4</v>
      </c>
      <c r="D33" s="2">
        <v>25.5</v>
      </c>
      <c r="E33" s="6">
        <v>27.1</v>
      </c>
      <c r="F33" s="6">
        <v>20.100000000000001</v>
      </c>
      <c r="G33" s="6">
        <v>18.600000000000001</v>
      </c>
      <c r="H33" s="6">
        <v>18</v>
      </c>
      <c r="I33" s="6">
        <v>18.100000000000001</v>
      </c>
      <c r="J33" s="6">
        <v>17.899999999999999</v>
      </c>
      <c r="K33" s="6">
        <v>23.2</v>
      </c>
      <c r="L33" s="6">
        <v>25.3</v>
      </c>
      <c r="M33" s="6">
        <v>21.6</v>
      </c>
      <c r="N33" s="6">
        <v>20.8</v>
      </c>
      <c r="O33" s="3">
        <f t="shared" si="1"/>
        <v>20.450000000000003</v>
      </c>
      <c r="P33" s="4">
        <f t="shared" ca="1" si="2"/>
        <v>217</v>
      </c>
      <c r="Q33" s="4">
        <f t="shared" ca="1" si="0"/>
        <v>143</v>
      </c>
      <c r="R33" s="3">
        <f t="shared" ca="1" si="3"/>
        <v>23.028611111111111</v>
      </c>
      <c r="S33" s="5">
        <f t="shared" ca="1" si="4"/>
        <v>0.12609345286606888</v>
      </c>
    </row>
    <row r="34" spans="1:19" x14ac:dyDescent="0.25">
      <c r="A34" t="s">
        <v>62</v>
      </c>
      <c r="B34" t="s">
        <v>63</v>
      </c>
      <c r="C34" s="2">
        <v>14.7</v>
      </c>
      <c r="D34" s="2">
        <v>17.7</v>
      </c>
      <c r="E34" s="6">
        <v>11.9</v>
      </c>
      <c r="F34" s="6">
        <v>45.5</v>
      </c>
      <c r="G34" s="6">
        <v>14</v>
      </c>
      <c r="H34" s="6">
        <v>19.5</v>
      </c>
      <c r="I34" s="6">
        <v>86.3</v>
      </c>
      <c r="J34" s="6">
        <v>24.3</v>
      </c>
      <c r="K34" s="6">
        <v>13</v>
      </c>
      <c r="L34" s="6">
        <v>10.3</v>
      </c>
      <c r="M34" s="6">
        <v>9.3000000000000007</v>
      </c>
      <c r="N34" s="6">
        <v>16.600000000000001</v>
      </c>
      <c r="O34" s="3">
        <f t="shared" si="1"/>
        <v>15.3</v>
      </c>
      <c r="P34" s="4">
        <f t="shared" ca="1" si="2"/>
        <v>217</v>
      </c>
      <c r="Q34" s="4">
        <f t="shared" ca="1" si="0"/>
        <v>143</v>
      </c>
      <c r="R34" s="3">
        <f t="shared" ca="1" si="3"/>
        <v>15.891666666666666</v>
      </c>
      <c r="S34" s="5">
        <f t="shared" ca="1" si="4"/>
        <v>3.8671023965141549E-2</v>
      </c>
    </row>
    <row r="35" spans="1:19" x14ac:dyDescent="0.25">
      <c r="A35" t="s">
        <v>64</v>
      </c>
      <c r="B35" t="s">
        <v>65</v>
      </c>
      <c r="C35" s="2">
        <v>13</v>
      </c>
      <c r="D35" s="2">
        <v>13</v>
      </c>
      <c r="E35" s="6">
        <v>13.7</v>
      </c>
      <c r="F35" s="6">
        <v>8.9</v>
      </c>
      <c r="G35" s="6">
        <v>10.1</v>
      </c>
      <c r="H35" s="6">
        <v>11.7</v>
      </c>
      <c r="I35" s="6">
        <v>17.100000000000001</v>
      </c>
      <c r="J35" s="6">
        <v>9.1</v>
      </c>
      <c r="K35" s="6">
        <v>12.7</v>
      </c>
      <c r="L35" s="6">
        <v>11.5</v>
      </c>
      <c r="M35" s="6">
        <v>9.8000000000000007</v>
      </c>
      <c r="N35" s="6">
        <v>8.3000000000000007</v>
      </c>
      <c r="O35" s="3">
        <f t="shared" si="1"/>
        <v>10.8</v>
      </c>
      <c r="P35" s="4">
        <f t="shared" ca="1" si="2"/>
        <v>217</v>
      </c>
      <c r="Q35" s="4">
        <f t="shared" ca="1" si="0"/>
        <v>143</v>
      </c>
      <c r="R35" s="3">
        <f t="shared" ca="1" si="3"/>
        <v>13</v>
      </c>
      <c r="S35" s="5">
        <f t="shared" ca="1" si="4"/>
        <v>0.20370370370370372</v>
      </c>
    </row>
    <row r="36" spans="1:19" x14ac:dyDescent="0.25">
      <c r="A36" t="s">
        <v>66</v>
      </c>
      <c r="B36" t="s">
        <v>67</v>
      </c>
      <c r="C36" s="2">
        <v>15.1</v>
      </c>
      <c r="D36" s="2">
        <v>17.3</v>
      </c>
      <c r="E36" s="6">
        <v>21.9</v>
      </c>
      <c r="F36" s="6">
        <v>16.3</v>
      </c>
      <c r="G36" s="6">
        <v>14.4</v>
      </c>
      <c r="H36" s="6">
        <v>17.3</v>
      </c>
      <c r="I36" s="6">
        <v>15</v>
      </c>
      <c r="J36" s="6">
        <v>9.4</v>
      </c>
      <c r="K36" s="6">
        <v>17</v>
      </c>
      <c r="L36" s="6">
        <v>18.5</v>
      </c>
      <c r="M36" s="6">
        <v>22.6</v>
      </c>
      <c r="N36" s="6">
        <v>22.8</v>
      </c>
      <c r="O36" s="3">
        <f t="shared" si="1"/>
        <v>17.149999999999999</v>
      </c>
      <c r="P36" s="4">
        <f t="shared" ca="1" si="2"/>
        <v>217</v>
      </c>
      <c r="Q36" s="4">
        <f t="shared" ref="Q36:Q68" ca="1" si="5">DAYS360(TODAY(),CONCATENATE("31.12.",Q$2))</f>
        <v>143</v>
      </c>
      <c r="R36" s="3">
        <f t="shared" ca="1" si="3"/>
        <v>15.973888888888888</v>
      </c>
      <c r="S36" s="5">
        <f t="shared" ca="1" si="4"/>
        <v>-6.8577907353417511E-2</v>
      </c>
    </row>
    <row r="37" spans="1:19" x14ac:dyDescent="0.25">
      <c r="A37" t="s">
        <v>68</v>
      </c>
      <c r="B37" t="s">
        <v>69</v>
      </c>
      <c r="C37" s="2">
        <v>10.199999999999999</v>
      </c>
      <c r="D37" s="2">
        <v>10.6</v>
      </c>
      <c r="E37" s="6">
        <v>10.8</v>
      </c>
      <c r="F37" s="6">
        <v>8.6999999999999993</v>
      </c>
      <c r="G37" s="6">
        <v>19.2</v>
      </c>
      <c r="H37" s="6">
        <v>11.9</v>
      </c>
      <c r="I37" s="6">
        <v>7.1</v>
      </c>
      <c r="J37" s="6">
        <v>16.899999999999999</v>
      </c>
      <c r="K37" s="6">
        <v>8.6</v>
      </c>
      <c r="L37" s="6">
        <v>9.3000000000000007</v>
      </c>
      <c r="M37" s="6">
        <v>11</v>
      </c>
      <c r="N37" s="6">
        <v>11.3</v>
      </c>
      <c r="O37" s="3">
        <f t="shared" si="1"/>
        <v>10.9</v>
      </c>
      <c r="P37" s="4">
        <f t="shared" ca="1" si="2"/>
        <v>217</v>
      </c>
      <c r="Q37" s="4">
        <f t="shared" ca="1" si="5"/>
        <v>143</v>
      </c>
      <c r="R37" s="3">
        <f t="shared" ca="1" si="3"/>
        <v>10.358888888888888</v>
      </c>
      <c r="S37" s="5">
        <f t="shared" ca="1" si="4"/>
        <v>-4.964322120285436E-2</v>
      </c>
    </row>
    <row r="38" spans="1:19" x14ac:dyDescent="0.25">
      <c r="A38" t="s">
        <v>70</v>
      </c>
      <c r="B38" t="s">
        <v>71</v>
      </c>
      <c r="C38" s="2">
        <v>10.199999999999999</v>
      </c>
      <c r="D38" s="2">
        <v>11.4</v>
      </c>
      <c r="E38" s="6">
        <v>12.5</v>
      </c>
      <c r="F38" s="6">
        <v>13.2</v>
      </c>
      <c r="G38" s="6">
        <v>13.9</v>
      </c>
      <c r="H38" s="6">
        <v>12.6</v>
      </c>
      <c r="I38" s="6">
        <v>12.9</v>
      </c>
      <c r="J38" s="6">
        <v>9.3000000000000007</v>
      </c>
      <c r="K38" s="6">
        <v>14.8</v>
      </c>
      <c r="L38" s="6">
        <v>15.7</v>
      </c>
      <c r="M38" s="6">
        <v>16.600000000000001</v>
      </c>
      <c r="N38" s="6">
        <v>19.600000000000001</v>
      </c>
      <c r="O38" s="3">
        <f t="shared" si="1"/>
        <v>13.55</v>
      </c>
      <c r="P38" s="4">
        <f t="shared" ca="1" si="2"/>
        <v>217</v>
      </c>
      <c r="Q38" s="4">
        <f t="shared" ca="1" si="5"/>
        <v>143</v>
      </c>
      <c r="R38" s="3">
        <f t="shared" ca="1" si="3"/>
        <v>10.676666666666666</v>
      </c>
      <c r="S38" s="5">
        <f t="shared" ca="1" si="4"/>
        <v>-0.21205412054120554</v>
      </c>
    </row>
    <row r="39" spans="1:19" x14ac:dyDescent="0.25">
      <c r="A39" t="s">
        <v>72</v>
      </c>
      <c r="B39" t="s">
        <v>73</v>
      </c>
      <c r="C39" s="2">
        <v>9.8000000000000007</v>
      </c>
      <c r="D39" s="2">
        <v>10.7</v>
      </c>
      <c r="E39" s="6">
        <v>13.3</v>
      </c>
      <c r="F39" s="6">
        <v>8.4</v>
      </c>
      <c r="G39" s="6">
        <v>7.4</v>
      </c>
      <c r="H39" s="6">
        <v>10.7</v>
      </c>
      <c r="I39" s="6">
        <v>18.399999999999999</v>
      </c>
      <c r="J39" s="6">
        <v>22.4</v>
      </c>
      <c r="K39" s="6">
        <v>9.6999999999999993</v>
      </c>
      <c r="L39" s="6">
        <v>11.6</v>
      </c>
      <c r="M39" s="6">
        <v>16.3</v>
      </c>
      <c r="N39" s="6">
        <v>24.5</v>
      </c>
      <c r="O39" s="3">
        <f t="shared" si="1"/>
        <v>12.45</v>
      </c>
      <c r="P39" s="4">
        <f t="shared" ca="1" si="2"/>
        <v>217</v>
      </c>
      <c r="Q39" s="4">
        <f t="shared" ca="1" si="5"/>
        <v>143</v>
      </c>
      <c r="R39" s="3">
        <f t="shared" ca="1" si="3"/>
        <v>10.157499999999999</v>
      </c>
      <c r="S39" s="5">
        <f t="shared" ca="1" si="4"/>
        <v>-0.18413654618473896</v>
      </c>
    </row>
    <row r="40" spans="1:19" x14ac:dyDescent="0.25">
      <c r="A40" t="s">
        <v>74</v>
      </c>
      <c r="B40" t="s">
        <v>75</v>
      </c>
      <c r="C40" s="2">
        <v>16.2</v>
      </c>
      <c r="D40" s="2">
        <v>17.8</v>
      </c>
      <c r="E40" s="6">
        <v>18.600000000000001</v>
      </c>
      <c r="F40" s="6">
        <v>17.8</v>
      </c>
      <c r="G40" s="6">
        <v>18.5</v>
      </c>
      <c r="H40" s="6">
        <v>12.8</v>
      </c>
      <c r="I40" s="6">
        <v>14.5</v>
      </c>
      <c r="J40" s="6">
        <v>12.7</v>
      </c>
      <c r="K40" s="6">
        <v>18.2</v>
      </c>
      <c r="L40" s="6">
        <v>17.600000000000001</v>
      </c>
      <c r="M40" s="6">
        <v>17.2</v>
      </c>
      <c r="N40" s="6">
        <v>22.1</v>
      </c>
      <c r="O40" s="3">
        <f t="shared" si="1"/>
        <v>17.700000000000003</v>
      </c>
      <c r="P40" s="4">
        <f t="shared" ca="1" si="2"/>
        <v>217</v>
      </c>
      <c r="Q40" s="4">
        <f t="shared" ca="1" si="5"/>
        <v>143</v>
      </c>
      <c r="R40" s="3">
        <f t="shared" ca="1" si="3"/>
        <v>16.835555555555555</v>
      </c>
      <c r="S40" s="5">
        <f t="shared" ca="1" si="4"/>
        <v>-4.883866917765245E-2</v>
      </c>
    </row>
    <row r="41" spans="1:19" x14ac:dyDescent="0.25">
      <c r="A41" t="s">
        <v>76</v>
      </c>
      <c r="B41" t="s">
        <v>77</v>
      </c>
      <c r="C41" s="2">
        <v>17.2</v>
      </c>
      <c r="D41" s="2">
        <v>18.7</v>
      </c>
      <c r="E41" s="6">
        <v>11.8</v>
      </c>
      <c r="F41" s="6">
        <v>16.399999999999999</v>
      </c>
      <c r="G41" s="6">
        <v>12.45</v>
      </c>
      <c r="H41" s="6">
        <v>5.27</v>
      </c>
      <c r="I41" s="6"/>
      <c r="J41" s="6"/>
      <c r="K41" s="6"/>
      <c r="L41" s="6"/>
      <c r="M41" s="6"/>
      <c r="N41" s="6"/>
      <c r="O41" s="3">
        <f t="shared" si="1"/>
        <v>12.125</v>
      </c>
      <c r="P41" s="4">
        <f t="shared" ca="1" si="2"/>
        <v>217</v>
      </c>
      <c r="Q41" s="4">
        <f t="shared" ca="1" si="5"/>
        <v>143</v>
      </c>
      <c r="R41" s="3">
        <f t="shared" ca="1" si="3"/>
        <v>17.795833333333334</v>
      </c>
      <c r="S41" s="5">
        <f t="shared" ca="1" si="4"/>
        <v>0.46769759450171833</v>
      </c>
    </row>
    <row r="42" spans="1:19" x14ac:dyDescent="0.25">
      <c r="A42" t="s">
        <v>78</v>
      </c>
      <c r="B42" t="s">
        <v>79</v>
      </c>
      <c r="C42" s="2">
        <v>15.8</v>
      </c>
      <c r="D42" s="2">
        <v>17.2</v>
      </c>
      <c r="E42" s="6">
        <v>17.399999999999999</v>
      </c>
      <c r="F42" s="6">
        <v>16.3</v>
      </c>
      <c r="G42" s="6">
        <v>18.8</v>
      </c>
      <c r="H42" s="6">
        <v>16.5</v>
      </c>
      <c r="I42" s="6">
        <v>15.2</v>
      </c>
      <c r="J42" s="6">
        <v>16.2</v>
      </c>
      <c r="K42" s="6">
        <v>29.2</v>
      </c>
      <c r="L42" s="6">
        <v>15.4</v>
      </c>
      <c r="M42" s="6">
        <v>16.399999999999999</v>
      </c>
      <c r="N42" s="6">
        <v>17.7</v>
      </c>
      <c r="O42" s="3">
        <f t="shared" si="1"/>
        <v>16.45</v>
      </c>
      <c r="P42" s="4">
        <f t="shared" ca="1" si="2"/>
        <v>217</v>
      </c>
      <c r="Q42" s="4">
        <f t="shared" ca="1" si="5"/>
        <v>143</v>
      </c>
      <c r="R42" s="3">
        <f t="shared" ca="1" si="3"/>
        <v>16.356111111111112</v>
      </c>
      <c r="S42" s="5">
        <f t="shared" ca="1" si="4"/>
        <v>-5.7075312394460065E-3</v>
      </c>
    </row>
    <row r="43" spans="1:19" x14ac:dyDescent="0.25">
      <c r="A43" t="s">
        <v>80</v>
      </c>
      <c r="B43" t="s">
        <v>81</v>
      </c>
      <c r="C43" s="2">
        <v>24.6</v>
      </c>
      <c r="D43" s="2">
        <v>26.7</v>
      </c>
      <c r="E43" s="6">
        <v>33.6</v>
      </c>
      <c r="F43" s="6">
        <v>20.2</v>
      </c>
      <c r="G43" s="6">
        <v>18.5</v>
      </c>
      <c r="H43" s="40">
        <v>10.54</v>
      </c>
      <c r="I43" s="6">
        <v>6.4</v>
      </c>
      <c r="J43" s="6">
        <v>8.3000000000000007</v>
      </c>
      <c r="K43" s="6">
        <v>38.5</v>
      </c>
      <c r="L43" s="6">
        <v>21.4</v>
      </c>
      <c r="M43" s="6">
        <v>15.1</v>
      </c>
      <c r="N43" s="6">
        <v>12.3</v>
      </c>
      <c r="O43" s="3">
        <f t="shared" si="1"/>
        <v>16.8</v>
      </c>
      <c r="P43" s="4">
        <f t="shared" ca="1" si="2"/>
        <v>217</v>
      </c>
      <c r="Q43" s="4">
        <f t="shared" ca="1" si="5"/>
        <v>143</v>
      </c>
      <c r="R43" s="3">
        <f t="shared" ca="1" si="3"/>
        <v>25.43416666666667</v>
      </c>
      <c r="S43" s="5">
        <f t="shared" ca="1" si="4"/>
        <v>0.51393849206349218</v>
      </c>
    </row>
    <row r="44" spans="1:19" x14ac:dyDescent="0.25">
      <c r="A44" t="s">
        <v>82</v>
      </c>
      <c r="B44" t="s">
        <v>83</v>
      </c>
      <c r="C44" s="2">
        <v>15.6</v>
      </c>
      <c r="D44" s="2">
        <v>16.7</v>
      </c>
      <c r="E44" s="6">
        <v>13.2</v>
      </c>
      <c r="F44" s="6">
        <v>15.1</v>
      </c>
      <c r="G44" s="6">
        <v>9.5</v>
      </c>
      <c r="H44" s="6">
        <v>10.8</v>
      </c>
      <c r="I44" s="6">
        <v>14.6</v>
      </c>
      <c r="J44" s="6">
        <v>14.5</v>
      </c>
      <c r="K44" s="6">
        <v>20.5</v>
      </c>
      <c r="L44" s="6">
        <v>19.3</v>
      </c>
      <c r="M44" s="6">
        <v>22</v>
      </c>
      <c r="N44" s="6">
        <v>37.6</v>
      </c>
      <c r="O44" s="3">
        <f t="shared" si="1"/>
        <v>14.85</v>
      </c>
      <c r="P44" s="4">
        <f t="shared" ca="1" si="2"/>
        <v>217</v>
      </c>
      <c r="Q44" s="4">
        <f t="shared" ca="1" si="5"/>
        <v>143</v>
      </c>
      <c r="R44" s="3">
        <f t="shared" ca="1" si="3"/>
        <v>16.036944444444444</v>
      </c>
      <c r="S44" s="5">
        <f t="shared" ca="1" si="4"/>
        <v>7.9928918817807615E-2</v>
      </c>
    </row>
    <row r="45" spans="1:19" x14ac:dyDescent="0.25">
      <c r="A45" t="s">
        <v>84</v>
      </c>
      <c r="B45" t="s">
        <v>85</v>
      </c>
      <c r="C45" s="2">
        <v>20.5</v>
      </c>
      <c r="D45" s="2">
        <v>24.8</v>
      </c>
      <c r="E45" s="6">
        <v>16</v>
      </c>
      <c r="F45" s="6">
        <v>15</v>
      </c>
      <c r="G45" s="6">
        <v>18.7</v>
      </c>
      <c r="H45" s="6">
        <v>13.1</v>
      </c>
      <c r="I45" s="6">
        <v>13.3</v>
      </c>
      <c r="J45" s="6">
        <v>13.8</v>
      </c>
      <c r="K45" s="6">
        <v>19.899999999999999</v>
      </c>
      <c r="L45" s="6">
        <v>19.2</v>
      </c>
      <c r="M45" s="6">
        <v>18.100000000000001</v>
      </c>
      <c r="N45" s="6"/>
      <c r="O45" s="3">
        <f t="shared" si="1"/>
        <v>16</v>
      </c>
      <c r="P45" s="4">
        <f t="shared" ca="1" si="2"/>
        <v>217</v>
      </c>
      <c r="Q45" s="4">
        <f t="shared" ca="1" si="5"/>
        <v>143</v>
      </c>
      <c r="R45" s="3">
        <f t="shared" ca="1" si="3"/>
        <v>22.208055555555553</v>
      </c>
      <c r="S45" s="5">
        <f t="shared" ca="1" si="4"/>
        <v>0.38800347222222209</v>
      </c>
    </row>
    <row r="46" spans="1:19" x14ac:dyDescent="0.25">
      <c r="A46" t="s">
        <v>86</v>
      </c>
      <c r="B46" t="s">
        <v>87</v>
      </c>
      <c r="C46" s="2">
        <v>19.3</v>
      </c>
      <c r="D46" s="2">
        <v>22.9</v>
      </c>
      <c r="E46" s="6">
        <v>21.1</v>
      </c>
      <c r="F46" s="6">
        <v>22.7</v>
      </c>
      <c r="G46" s="6">
        <v>23</v>
      </c>
      <c r="H46" s="6">
        <v>25.8</v>
      </c>
      <c r="I46" s="6">
        <v>21.7</v>
      </c>
      <c r="J46" s="6">
        <v>31</v>
      </c>
      <c r="K46" s="6">
        <v>38.1</v>
      </c>
      <c r="L46" s="6">
        <v>37.1</v>
      </c>
      <c r="M46" s="6">
        <v>66.5</v>
      </c>
      <c r="N46" s="6">
        <v>35.9</v>
      </c>
      <c r="O46" s="3">
        <f t="shared" si="1"/>
        <v>28.4</v>
      </c>
      <c r="P46" s="4">
        <f t="shared" ca="1" si="2"/>
        <v>217</v>
      </c>
      <c r="Q46" s="4">
        <f t="shared" ca="1" si="5"/>
        <v>143</v>
      </c>
      <c r="R46" s="3">
        <f t="shared" ca="1" si="3"/>
        <v>20.729999999999997</v>
      </c>
      <c r="S46" s="5">
        <f t="shared" ca="1" si="4"/>
        <v>-0.2700704225352113</v>
      </c>
    </row>
    <row r="47" spans="1:19" x14ac:dyDescent="0.25">
      <c r="A47" t="s">
        <v>88</v>
      </c>
      <c r="B47" t="s">
        <v>89</v>
      </c>
      <c r="C47" s="2">
        <v>15.1</v>
      </c>
      <c r="D47" s="2">
        <v>16.53</v>
      </c>
      <c r="E47" s="6">
        <v>14.8</v>
      </c>
      <c r="F47" s="6">
        <v>13.3</v>
      </c>
      <c r="G47" s="6">
        <v>20.2</v>
      </c>
      <c r="H47" s="6">
        <v>18.5</v>
      </c>
      <c r="I47" s="6">
        <v>17.600000000000001</v>
      </c>
      <c r="J47" s="6">
        <v>21.1</v>
      </c>
      <c r="K47" s="6">
        <v>23.3</v>
      </c>
      <c r="L47" s="6">
        <v>21.9</v>
      </c>
      <c r="M47" s="6">
        <v>22.9</v>
      </c>
      <c r="N47" s="6">
        <v>22.4</v>
      </c>
      <c r="O47" s="3">
        <f t="shared" si="1"/>
        <v>20.65</v>
      </c>
      <c r="P47" s="4">
        <f t="shared" ca="1" si="2"/>
        <v>217</v>
      </c>
      <c r="Q47" s="4">
        <f t="shared" ca="1" si="5"/>
        <v>143</v>
      </c>
      <c r="R47" s="3">
        <f t="shared" ca="1" si="3"/>
        <v>15.668027777777777</v>
      </c>
      <c r="S47" s="5">
        <f t="shared" ca="1" si="4"/>
        <v>-0.24125773473231105</v>
      </c>
    </row>
    <row r="48" spans="1:19" x14ac:dyDescent="0.25">
      <c r="A48" t="s">
        <v>90</v>
      </c>
      <c r="B48" t="s">
        <v>91</v>
      </c>
      <c r="C48" s="2">
        <v>18.5</v>
      </c>
      <c r="D48" s="2">
        <v>20</v>
      </c>
      <c r="E48" s="6">
        <v>19</v>
      </c>
      <c r="F48" s="6">
        <v>17.3</v>
      </c>
      <c r="G48" s="6">
        <v>16.3</v>
      </c>
      <c r="H48" s="6">
        <v>16.5</v>
      </c>
      <c r="I48" s="6">
        <v>16</v>
      </c>
      <c r="J48" s="6">
        <v>16.8</v>
      </c>
      <c r="K48" s="6">
        <v>21.8</v>
      </c>
      <c r="L48" s="6">
        <v>18.3</v>
      </c>
      <c r="M48" s="6">
        <v>24.7</v>
      </c>
      <c r="N48" s="6">
        <v>21.1</v>
      </c>
      <c r="O48" s="3">
        <f t="shared" si="1"/>
        <v>17.8</v>
      </c>
      <c r="P48" s="4">
        <f t="shared" ca="1" si="2"/>
        <v>217</v>
      </c>
      <c r="Q48" s="4">
        <f t="shared" ca="1" si="5"/>
        <v>143</v>
      </c>
      <c r="R48" s="3">
        <f t="shared" ca="1" si="3"/>
        <v>19.095833333333331</v>
      </c>
      <c r="S48" s="5">
        <f t="shared" ca="1" si="4"/>
        <v>7.2799625468164653E-2</v>
      </c>
    </row>
    <row r="49" spans="1:19" x14ac:dyDescent="0.25">
      <c r="A49" t="s">
        <v>92</v>
      </c>
      <c r="B49" t="s">
        <v>93</v>
      </c>
      <c r="C49" s="2">
        <v>19.2</v>
      </c>
      <c r="D49" s="2">
        <v>20.7</v>
      </c>
      <c r="E49" s="40">
        <v>18.36</v>
      </c>
      <c r="F49" s="6">
        <v>12.8</v>
      </c>
      <c r="G49" s="6">
        <v>16.899999999999999</v>
      </c>
      <c r="H49" s="6">
        <v>17</v>
      </c>
      <c r="I49" s="6">
        <v>14.8</v>
      </c>
      <c r="J49" s="6">
        <v>14.8</v>
      </c>
      <c r="K49" s="6">
        <v>19.3</v>
      </c>
      <c r="L49" s="40">
        <v>16.98</v>
      </c>
      <c r="M49" s="6">
        <v>21.2</v>
      </c>
      <c r="N49" s="6">
        <v>17.8</v>
      </c>
      <c r="O49" s="3">
        <f t="shared" si="1"/>
        <v>16.990000000000002</v>
      </c>
      <c r="P49" s="4">
        <f t="shared" ca="1" si="2"/>
        <v>217</v>
      </c>
      <c r="Q49" s="4">
        <f t="shared" ca="1" si="5"/>
        <v>143</v>
      </c>
      <c r="R49" s="3">
        <f t="shared" ca="1" si="3"/>
        <v>19.795833333333334</v>
      </c>
      <c r="S49" s="5">
        <f t="shared" ca="1" si="4"/>
        <v>0.1651461644104375</v>
      </c>
    </row>
    <row r="50" spans="1:19" x14ac:dyDescent="0.25">
      <c r="A50" t="s">
        <v>94</v>
      </c>
      <c r="B50" t="s">
        <v>95</v>
      </c>
      <c r="C50" s="2">
        <v>15.3</v>
      </c>
      <c r="D50" s="2">
        <v>17</v>
      </c>
      <c r="E50" s="6">
        <v>16.600000000000001</v>
      </c>
      <c r="F50" s="6">
        <v>16.2</v>
      </c>
      <c r="G50" s="6">
        <v>16.2</v>
      </c>
      <c r="H50" s="6">
        <v>14.9</v>
      </c>
      <c r="I50" s="6">
        <v>14.8</v>
      </c>
      <c r="J50" s="6">
        <v>13.1</v>
      </c>
      <c r="K50" s="6"/>
      <c r="L50" s="6"/>
      <c r="M50" s="6"/>
      <c r="N50" s="6"/>
      <c r="O50" s="3">
        <f t="shared" si="1"/>
        <v>15.55</v>
      </c>
      <c r="P50" s="4">
        <f t="shared" ca="1" si="2"/>
        <v>217</v>
      </c>
      <c r="Q50" s="4">
        <f t="shared" ca="1" si="5"/>
        <v>143</v>
      </c>
      <c r="R50" s="3">
        <f t="shared" ca="1" si="3"/>
        <v>15.975277777777777</v>
      </c>
      <c r="S50" s="5">
        <f t="shared" ca="1" si="4"/>
        <v>2.7349053233297393E-2</v>
      </c>
    </row>
    <row r="51" spans="1:19" x14ac:dyDescent="0.25">
      <c r="A51" t="s">
        <v>96</v>
      </c>
      <c r="B51" t="s">
        <v>97</v>
      </c>
      <c r="C51" s="2">
        <v>17.899999999999999</v>
      </c>
      <c r="D51" s="2">
        <v>19.899999999999999</v>
      </c>
      <c r="E51" s="6">
        <v>19.100000000000001</v>
      </c>
      <c r="F51" s="6">
        <v>16</v>
      </c>
      <c r="G51" s="6">
        <v>15.4</v>
      </c>
      <c r="H51" s="6">
        <v>13.9</v>
      </c>
      <c r="I51" s="6">
        <v>11.4</v>
      </c>
      <c r="J51" s="6">
        <v>15.8</v>
      </c>
      <c r="K51" s="6">
        <v>19</v>
      </c>
      <c r="L51" s="6">
        <v>19.899999999999999</v>
      </c>
      <c r="M51" s="6">
        <v>19.600000000000001</v>
      </c>
      <c r="N51" s="6">
        <v>22</v>
      </c>
      <c r="O51" s="3">
        <f t="shared" si="1"/>
        <v>17.5</v>
      </c>
      <c r="P51" s="4">
        <f t="shared" ca="1" si="2"/>
        <v>217</v>
      </c>
      <c r="Q51" s="4">
        <f t="shared" ca="1" si="5"/>
        <v>143</v>
      </c>
      <c r="R51" s="3">
        <f t="shared" ca="1" si="3"/>
        <v>18.694444444444443</v>
      </c>
      <c r="S51" s="5">
        <f t="shared" ca="1" si="4"/>
        <v>6.8253968253968234E-2</v>
      </c>
    </row>
    <row r="52" spans="1:19" x14ac:dyDescent="0.25">
      <c r="A52" t="s">
        <v>98</v>
      </c>
      <c r="B52" t="s">
        <v>99</v>
      </c>
      <c r="C52" s="2">
        <v>13.1</v>
      </c>
      <c r="D52" s="2">
        <v>13.6</v>
      </c>
      <c r="E52" s="6">
        <v>12.3</v>
      </c>
      <c r="F52" s="40">
        <v>19.32</v>
      </c>
      <c r="G52" s="40">
        <v>18.66</v>
      </c>
      <c r="H52" s="40">
        <v>16.28</v>
      </c>
      <c r="I52" s="40">
        <v>13.81</v>
      </c>
      <c r="J52" s="6">
        <v>15</v>
      </c>
      <c r="K52" s="6">
        <v>22.9</v>
      </c>
      <c r="L52" s="6">
        <v>17.5</v>
      </c>
      <c r="M52" s="6">
        <v>11.3</v>
      </c>
      <c r="N52" s="6">
        <v>14.3</v>
      </c>
      <c r="O52" s="3">
        <f t="shared" si="1"/>
        <v>15.64</v>
      </c>
      <c r="P52" s="4">
        <f t="shared" ca="1" si="2"/>
        <v>217</v>
      </c>
      <c r="Q52" s="4">
        <f t="shared" ca="1" si="5"/>
        <v>143</v>
      </c>
      <c r="R52" s="3">
        <f t="shared" ca="1" si="3"/>
        <v>13.298611111111111</v>
      </c>
      <c r="S52" s="5">
        <f t="shared" ca="1" si="4"/>
        <v>-0.14970517192384203</v>
      </c>
    </row>
    <row r="53" spans="1:19" x14ac:dyDescent="0.25">
      <c r="A53" t="s">
        <v>100</v>
      </c>
      <c r="B53" t="s">
        <v>101</v>
      </c>
      <c r="C53" s="2">
        <v>14.8</v>
      </c>
      <c r="D53" s="2">
        <v>15.73</v>
      </c>
      <c r="E53" s="6">
        <v>13.5</v>
      </c>
      <c r="F53" s="6">
        <v>13.5</v>
      </c>
      <c r="G53" s="6">
        <v>12.5</v>
      </c>
      <c r="H53" s="6">
        <v>14.4</v>
      </c>
      <c r="I53" s="6">
        <v>13.9</v>
      </c>
      <c r="J53" s="6">
        <v>16.2</v>
      </c>
      <c r="K53" s="6">
        <v>17.600000000000001</v>
      </c>
      <c r="L53" s="6">
        <v>17.2</v>
      </c>
      <c r="M53" s="6">
        <v>21.7</v>
      </c>
      <c r="N53" s="6">
        <v>25.9</v>
      </c>
      <c r="O53" s="3">
        <f t="shared" si="1"/>
        <v>15.3</v>
      </c>
      <c r="P53" s="4">
        <f t="shared" ca="1" si="2"/>
        <v>217</v>
      </c>
      <c r="Q53" s="4">
        <f t="shared" ca="1" si="5"/>
        <v>143</v>
      </c>
      <c r="R53" s="3">
        <f t="shared" ca="1" si="3"/>
        <v>15.169416666666667</v>
      </c>
      <c r="S53" s="5">
        <f t="shared" ca="1" si="4"/>
        <v>-8.5348583877995488E-3</v>
      </c>
    </row>
    <row r="54" spans="1:19" x14ac:dyDescent="0.25">
      <c r="A54" t="s">
        <v>102</v>
      </c>
      <c r="B54" t="s">
        <v>103</v>
      </c>
      <c r="C54" s="2">
        <v>19.2</v>
      </c>
      <c r="D54" s="2">
        <v>21.4</v>
      </c>
      <c r="E54" s="40">
        <v>20.6</v>
      </c>
      <c r="F54" s="6">
        <v>19.3</v>
      </c>
      <c r="G54" s="6">
        <v>16.399999999999999</v>
      </c>
      <c r="H54" s="6">
        <v>22.8</v>
      </c>
      <c r="I54" s="6">
        <v>16.899999999999999</v>
      </c>
      <c r="J54" s="6">
        <v>8.6999999999999993</v>
      </c>
      <c r="K54" s="6"/>
      <c r="L54" s="6"/>
      <c r="M54" s="6"/>
      <c r="N54" s="6"/>
      <c r="O54" s="3">
        <f t="shared" si="1"/>
        <v>18.100000000000001</v>
      </c>
      <c r="P54" s="4">
        <f t="shared" ca="1" si="2"/>
        <v>217</v>
      </c>
      <c r="Q54" s="4">
        <f t="shared" ca="1" si="5"/>
        <v>143</v>
      </c>
      <c r="R54" s="3">
        <f t="shared" ca="1" si="3"/>
        <v>20.073888888888888</v>
      </c>
      <c r="S54" s="5">
        <f t="shared" ca="1" si="4"/>
        <v>0.10905463474524235</v>
      </c>
    </row>
    <row r="55" spans="1:19" x14ac:dyDescent="0.25">
      <c r="A55" t="s">
        <v>104</v>
      </c>
      <c r="B55" t="s">
        <v>105</v>
      </c>
      <c r="C55" s="2">
        <v>35.200000000000003</v>
      </c>
      <c r="D55" s="2">
        <v>40.4</v>
      </c>
      <c r="E55" s="6">
        <v>35.9</v>
      </c>
      <c r="F55" s="6">
        <v>28.8</v>
      </c>
      <c r="G55" s="6">
        <v>29</v>
      </c>
      <c r="H55" s="6">
        <v>28.4</v>
      </c>
      <c r="I55" s="6">
        <v>29.9</v>
      </c>
      <c r="J55" s="6">
        <v>19.5</v>
      </c>
      <c r="K55" s="6">
        <v>35.4</v>
      </c>
      <c r="L55" s="6">
        <v>32.4</v>
      </c>
      <c r="M55" s="6">
        <v>27.8</v>
      </c>
      <c r="N55" s="6">
        <v>24</v>
      </c>
      <c r="O55" s="3">
        <f t="shared" si="1"/>
        <v>28.9</v>
      </c>
      <c r="P55" s="4">
        <f t="shared" ca="1" si="2"/>
        <v>217</v>
      </c>
      <c r="Q55" s="4">
        <f t="shared" ca="1" si="5"/>
        <v>143</v>
      </c>
      <c r="R55" s="3">
        <f t="shared" ca="1" si="3"/>
        <v>37.265555555555558</v>
      </c>
      <c r="S55" s="5">
        <f t="shared" ca="1" si="4"/>
        <v>0.28946559015763174</v>
      </c>
    </row>
    <row r="56" spans="1:19" x14ac:dyDescent="0.25">
      <c r="A56" t="s">
        <v>106</v>
      </c>
      <c r="B56" t="s">
        <v>107</v>
      </c>
      <c r="C56" s="2">
        <v>16</v>
      </c>
      <c r="D56" s="2">
        <v>18.7</v>
      </c>
      <c r="E56" s="6">
        <v>22.4</v>
      </c>
      <c r="F56" s="6">
        <v>19.7</v>
      </c>
      <c r="G56" s="6">
        <v>16.7</v>
      </c>
      <c r="H56" s="6">
        <v>19.399999999999999</v>
      </c>
      <c r="I56" s="6">
        <v>19.100000000000001</v>
      </c>
      <c r="J56" s="6">
        <v>13</v>
      </c>
      <c r="K56" s="6">
        <v>25.1</v>
      </c>
      <c r="L56" s="6">
        <v>28.6</v>
      </c>
      <c r="M56" s="6">
        <v>26.3</v>
      </c>
      <c r="N56" s="6">
        <v>21.7</v>
      </c>
      <c r="O56" s="3">
        <f t="shared" si="1"/>
        <v>20.7</v>
      </c>
      <c r="P56" s="4">
        <f t="shared" ca="1" si="2"/>
        <v>217</v>
      </c>
      <c r="Q56" s="4">
        <f t="shared" ca="1" si="5"/>
        <v>143</v>
      </c>
      <c r="R56" s="3">
        <f t="shared" ca="1" si="3"/>
        <v>17.072499999999998</v>
      </c>
      <c r="S56" s="5">
        <f t="shared" ca="1" si="4"/>
        <v>-0.17524154589371987</v>
      </c>
    </row>
    <row r="57" spans="1:19" x14ac:dyDescent="0.25">
      <c r="A57" t="s">
        <v>108</v>
      </c>
      <c r="B57" t="s">
        <v>109</v>
      </c>
      <c r="C57" s="2">
        <v>18.899999999999999</v>
      </c>
      <c r="D57" s="2">
        <v>20.6</v>
      </c>
      <c r="E57" s="6">
        <v>23</v>
      </c>
      <c r="F57" s="6">
        <v>17.8</v>
      </c>
      <c r="G57" s="6">
        <v>15.4</v>
      </c>
      <c r="H57" s="6">
        <v>18</v>
      </c>
      <c r="I57" s="6">
        <v>26</v>
      </c>
      <c r="J57" s="6">
        <v>8</v>
      </c>
      <c r="K57" s="6">
        <v>18</v>
      </c>
      <c r="L57" s="6">
        <v>18.7</v>
      </c>
      <c r="M57" s="6">
        <v>16</v>
      </c>
      <c r="N57" s="40">
        <v>13.38</v>
      </c>
      <c r="O57" s="3">
        <f t="shared" si="1"/>
        <v>17.899999999999999</v>
      </c>
      <c r="P57" s="4">
        <f t="shared" ca="1" si="2"/>
        <v>217</v>
      </c>
      <c r="Q57" s="4">
        <f t="shared" ca="1" si="5"/>
        <v>143</v>
      </c>
      <c r="R57" s="3">
        <f t="shared" ca="1" si="3"/>
        <v>19.575277777777778</v>
      </c>
      <c r="S57" s="5">
        <f t="shared" ca="1" si="4"/>
        <v>9.3590937306021305E-2</v>
      </c>
    </row>
    <row r="58" spans="1:19" x14ac:dyDescent="0.25">
      <c r="A58" t="s">
        <v>110</v>
      </c>
      <c r="B58" t="s">
        <v>111</v>
      </c>
      <c r="C58" s="2">
        <v>21.5</v>
      </c>
      <c r="D58" s="2">
        <v>19.100000000000001</v>
      </c>
      <c r="E58" s="6">
        <v>24.5</v>
      </c>
      <c r="F58" s="6">
        <v>21.1</v>
      </c>
      <c r="G58" s="6">
        <v>18.5</v>
      </c>
      <c r="H58" s="6">
        <v>20.6</v>
      </c>
      <c r="I58" s="6">
        <v>22.8</v>
      </c>
      <c r="J58" s="6">
        <v>17.899999999999999</v>
      </c>
      <c r="K58" s="6">
        <v>29.2</v>
      </c>
      <c r="L58" s="6">
        <v>25.5</v>
      </c>
      <c r="M58" s="6">
        <v>24.2</v>
      </c>
      <c r="N58" s="6">
        <v>22.7</v>
      </c>
      <c r="O58" s="3">
        <f t="shared" si="1"/>
        <v>22.75</v>
      </c>
      <c r="P58" s="4">
        <f t="shared" ca="1" si="2"/>
        <v>217</v>
      </c>
      <c r="Q58" s="4">
        <f t="shared" ca="1" si="5"/>
        <v>143</v>
      </c>
      <c r="R58" s="3">
        <f t="shared" ca="1" si="3"/>
        <v>20.546666666666667</v>
      </c>
      <c r="S58" s="5">
        <f t="shared" ca="1" si="4"/>
        <v>-9.6849816849816861E-2</v>
      </c>
    </row>
    <row r="59" spans="1:19" x14ac:dyDescent="0.25">
      <c r="A59" t="s">
        <v>112</v>
      </c>
      <c r="B59" t="s">
        <v>113</v>
      </c>
      <c r="C59" s="2">
        <v>17.100000000000001</v>
      </c>
      <c r="D59" s="2">
        <v>20</v>
      </c>
      <c r="E59" s="6">
        <v>27.4</v>
      </c>
      <c r="F59" s="6">
        <v>19</v>
      </c>
      <c r="G59" s="6">
        <v>13.2</v>
      </c>
      <c r="H59" s="6">
        <v>11.4</v>
      </c>
      <c r="I59" s="6">
        <v>13.7</v>
      </c>
      <c r="J59" s="6">
        <v>15.4</v>
      </c>
      <c r="K59" s="6">
        <v>16.100000000000001</v>
      </c>
      <c r="L59" s="6">
        <v>23.6</v>
      </c>
      <c r="M59" s="6">
        <v>43.8</v>
      </c>
      <c r="N59" s="6"/>
      <c r="O59" s="3">
        <f t="shared" si="1"/>
        <v>16.100000000000001</v>
      </c>
      <c r="P59" s="4">
        <f t="shared" ca="1" si="2"/>
        <v>217</v>
      </c>
      <c r="Q59" s="4">
        <f t="shared" ca="1" si="5"/>
        <v>143</v>
      </c>
      <c r="R59" s="3">
        <f t="shared" ca="1" si="3"/>
        <v>18.251944444444444</v>
      </c>
      <c r="S59" s="5">
        <f t="shared" ca="1" si="4"/>
        <v>0.13366114561766729</v>
      </c>
    </row>
    <row r="60" spans="1:19" x14ac:dyDescent="0.25">
      <c r="A60" t="s">
        <v>114</v>
      </c>
      <c r="B60" t="s">
        <v>115</v>
      </c>
      <c r="C60" s="2">
        <v>17.2</v>
      </c>
      <c r="D60" s="2">
        <v>18.5</v>
      </c>
      <c r="E60" s="6">
        <v>18.899999999999999</v>
      </c>
      <c r="F60" s="6">
        <v>21.1</v>
      </c>
      <c r="G60" s="6">
        <v>16.8</v>
      </c>
      <c r="H60" s="6">
        <v>16.100000000000001</v>
      </c>
      <c r="I60" s="6">
        <v>13.4</v>
      </c>
      <c r="J60" s="6">
        <v>15.7</v>
      </c>
      <c r="K60" s="6">
        <v>18.899999999999999</v>
      </c>
      <c r="L60" s="6">
        <v>13.6</v>
      </c>
      <c r="M60" s="6">
        <v>17.899999999999999</v>
      </c>
      <c r="N60" s="6">
        <v>16.2</v>
      </c>
      <c r="O60" s="3">
        <f t="shared" si="1"/>
        <v>16.5</v>
      </c>
      <c r="P60" s="4">
        <f t="shared" ca="1" si="2"/>
        <v>217</v>
      </c>
      <c r="Q60" s="4">
        <f t="shared" ca="1" si="5"/>
        <v>143</v>
      </c>
      <c r="R60" s="3">
        <f t="shared" ca="1" si="3"/>
        <v>17.716388888888886</v>
      </c>
      <c r="S60" s="5">
        <f t="shared" ca="1" si="4"/>
        <v>7.3720538720538631E-2</v>
      </c>
    </row>
    <row r="61" spans="1:19" x14ac:dyDescent="0.25">
      <c r="A61" t="s">
        <v>116</v>
      </c>
      <c r="B61" t="s">
        <v>117</v>
      </c>
      <c r="C61" s="2">
        <v>24.3</v>
      </c>
      <c r="D61" s="2">
        <v>28.74</v>
      </c>
      <c r="E61" s="6">
        <v>25.8</v>
      </c>
      <c r="F61" s="6">
        <v>15.1</v>
      </c>
      <c r="G61" s="6">
        <v>21.2</v>
      </c>
      <c r="H61" s="6">
        <v>25.1</v>
      </c>
      <c r="I61" s="6">
        <v>12.5</v>
      </c>
      <c r="J61" s="6">
        <v>11.8</v>
      </c>
      <c r="K61" s="6">
        <v>14.6</v>
      </c>
      <c r="L61" s="6"/>
      <c r="M61" s="6"/>
      <c r="N61" s="6"/>
      <c r="O61" s="3">
        <f t="shared" si="1"/>
        <v>15.1</v>
      </c>
      <c r="P61" s="4">
        <f t="shared" ca="1" si="2"/>
        <v>217</v>
      </c>
      <c r="Q61" s="4">
        <f t="shared" ca="1" si="5"/>
        <v>143</v>
      </c>
      <c r="R61" s="3">
        <f t="shared" ca="1" si="3"/>
        <v>26.063666666666666</v>
      </c>
      <c r="S61" s="5">
        <f t="shared" ca="1" si="4"/>
        <v>0.72607064017660039</v>
      </c>
    </row>
    <row r="62" spans="1:19" x14ac:dyDescent="0.25">
      <c r="A62" t="s">
        <v>118</v>
      </c>
      <c r="B62" t="s">
        <v>119</v>
      </c>
      <c r="C62" s="2">
        <v>16.2</v>
      </c>
      <c r="D62" s="2">
        <v>18.100000000000001</v>
      </c>
      <c r="E62" s="6">
        <v>14.3</v>
      </c>
      <c r="F62" s="6">
        <v>14.4</v>
      </c>
      <c r="G62" s="6">
        <v>14.1</v>
      </c>
      <c r="H62" s="6">
        <v>46.9</v>
      </c>
      <c r="I62" s="6">
        <v>13.4</v>
      </c>
      <c r="J62" s="6">
        <v>14.4</v>
      </c>
      <c r="K62" s="6">
        <v>13.6</v>
      </c>
      <c r="L62" s="6">
        <v>14</v>
      </c>
      <c r="M62" s="6">
        <v>17.7</v>
      </c>
      <c r="N62" s="6">
        <v>16.3</v>
      </c>
      <c r="O62" s="3">
        <f t="shared" si="1"/>
        <v>14.350000000000001</v>
      </c>
      <c r="P62" s="4">
        <f t="shared" ca="1" si="2"/>
        <v>217</v>
      </c>
      <c r="Q62" s="4">
        <f t="shared" ca="1" si="5"/>
        <v>143</v>
      </c>
      <c r="R62" s="3">
        <f t="shared" ca="1" si="3"/>
        <v>16.954722222222223</v>
      </c>
      <c r="S62" s="5">
        <f t="shared" ca="1" si="4"/>
        <v>0.18151374370886564</v>
      </c>
    </row>
    <row r="63" spans="1:19" x14ac:dyDescent="0.25">
      <c r="A63" t="s">
        <v>120</v>
      </c>
      <c r="B63" t="s">
        <v>121</v>
      </c>
      <c r="C63" s="2">
        <v>18.600000000000001</v>
      </c>
      <c r="D63" s="2">
        <v>19.600000000000001</v>
      </c>
      <c r="E63" s="6">
        <v>19.8</v>
      </c>
      <c r="F63" s="6">
        <v>15.3</v>
      </c>
      <c r="G63" s="6">
        <v>13.3</v>
      </c>
      <c r="H63" s="6">
        <v>16.2</v>
      </c>
      <c r="I63" s="6">
        <v>16.899999999999999</v>
      </c>
      <c r="J63" s="6">
        <v>16.3</v>
      </c>
      <c r="K63" s="6">
        <v>22.2</v>
      </c>
      <c r="L63" s="6"/>
      <c r="M63" s="6"/>
      <c r="N63" s="6"/>
      <c r="O63" s="3">
        <f t="shared" si="1"/>
        <v>16.3</v>
      </c>
      <c r="P63" s="4">
        <f t="shared" ca="1" si="2"/>
        <v>217</v>
      </c>
      <c r="Q63" s="4">
        <f t="shared" ca="1" si="5"/>
        <v>143</v>
      </c>
      <c r="R63" s="3">
        <f t="shared" ca="1" si="3"/>
        <v>18.997222222222224</v>
      </c>
      <c r="S63" s="5">
        <f t="shared" ca="1" si="4"/>
        <v>0.1654737559645536</v>
      </c>
    </row>
    <row r="64" spans="1:19" x14ac:dyDescent="0.25">
      <c r="A64" t="s">
        <v>122</v>
      </c>
      <c r="B64" t="s">
        <v>123</v>
      </c>
      <c r="C64" s="2">
        <v>15.5</v>
      </c>
      <c r="D64" s="2">
        <v>16.5</v>
      </c>
      <c r="E64" s="6">
        <v>17</v>
      </c>
      <c r="F64" s="6">
        <v>15.3</v>
      </c>
      <c r="G64" s="6">
        <v>18.100000000000001</v>
      </c>
      <c r="H64" s="6">
        <v>13.2</v>
      </c>
      <c r="I64" s="6">
        <v>12.7</v>
      </c>
      <c r="J64" s="6">
        <v>6.3</v>
      </c>
      <c r="K64" s="6">
        <v>16.2</v>
      </c>
      <c r="L64" s="6">
        <v>14.9</v>
      </c>
      <c r="M64" s="6">
        <v>14.8</v>
      </c>
      <c r="N64" s="6">
        <v>13.3</v>
      </c>
      <c r="O64" s="3">
        <f t="shared" si="1"/>
        <v>14.850000000000001</v>
      </c>
      <c r="P64" s="4">
        <f t="shared" ca="1" si="2"/>
        <v>217</v>
      </c>
      <c r="Q64" s="4">
        <f t="shared" ca="1" si="5"/>
        <v>143</v>
      </c>
      <c r="R64" s="3">
        <f t="shared" ca="1" si="3"/>
        <v>15.897222222222222</v>
      </c>
      <c r="S64" s="5">
        <f t="shared" ca="1" si="4"/>
        <v>7.0520014964459365E-2</v>
      </c>
    </row>
    <row r="65" spans="1:19" x14ac:dyDescent="0.25">
      <c r="A65" t="s">
        <v>124</v>
      </c>
      <c r="B65" t="s">
        <v>125</v>
      </c>
      <c r="C65" s="2">
        <v>10.7</v>
      </c>
      <c r="D65" s="2">
        <v>11.9</v>
      </c>
      <c r="E65" s="6">
        <v>8.3000000000000007</v>
      </c>
      <c r="F65" s="6">
        <v>17.3</v>
      </c>
      <c r="G65" s="6">
        <v>2.5</v>
      </c>
      <c r="H65" s="6">
        <v>5</v>
      </c>
      <c r="I65" s="6"/>
      <c r="J65" s="6"/>
      <c r="K65" s="6">
        <v>24.3</v>
      </c>
      <c r="L65" s="6">
        <v>13.3</v>
      </c>
      <c r="M65" s="6">
        <v>15.4</v>
      </c>
      <c r="N65" s="6">
        <v>17.600000000000001</v>
      </c>
      <c r="O65" s="3">
        <f t="shared" si="1"/>
        <v>14.350000000000001</v>
      </c>
      <c r="P65" s="4">
        <f t="shared" ca="1" si="2"/>
        <v>217</v>
      </c>
      <c r="Q65" s="4">
        <f t="shared" ca="1" si="5"/>
        <v>143</v>
      </c>
      <c r="R65" s="3">
        <f t="shared" ca="1" si="3"/>
        <v>11.176666666666666</v>
      </c>
      <c r="S65" s="5">
        <f t="shared" ca="1" si="4"/>
        <v>-0.22113821138211398</v>
      </c>
    </row>
    <row r="66" spans="1:19" x14ac:dyDescent="0.25">
      <c r="A66" t="s">
        <v>126</v>
      </c>
      <c r="B66" t="s">
        <v>127</v>
      </c>
      <c r="C66" s="2">
        <v>15.1</v>
      </c>
      <c r="D66" s="2">
        <v>17.100000000000001</v>
      </c>
      <c r="E66" s="6">
        <v>18.399999999999999</v>
      </c>
      <c r="F66" s="6">
        <v>14.7</v>
      </c>
      <c r="G66" s="6">
        <v>14.2</v>
      </c>
      <c r="H66" s="6">
        <v>17.899999999999999</v>
      </c>
      <c r="I66" s="6">
        <v>37.200000000000003</v>
      </c>
      <c r="J66" s="6">
        <v>22.9</v>
      </c>
      <c r="K66" s="6"/>
      <c r="L66" s="6"/>
      <c r="M66" s="6"/>
      <c r="N66" s="6"/>
      <c r="O66" s="3">
        <f t="shared" si="1"/>
        <v>18.149999999999999</v>
      </c>
      <c r="P66" s="4">
        <f t="shared" ca="1" si="2"/>
        <v>217</v>
      </c>
      <c r="Q66" s="4">
        <f t="shared" ca="1" si="5"/>
        <v>143</v>
      </c>
      <c r="R66" s="3">
        <f t="shared" ca="1" si="3"/>
        <v>15.894444444444444</v>
      </c>
      <c r="S66" s="5">
        <f t="shared" ca="1" si="4"/>
        <v>-0.12427303336394246</v>
      </c>
    </row>
    <row r="67" spans="1:19" x14ac:dyDescent="0.25">
      <c r="A67" t="s">
        <v>128</v>
      </c>
      <c r="B67" t="s">
        <v>129</v>
      </c>
      <c r="C67" s="2">
        <v>17.600000000000001</v>
      </c>
      <c r="D67" s="2">
        <v>18.3</v>
      </c>
      <c r="E67" s="6">
        <v>16.5</v>
      </c>
      <c r="F67" s="6">
        <v>15.8</v>
      </c>
      <c r="G67" s="6">
        <v>14</v>
      </c>
      <c r="H67" s="6">
        <v>15.4</v>
      </c>
      <c r="I67" s="6">
        <v>13</v>
      </c>
      <c r="J67" s="6">
        <v>15.8</v>
      </c>
      <c r="K67" s="6">
        <v>18.600000000000001</v>
      </c>
      <c r="L67" s="6">
        <v>17</v>
      </c>
      <c r="M67" s="6">
        <v>14.9</v>
      </c>
      <c r="N67" s="6">
        <v>16.3</v>
      </c>
      <c r="O67" s="3">
        <f t="shared" si="1"/>
        <v>15.8</v>
      </c>
      <c r="P67" s="4">
        <f t="shared" ca="1" si="2"/>
        <v>217</v>
      </c>
      <c r="Q67" s="4">
        <f t="shared" ca="1" si="5"/>
        <v>143</v>
      </c>
      <c r="R67" s="3">
        <f t="shared" ca="1" si="3"/>
        <v>17.878055555555555</v>
      </c>
      <c r="S67" s="5">
        <f t="shared" ca="1" si="4"/>
        <v>0.13152250351617423</v>
      </c>
    </row>
    <row r="68" spans="1:19" x14ac:dyDescent="0.25">
      <c r="A68" t="s">
        <v>130</v>
      </c>
      <c r="B68" t="s">
        <v>131</v>
      </c>
      <c r="C68" s="2">
        <v>17.2</v>
      </c>
      <c r="D68" s="2">
        <v>18.8</v>
      </c>
      <c r="E68" s="6">
        <v>18.7</v>
      </c>
      <c r="F68" s="6">
        <v>19</v>
      </c>
      <c r="G68" s="6">
        <v>18.3</v>
      </c>
      <c r="H68" s="6">
        <v>14.1</v>
      </c>
      <c r="I68" s="6">
        <v>14.1</v>
      </c>
      <c r="J68" s="6">
        <v>13.1</v>
      </c>
      <c r="K68" s="6">
        <v>16.8</v>
      </c>
      <c r="L68" s="6">
        <v>20.8</v>
      </c>
      <c r="M68" s="6">
        <v>18.100000000000001</v>
      </c>
      <c r="N68" s="6">
        <v>18.100000000000001</v>
      </c>
      <c r="O68" s="3">
        <f t="shared" si="1"/>
        <v>18.100000000000001</v>
      </c>
      <c r="P68" s="4">
        <f t="shared" ca="1" si="2"/>
        <v>217</v>
      </c>
      <c r="Q68" s="4">
        <f t="shared" ca="1" si="5"/>
        <v>143</v>
      </c>
      <c r="R68" s="3">
        <f t="shared" ca="1" si="3"/>
        <v>17.835555555555555</v>
      </c>
      <c r="S68" s="5">
        <f t="shared" ca="1" si="4"/>
        <v>-1.4610190300798132E-2</v>
      </c>
    </row>
  </sheetData>
  <mergeCells count="1">
    <mergeCell ref="P1:Q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8"/>
  <sheetViews>
    <sheetView zoomScale="60" zoomScaleNormal="60" workbookViewId="0"/>
  </sheetViews>
  <sheetFormatPr baseColWidth="10" defaultRowHeight="15" x14ac:dyDescent="0.25"/>
  <cols>
    <col min="1" max="1" width="28" customWidth="1"/>
    <col min="2" max="2" width="20.85546875" customWidth="1"/>
    <col min="3" max="6" width="12" bestFit="1" customWidth="1"/>
    <col min="7" max="9" width="11.5703125" bestFit="1" customWidth="1"/>
    <col min="10" max="11" width="12" bestFit="1" customWidth="1"/>
    <col min="12" max="12" width="11.5703125" bestFit="1" customWidth="1"/>
    <col min="13" max="13" width="11.140625" bestFit="1" customWidth="1"/>
    <col min="14" max="14" width="12" customWidth="1"/>
    <col min="15" max="15" width="14.140625" bestFit="1" customWidth="1"/>
    <col min="16" max="16" width="10.85546875" bestFit="1" customWidth="1"/>
    <col min="17" max="17" width="11.28515625" bestFit="1" customWidth="1"/>
    <col min="18" max="18" width="20.42578125" bestFit="1" customWidth="1"/>
    <col min="19" max="19" width="29.7109375" bestFit="1" customWidth="1"/>
    <col min="20" max="20" width="11.5703125" bestFit="1" customWidth="1"/>
    <col min="21" max="21" width="12.28515625" bestFit="1" customWidth="1"/>
    <col min="22" max="22" width="11.5703125" bestFit="1" customWidth="1"/>
    <col min="23" max="24" width="12" bestFit="1" customWidth="1"/>
    <col min="25" max="25" width="12.28515625" bestFit="1" customWidth="1"/>
    <col min="26" max="28" width="12" bestFit="1" customWidth="1"/>
    <col min="29" max="29" width="35.5703125" bestFit="1" customWidth="1"/>
  </cols>
  <sheetData>
    <row r="1" spans="1:2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60" t="s">
        <v>145</v>
      </c>
      <c r="Q1" s="60"/>
      <c r="R1" s="1"/>
      <c r="S1" s="1"/>
      <c r="T1" s="60" t="s">
        <v>158</v>
      </c>
      <c r="U1" s="60"/>
      <c r="V1" s="60"/>
      <c r="W1" s="60"/>
      <c r="X1" s="60"/>
      <c r="Y1" s="60"/>
      <c r="Z1" s="60"/>
      <c r="AA1" s="60"/>
      <c r="AB1" s="60"/>
    </row>
    <row r="2" spans="1:29" x14ac:dyDescent="0.25">
      <c r="A2" s="1"/>
      <c r="B2" s="1"/>
      <c r="C2" s="1">
        <v>2015</v>
      </c>
      <c r="D2" s="1">
        <v>2014</v>
      </c>
      <c r="E2" s="1">
        <v>2013</v>
      </c>
      <c r="F2" s="1">
        <v>2012</v>
      </c>
      <c r="G2" s="1">
        <v>2011</v>
      </c>
      <c r="H2" s="1">
        <v>2010</v>
      </c>
      <c r="I2" s="1">
        <v>2009</v>
      </c>
      <c r="J2" s="1">
        <v>2008</v>
      </c>
      <c r="K2" s="1">
        <v>2007</v>
      </c>
      <c r="L2" s="1">
        <v>2006</v>
      </c>
      <c r="M2" s="1">
        <v>2005</v>
      </c>
      <c r="N2" s="1">
        <v>2004</v>
      </c>
      <c r="O2" s="1"/>
      <c r="P2" s="1">
        <f>C2</f>
        <v>2015</v>
      </c>
      <c r="Q2" s="1">
        <f>D2</f>
        <v>2014</v>
      </c>
      <c r="R2" s="1"/>
      <c r="S2" s="1"/>
      <c r="T2" s="1">
        <f>E2</f>
        <v>2013</v>
      </c>
      <c r="U2" s="1">
        <f>F2</f>
        <v>2012</v>
      </c>
      <c r="V2" s="1">
        <f>G2</f>
        <v>2011</v>
      </c>
      <c r="W2" s="1">
        <f t="shared" ref="W2:AB2" si="0">H2</f>
        <v>2010</v>
      </c>
      <c r="X2" s="1">
        <f t="shared" si="0"/>
        <v>2009</v>
      </c>
      <c r="Y2" s="1">
        <f t="shared" si="0"/>
        <v>2008</v>
      </c>
      <c r="Z2" s="1">
        <f t="shared" si="0"/>
        <v>2007</v>
      </c>
      <c r="AA2" s="1">
        <f t="shared" si="0"/>
        <v>2006</v>
      </c>
      <c r="AB2" s="1">
        <f t="shared" si="0"/>
        <v>2005</v>
      </c>
    </row>
    <row r="3" spans="1:29" x14ac:dyDescent="0.25">
      <c r="A3" s="1" t="s">
        <v>0</v>
      </c>
      <c r="B3" s="1" t="s">
        <v>1</v>
      </c>
      <c r="C3" s="1" t="s">
        <v>142</v>
      </c>
      <c r="D3" s="1" t="s">
        <v>143</v>
      </c>
      <c r="E3" s="1" t="s">
        <v>132</v>
      </c>
      <c r="F3" s="1" t="s">
        <v>133</v>
      </c>
      <c r="G3" s="1" t="s">
        <v>134</v>
      </c>
      <c r="H3" s="1" t="s">
        <v>135</v>
      </c>
      <c r="I3" s="1" t="s">
        <v>136</v>
      </c>
      <c r="J3" s="1" t="s">
        <v>137</v>
      </c>
      <c r="K3" s="1" t="s">
        <v>138</v>
      </c>
      <c r="L3" s="1" t="s">
        <v>139</v>
      </c>
      <c r="M3" s="1" t="s">
        <v>140</v>
      </c>
      <c r="N3" s="1" t="s">
        <v>141</v>
      </c>
      <c r="O3" s="1" t="s">
        <v>156</v>
      </c>
      <c r="P3" s="1" t="s">
        <v>142</v>
      </c>
      <c r="Q3" s="1" t="s">
        <v>143</v>
      </c>
      <c r="R3" s="1" t="s">
        <v>216</v>
      </c>
      <c r="S3" s="1" t="s">
        <v>157</v>
      </c>
      <c r="T3" s="1" t="s">
        <v>132</v>
      </c>
      <c r="U3" s="1" t="s">
        <v>133</v>
      </c>
      <c r="V3" s="1" t="s">
        <v>134</v>
      </c>
      <c r="W3" s="1" t="s">
        <v>135</v>
      </c>
      <c r="X3" s="1" t="s">
        <v>136</v>
      </c>
      <c r="Y3" s="1" t="s">
        <v>137</v>
      </c>
      <c r="Z3" s="1" t="s">
        <v>138</v>
      </c>
      <c r="AA3" s="1" t="s">
        <v>139</v>
      </c>
      <c r="AB3" s="1" t="s">
        <v>140</v>
      </c>
      <c r="AC3" s="1" t="s">
        <v>159</v>
      </c>
    </row>
    <row r="4" spans="1:29" x14ac:dyDescent="0.25">
      <c r="A4" t="s">
        <v>2</v>
      </c>
      <c r="B4" t="s">
        <v>3</v>
      </c>
      <c r="C4" s="14">
        <v>32</v>
      </c>
      <c r="D4" s="14">
        <v>31.6</v>
      </c>
      <c r="E4" s="15">
        <v>30.64</v>
      </c>
      <c r="F4" s="15">
        <v>25.53</v>
      </c>
      <c r="G4" s="15">
        <v>23.98</v>
      </c>
      <c r="H4" s="15">
        <v>23.96</v>
      </c>
      <c r="I4" s="15">
        <v>21.76</v>
      </c>
      <c r="J4" s="15">
        <v>19.02</v>
      </c>
      <c r="K4" s="15">
        <v>18.04</v>
      </c>
      <c r="L4" s="15">
        <v>15.06</v>
      </c>
      <c r="M4" s="15">
        <v>12.04</v>
      </c>
      <c r="N4" s="15">
        <v>13.8</v>
      </c>
      <c r="O4" s="16">
        <f>AVERAGE(E4:N4)</f>
        <v>20.383000000000003</v>
      </c>
      <c r="P4" s="4">
        <f ca="1">360-Q4</f>
        <v>217</v>
      </c>
      <c r="Q4" s="4">
        <f t="shared" ref="Q4:Q67" ca="1" si="1">DAYS360(TODAY(),CONCATENATE("31.12.",Q$2))</f>
        <v>143</v>
      </c>
      <c r="R4" s="16">
        <f ca="1">(C4/360*P4)+(D4/360*Q4)</f>
        <v>31.841111111111111</v>
      </c>
      <c r="S4" s="5">
        <f ca="1">(R4/O4)-1</f>
        <v>0.56214056375955979</v>
      </c>
      <c r="T4" s="18">
        <f t="shared" ref="T4:AB19" si="2">IF(F4&lt;&gt;"",(E4/F4)-1,99.99999)</f>
        <v>0.20015667841754792</v>
      </c>
      <c r="U4" s="18">
        <f t="shared" si="2"/>
        <v>6.4637197664720647E-2</v>
      </c>
      <c r="V4" s="18">
        <f t="shared" si="2"/>
        <v>8.3472454090149917E-4</v>
      </c>
      <c r="W4" s="18">
        <f t="shared" si="2"/>
        <v>0.10110294117647056</v>
      </c>
      <c r="X4" s="18">
        <f t="shared" si="2"/>
        <v>0.14405888538380673</v>
      </c>
      <c r="Y4" s="18">
        <f t="shared" si="2"/>
        <v>5.4323725055432481E-2</v>
      </c>
      <c r="Z4" s="18">
        <f t="shared" si="2"/>
        <v>0.19787516600265587</v>
      </c>
      <c r="AA4" s="18">
        <f t="shared" si="2"/>
        <v>0.25083056478405319</v>
      </c>
      <c r="AB4" s="18">
        <f t="shared" si="2"/>
        <v>-0.12753623188405805</v>
      </c>
      <c r="AC4" s="5">
        <f>MIN(T4:AB4)</f>
        <v>-0.12753623188405805</v>
      </c>
    </row>
    <row r="5" spans="1:29" x14ac:dyDescent="0.25">
      <c r="A5" t="s">
        <v>4</v>
      </c>
      <c r="B5" t="s">
        <v>5</v>
      </c>
      <c r="C5" s="14">
        <v>35.200000000000003</v>
      </c>
      <c r="D5" s="14">
        <v>28.6</v>
      </c>
      <c r="E5" s="15">
        <v>22.37</v>
      </c>
      <c r="F5" s="15">
        <v>16.8</v>
      </c>
      <c r="G5" s="15">
        <v>14.02</v>
      </c>
      <c r="H5" s="15">
        <v>10.98</v>
      </c>
      <c r="I5" s="15">
        <v>8.5399999999999991</v>
      </c>
      <c r="J5" s="41"/>
      <c r="K5" s="41"/>
      <c r="L5" s="41"/>
      <c r="M5" s="41"/>
      <c r="N5" s="41"/>
      <c r="O5" s="16">
        <f t="shared" ref="O5:O68" si="3">AVERAGE(E5:N5)</f>
        <v>14.542000000000002</v>
      </c>
      <c r="P5" s="4">
        <f t="shared" ref="P5:P68" ca="1" si="4">360-Q5</f>
        <v>217</v>
      </c>
      <c r="Q5" s="4">
        <f t="shared" ca="1" si="1"/>
        <v>143</v>
      </c>
      <c r="R5" s="16">
        <f t="shared" ref="R5:R68" ca="1" si="5">(C5/360*P5)+(D5/360*Q5)</f>
        <v>32.578333333333333</v>
      </c>
      <c r="S5" s="5">
        <f t="shared" ref="S5:S68" ca="1" si="6">(R5/O5)-1</f>
        <v>1.2402924861321227</v>
      </c>
      <c r="T5" s="18">
        <f t="shared" si="2"/>
        <v>0.33154761904761898</v>
      </c>
      <c r="U5" s="18">
        <f t="shared" si="2"/>
        <v>0.19828815977175474</v>
      </c>
      <c r="V5" s="18">
        <f t="shared" si="2"/>
        <v>0.27686703096539156</v>
      </c>
      <c r="W5" s="18">
        <f t="shared" si="2"/>
        <v>0.28571428571428581</v>
      </c>
      <c r="X5" s="18">
        <f t="shared" si="2"/>
        <v>99.999989999999997</v>
      </c>
      <c r="Y5" s="18">
        <f t="shared" si="2"/>
        <v>99.999989999999997</v>
      </c>
      <c r="Z5" s="18">
        <f t="shared" si="2"/>
        <v>99.999989999999997</v>
      </c>
      <c r="AA5" s="18">
        <f t="shared" si="2"/>
        <v>99.999989999999997</v>
      </c>
      <c r="AB5" s="18">
        <f t="shared" si="2"/>
        <v>99.999989999999997</v>
      </c>
      <c r="AC5" s="5">
        <f t="shared" ref="AC5:AC68" si="7">MIN(T5:AB5)</f>
        <v>0.19828815977175474</v>
      </c>
    </row>
    <row r="6" spans="1:29" x14ac:dyDescent="0.25">
      <c r="A6" t="s">
        <v>6</v>
      </c>
      <c r="B6" t="s">
        <v>7</v>
      </c>
      <c r="C6" s="14">
        <v>21.3</v>
      </c>
      <c r="D6" s="14">
        <v>21</v>
      </c>
      <c r="E6" s="15">
        <v>19.399999999999999</v>
      </c>
      <c r="F6" s="15">
        <v>18.899999999999999</v>
      </c>
      <c r="G6" s="15">
        <v>17.21</v>
      </c>
      <c r="H6" s="15">
        <v>17.850000000000001</v>
      </c>
      <c r="I6" s="41"/>
      <c r="J6" s="41"/>
      <c r="K6" s="41"/>
      <c r="L6" s="41"/>
      <c r="M6" s="41"/>
      <c r="N6" s="41"/>
      <c r="O6" s="16">
        <f t="shared" si="3"/>
        <v>18.34</v>
      </c>
      <c r="P6" s="4">
        <f t="shared" ca="1" si="4"/>
        <v>217</v>
      </c>
      <c r="Q6" s="4">
        <f t="shared" ca="1" si="1"/>
        <v>143</v>
      </c>
      <c r="R6" s="16">
        <f t="shared" ca="1" si="5"/>
        <v>21.180833333333332</v>
      </c>
      <c r="S6" s="5">
        <f t="shared" ca="1" si="6"/>
        <v>0.15489821882951649</v>
      </c>
      <c r="T6" s="18">
        <f t="shared" si="2"/>
        <v>2.6455026455026509E-2</v>
      </c>
      <c r="U6" s="18">
        <f t="shared" si="2"/>
        <v>9.8198721673445455E-2</v>
      </c>
      <c r="V6" s="18">
        <f t="shared" si="2"/>
        <v>-3.5854341736694662E-2</v>
      </c>
      <c r="W6" s="18">
        <f t="shared" si="2"/>
        <v>99.999989999999997</v>
      </c>
      <c r="X6" s="18">
        <f t="shared" si="2"/>
        <v>99.999989999999997</v>
      </c>
      <c r="Y6" s="18">
        <f t="shared" si="2"/>
        <v>99.999989999999997</v>
      </c>
      <c r="Z6" s="18">
        <f t="shared" si="2"/>
        <v>99.999989999999997</v>
      </c>
      <c r="AA6" s="18">
        <f t="shared" si="2"/>
        <v>99.999989999999997</v>
      </c>
      <c r="AB6" s="18">
        <f t="shared" si="2"/>
        <v>99.999989999999997</v>
      </c>
      <c r="AC6" s="5">
        <f t="shared" si="7"/>
        <v>-3.5854341736694662E-2</v>
      </c>
    </row>
    <row r="7" spans="1:29" x14ac:dyDescent="0.25">
      <c r="A7" t="s">
        <v>8</v>
      </c>
      <c r="B7" t="s">
        <v>9</v>
      </c>
      <c r="C7" s="14">
        <v>48.2</v>
      </c>
      <c r="D7" s="14">
        <v>47</v>
      </c>
      <c r="E7" s="15">
        <v>53.67</v>
      </c>
      <c r="F7" s="15">
        <v>58.1</v>
      </c>
      <c r="G7" s="15">
        <v>57.44</v>
      </c>
      <c r="H7" s="15">
        <v>52.55</v>
      </c>
      <c r="I7" s="15">
        <v>59.02</v>
      </c>
      <c r="J7" s="15">
        <v>53.78</v>
      </c>
      <c r="K7" s="15">
        <v>69.84</v>
      </c>
      <c r="L7" s="15">
        <v>62.52</v>
      </c>
      <c r="M7" s="15">
        <v>59.21</v>
      </c>
      <c r="N7" s="15">
        <v>50.08</v>
      </c>
      <c r="O7" s="16">
        <f t="shared" si="3"/>
        <v>57.621000000000002</v>
      </c>
      <c r="P7" s="4">
        <f t="shared" ca="1" si="4"/>
        <v>217</v>
      </c>
      <c r="Q7" s="4">
        <f t="shared" ca="1" si="1"/>
        <v>143</v>
      </c>
      <c r="R7" s="16">
        <f t="shared" ca="1" si="5"/>
        <v>47.723333333333329</v>
      </c>
      <c r="S7" s="5">
        <f t="shared" ca="1" si="6"/>
        <v>-0.17177186558141433</v>
      </c>
      <c r="T7" s="18">
        <f t="shared" si="2"/>
        <v>-7.624784853700517E-2</v>
      </c>
      <c r="U7" s="18">
        <f t="shared" si="2"/>
        <v>1.149025069637899E-2</v>
      </c>
      <c r="V7" s="18">
        <f t="shared" si="2"/>
        <v>9.3054234062797336E-2</v>
      </c>
      <c r="W7" s="18">
        <f t="shared" si="2"/>
        <v>-0.10962385631989169</v>
      </c>
      <c r="X7" s="18">
        <f t="shared" si="2"/>
        <v>9.7433990330977993E-2</v>
      </c>
      <c r="Y7" s="18">
        <f t="shared" si="2"/>
        <v>-0.22995418098510889</v>
      </c>
      <c r="Z7" s="18">
        <f t="shared" si="2"/>
        <v>0.11708253358925136</v>
      </c>
      <c r="AA7" s="18">
        <f t="shared" si="2"/>
        <v>5.590271913528122E-2</v>
      </c>
      <c r="AB7" s="18">
        <f t="shared" si="2"/>
        <v>0.18230830670926523</v>
      </c>
      <c r="AC7" s="5">
        <f t="shared" si="7"/>
        <v>-0.22995418098510889</v>
      </c>
    </row>
    <row r="8" spans="1:29" x14ac:dyDescent="0.25">
      <c r="A8" t="s">
        <v>10</v>
      </c>
      <c r="B8" t="s">
        <v>11</v>
      </c>
      <c r="C8" s="14">
        <v>20.100000000000001</v>
      </c>
      <c r="D8" s="14">
        <v>17.899999999999999</v>
      </c>
      <c r="E8" s="15">
        <v>13.51</v>
      </c>
      <c r="F8" s="15">
        <v>13.04</v>
      </c>
      <c r="G8" s="15">
        <v>11.97</v>
      </c>
      <c r="H8" s="15">
        <v>11.59</v>
      </c>
      <c r="I8" s="15">
        <v>10.46</v>
      </c>
      <c r="J8" s="15">
        <v>9.76</v>
      </c>
      <c r="K8" s="15">
        <v>8.2100000000000009</v>
      </c>
      <c r="L8" s="15">
        <v>7.1</v>
      </c>
      <c r="M8" s="15">
        <v>5.13</v>
      </c>
      <c r="N8" s="15">
        <v>4.0999999999999996</v>
      </c>
      <c r="O8" s="16">
        <f t="shared" si="3"/>
        <v>9.4869999999999983</v>
      </c>
      <c r="P8" s="4">
        <f t="shared" ca="1" si="4"/>
        <v>217</v>
      </c>
      <c r="Q8" s="4">
        <f t="shared" ca="1" si="1"/>
        <v>143</v>
      </c>
      <c r="R8" s="16">
        <f t="shared" ca="1" si="5"/>
        <v>19.226111111111113</v>
      </c>
      <c r="S8" s="5">
        <f t="shared" ca="1" si="6"/>
        <v>1.0265743766323512</v>
      </c>
      <c r="T8" s="18">
        <f t="shared" si="2"/>
        <v>3.6042944785276143E-2</v>
      </c>
      <c r="U8" s="18">
        <f t="shared" si="2"/>
        <v>8.9390142021720909E-2</v>
      </c>
      <c r="V8" s="18">
        <f t="shared" si="2"/>
        <v>3.2786885245901676E-2</v>
      </c>
      <c r="W8" s="18">
        <f t="shared" si="2"/>
        <v>0.10803059273422555</v>
      </c>
      <c r="X8" s="18">
        <f t="shared" si="2"/>
        <v>7.1721311475410054E-2</v>
      </c>
      <c r="Y8" s="18">
        <f t="shared" si="2"/>
        <v>0.18879415347137618</v>
      </c>
      <c r="Z8" s="18">
        <f t="shared" si="2"/>
        <v>0.15633802816901432</v>
      </c>
      <c r="AA8" s="18">
        <f t="shared" si="2"/>
        <v>0.38401559454191037</v>
      </c>
      <c r="AB8" s="18">
        <f t="shared" si="2"/>
        <v>0.25121951219512195</v>
      </c>
      <c r="AC8" s="5">
        <f t="shared" si="7"/>
        <v>3.2786885245901676E-2</v>
      </c>
    </row>
    <row r="9" spans="1:29" x14ac:dyDescent="0.25">
      <c r="A9" t="s">
        <v>12</v>
      </c>
      <c r="B9" t="s">
        <v>13</v>
      </c>
      <c r="C9" s="14">
        <v>9.9600000000000009</v>
      </c>
      <c r="D9" s="14">
        <v>8.89</v>
      </c>
      <c r="E9" s="15">
        <v>8.15</v>
      </c>
      <c r="F9" s="15">
        <v>9.89</v>
      </c>
      <c r="G9" s="15">
        <v>9.11</v>
      </c>
      <c r="H9" s="15">
        <v>8.69</v>
      </c>
      <c r="I9" s="15">
        <v>6.76</v>
      </c>
      <c r="J9" s="15">
        <v>6.47</v>
      </c>
      <c r="K9" s="15">
        <v>9.16</v>
      </c>
      <c r="L9" s="15">
        <v>9.33</v>
      </c>
      <c r="M9" s="15">
        <v>8.98</v>
      </c>
      <c r="N9" s="15">
        <v>6.49</v>
      </c>
      <c r="O9" s="16">
        <f t="shared" si="3"/>
        <v>8.302999999999999</v>
      </c>
      <c r="P9" s="4">
        <f t="shared" ca="1" si="4"/>
        <v>217</v>
      </c>
      <c r="Q9" s="4">
        <f t="shared" ca="1" si="1"/>
        <v>143</v>
      </c>
      <c r="R9" s="16">
        <f t="shared" ca="1" si="5"/>
        <v>9.5349722222222226</v>
      </c>
      <c r="S9" s="5">
        <f t="shared" ca="1" si="6"/>
        <v>0.14837675806602713</v>
      </c>
      <c r="T9" s="18">
        <f t="shared" si="2"/>
        <v>-0.17593528816986859</v>
      </c>
      <c r="U9" s="18">
        <f t="shared" si="2"/>
        <v>8.5620197585071445E-2</v>
      </c>
      <c r="V9" s="18">
        <f t="shared" si="2"/>
        <v>4.833141542002295E-2</v>
      </c>
      <c r="W9" s="18">
        <f t="shared" si="2"/>
        <v>0.28550295857988162</v>
      </c>
      <c r="X9" s="18">
        <f t="shared" si="2"/>
        <v>4.4822256568779029E-2</v>
      </c>
      <c r="Y9" s="18">
        <f t="shared" si="2"/>
        <v>-0.29366812227074235</v>
      </c>
      <c r="Z9" s="18">
        <f t="shared" si="2"/>
        <v>-1.8220793140407254E-2</v>
      </c>
      <c r="AA9" s="18">
        <f t="shared" si="2"/>
        <v>3.897550111358572E-2</v>
      </c>
      <c r="AB9" s="18">
        <f t="shared" si="2"/>
        <v>0.3836671802773497</v>
      </c>
      <c r="AC9" s="5">
        <f t="shared" si="7"/>
        <v>-0.29366812227074235</v>
      </c>
    </row>
    <row r="10" spans="1:29" x14ac:dyDescent="0.25">
      <c r="A10" t="s">
        <v>14</v>
      </c>
      <c r="B10" t="s">
        <v>15</v>
      </c>
      <c r="C10" s="14">
        <v>6.06</v>
      </c>
      <c r="D10" s="14">
        <v>5.9</v>
      </c>
      <c r="E10" s="15">
        <v>7.2</v>
      </c>
      <c r="F10" s="15">
        <v>7.07</v>
      </c>
      <c r="G10" s="15">
        <v>9.24</v>
      </c>
      <c r="H10" s="15">
        <v>9.9600000000000009</v>
      </c>
      <c r="I10" s="15">
        <v>9.6199999999999992</v>
      </c>
      <c r="J10" s="15">
        <v>9.89</v>
      </c>
      <c r="K10" s="15">
        <v>10.37</v>
      </c>
      <c r="L10" s="15">
        <v>11.39</v>
      </c>
      <c r="M10" s="15">
        <v>11.81</v>
      </c>
      <c r="N10" s="15">
        <v>9.0399999999999991</v>
      </c>
      <c r="O10" s="16">
        <f t="shared" si="3"/>
        <v>9.5590000000000011</v>
      </c>
      <c r="P10" s="4">
        <f t="shared" ca="1" si="4"/>
        <v>217</v>
      </c>
      <c r="Q10" s="4">
        <f t="shared" ca="1" si="1"/>
        <v>143</v>
      </c>
      <c r="R10" s="16">
        <f t="shared" ca="1" si="5"/>
        <v>5.9964444444444442</v>
      </c>
      <c r="S10" s="5">
        <f t="shared" ca="1" si="6"/>
        <v>-0.37269123920447289</v>
      </c>
      <c r="T10" s="18">
        <f t="shared" si="2"/>
        <v>1.8387553041018467E-2</v>
      </c>
      <c r="U10" s="18">
        <f t="shared" si="2"/>
        <v>-0.23484848484848486</v>
      </c>
      <c r="V10" s="18">
        <f t="shared" si="2"/>
        <v>-7.2289156626506035E-2</v>
      </c>
      <c r="W10" s="18">
        <f t="shared" si="2"/>
        <v>3.5343035343035512E-2</v>
      </c>
      <c r="X10" s="18">
        <f t="shared" si="2"/>
        <v>-2.7300303336703857E-2</v>
      </c>
      <c r="Y10" s="18">
        <f t="shared" si="2"/>
        <v>-4.6287367405978608E-2</v>
      </c>
      <c r="Z10" s="18">
        <f t="shared" si="2"/>
        <v>-8.9552238805970297E-2</v>
      </c>
      <c r="AA10" s="18">
        <f t="shared" si="2"/>
        <v>-3.5563082133784896E-2</v>
      </c>
      <c r="AB10" s="18">
        <f t="shared" si="2"/>
        <v>0.30641592920353999</v>
      </c>
      <c r="AC10" s="5">
        <f t="shared" si="7"/>
        <v>-0.23484848484848486</v>
      </c>
    </row>
    <row r="11" spans="1:29" x14ac:dyDescent="0.25">
      <c r="A11" t="s">
        <v>16</v>
      </c>
      <c r="B11" t="s">
        <v>17</v>
      </c>
      <c r="C11" s="14">
        <v>16.899999999999999</v>
      </c>
      <c r="D11" s="14">
        <v>15.1</v>
      </c>
      <c r="E11" s="15">
        <v>13.06</v>
      </c>
      <c r="F11" s="15">
        <v>11.53</v>
      </c>
      <c r="G11" s="15">
        <v>10.34</v>
      </c>
      <c r="H11" s="15">
        <v>7.99</v>
      </c>
      <c r="I11" s="15">
        <v>6.91</v>
      </c>
      <c r="J11" s="15">
        <v>5.86</v>
      </c>
      <c r="K11" s="15">
        <v>5.22</v>
      </c>
      <c r="L11" s="15">
        <v>4.84</v>
      </c>
      <c r="M11" s="15">
        <v>4.57</v>
      </c>
      <c r="N11" s="15">
        <v>3.63</v>
      </c>
      <c r="O11" s="16">
        <f t="shared" si="3"/>
        <v>7.3949999999999987</v>
      </c>
      <c r="P11" s="4">
        <f t="shared" ca="1" si="4"/>
        <v>217</v>
      </c>
      <c r="Q11" s="4">
        <f t="shared" ca="1" si="1"/>
        <v>143</v>
      </c>
      <c r="R11" s="16">
        <f t="shared" ca="1" si="5"/>
        <v>16.184999999999999</v>
      </c>
      <c r="S11" s="5">
        <f t="shared" ca="1" si="6"/>
        <v>1.1886409736308319</v>
      </c>
      <c r="T11" s="18">
        <f t="shared" si="2"/>
        <v>0.1326973113616654</v>
      </c>
      <c r="U11" s="18">
        <f t="shared" si="2"/>
        <v>0.11508704061895547</v>
      </c>
      <c r="V11" s="18">
        <f t="shared" si="2"/>
        <v>0.29411764705882337</v>
      </c>
      <c r="W11" s="18">
        <f t="shared" si="2"/>
        <v>0.15629522431259035</v>
      </c>
      <c r="X11" s="18">
        <f t="shared" si="2"/>
        <v>0.17918088737201354</v>
      </c>
      <c r="Y11" s="18">
        <f t="shared" si="2"/>
        <v>0.12260536398467448</v>
      </c>
      <c r="Z11" s="18">
        <f t="shared" si="2"/>
        <v>7.8512396694214948E-2</v>
      </c>
      <c r="AA11" s="18">
        <f t="shared" si="2"/>
        <v>5.908096280087527E-2</v>
      </c>
      <c r="AB11" s="18">
        <f t="shared" si="2"/>
        <v>0.25895316804407731</v>
      </c>
      <c r="AC11" s="5">
        <f t="shared" si="7"/>
        <v>5.908096280087527E-2</v>
      </c>
    </row>
    <row r="12" spans="1:29" x14ac:dyDescent="0.25">
      <c r="A12" t="s">
        <v>18</v>
      </c>
      <c r="B12" t="s">
        <v>19</v>
      </c>
      <c r="C12" s="14">
        <v>38.799999999999997</v>
      </c>
      <c r="D12" s="14">
        <v>35.700000000000003</v>
      </c>
      <c r="E12" s="15">
        <v>31.91</v>
      </c>
      <c r="F12" s="15">
        <v>34.880000000000003</v>
      </c>
      <c r="G12" s="15">
        <v>34.49</v>
      </c>
      <c r="H12" s="15">
        <v>31.01</v>
      </c>
      <c r="I12" s="15">
        <v>29.15</v>
      </c>
      <c r="J12" s="15">
        <v>29.29</v>
      </c>
      <c r="K12" s="15">
        <v>31.72</v>
      </c>
      <c r="L12" s="15">
        <v>32.89</v>
      </c>
      <c r="M12" s="15">
        <v>30.6</v>
      </c>
      <c r="N12" s="15">
        <v>30.14</v>
      </c>
      <c r="O12" s="16">
        <f t="shared" si="3"/>
        <v>31.607999999999997</v>
      </c>
      <c r="P12" s="4">
        <f t="shared" ca="1" si="4"/>
        <v>217</v>
      </c>
      <c r="Q12" s="4">
        <f t="shared" ca="1" si="1"/>
        <v>143</v>
      </c>
      <c r="R12" s="16">
        <f t="shared" ca="1" si="5"/>
        <v>37.56861111111111</v>
      </c>
      <c r="S12" s="5">
        <f t="shared" ca="1" si="6"/>
        <v>0.18857919232824338</v>
      </c>
      <c r="T12" s="18">
        <f t="shared" si="2"/>
        <v>-8.5149082568807377E-2</v>
      </c>
      <c r="U12" s="18">
        <f t="shared" si="2"/>
        <v>1.1307625398666366E-2</v>
      </c>
      <c r="V12" s="18">
        <f t="shared" si="2"/>
        <v>0.11222186391486622</v>
      </c>
      <c r="W12" s="18">
        <f t="shared" si="2"/>
        <v>6.3807890222984609E-2</v>
      </c>
      <c r="X12" s="18">
        <f t="shared" si="2"/>
        <v>-4.7797883236599947E-3</v>
      </c>
      <c r="Y12" s="18">
        <f t="shared" si="2"/>
        <v>-7.6607818411097095E-2</v>
      </c>
      <c r="Z12" s="18">
        <f t="shared" si="2"/>
        <v>-3.5573122529644285E-2</v>
      </c>
      <c r="AA12" s="18">
        <f t="shared" si="2"/>
        <v>7.4836601307189499E-2</v>
      </c>
      <c r="AB12" s="18">
        <f t="shared" si="2"/>
        <v>1.5262110152621133E-2</v>
      </c>
      <c r="AC12" s="5">
        <f t="shared" si="7"/>
        <v>-8.5149082568807377E-2</v>
      </c>
    </row>
    <row r="13" spans="1:29" x14ac:dyDescent="0.25">
      <c r="A13" t="s">
        <v>20</v>
      </c>
      <c r="B13" t="s">
        <v>21</v>
      </c>
      <c r="C13" s="14">
        <v>125</v>
      </c>
      <c r="D13" s="14">
        <v>118</v>
      </c>
      <c r="E13" s="15">
        <v>109.71</v>
      </c>
      <c r="F13" s="15">
        <v>117.45</v>
      </c>
      <c r="G13" s="15">
        <v>98.65</v>
      </c>
      <c r="H13" s="15">
        <v>97.89</v>
      </c>
      <c r="I13" s="15">
        <v>88.49</v>
      </c>
      <c r="J13" s="15">
        <v>74.349999999999994</v>
      </c>
      <c r="K13" s="15">
        <v>106.07</v>
      </c>
      <c r="L13" s="15">
        <v>116.8</v>
      </c>
      <c r="M13" s="15">
        <v>97.26</v>
      </c>
      <c r="N13" s="15">
        <v>79.91</v>
      </c>
      <c r="O13" s="16">
        <f t="shared" si="3"/>
        <v>98.657999999999987</v>
      </c>
      <c r="P13" s="4">
        <f t="shared" ca="1" si="4"/>
        <v>217</v>
      </c>
      <c r="Q13" s="4">
        <f t="shared" ca="1" si="1"/>
        <v>143</v>
      </c>
      <c r="R13" s="16">
        <f t="shared" ca="1" si="5"/>
        <v>122.21944444444443</v>
      </c>
      <c r="S13" s="5">
        <f t="shared" ca="1" si="6"/>
        <v>0.23881940080322384</v>
      </c>
      <c r="T13" s="18">
        <f t="shared" si="2"/>
        <v>-6.5900383141762497E-2</v>
      </c>
      <c r="U13" s="18">
        <f t="shared" si="2"/>
        <v>0.19057273188038515</v>
      </c>
      <c r="V13" s="18">
        <f t="shared" si="2"/>
        <v>7.7638165287567951E-3</v>
      </c>
      <c r="W13" s="18">
        <f t="shared" si="2"/>
        <v>0.10622669228161374</v>
      </c>
      <c r="X13" s="18">
        <f t="shared" si="2"/>
        <v>0.19018157363819777</v>
      </c>
      <c r="Y13" s="18">
        <f t="shared" si="2"/>
        <v>-0.29904779862355046</v>
      </c>
      <c r="Z13" s="18">
        <f t="shared" si="2"/>
        <v>-9.186643835616437E-2</v>
      </c>
      <c r="AA13" s="18">
        <f t="shared" si="2"/>
        <v>0.20090479128110217</v>
      </c>
      <c r="AB13" s="18">
        <f t="shared" si="2"/>
        <v>0.21711925916656249</v>
      </c>
      <c r="AC13" s="5">
        <f t="shared" si="7"/>
        <v>-0.29904779862355046</v>
      </c>
    </row>
    <row r="14" spans="1:29" x14ac:dyDescent="0.25">
      <c r="A14" t="s">
        <v>22</v>
      </c>
      <c r="B14" t="s">
        <v>23</v>
      </c>
      <c r="C14" s="14">
        <v>165</v>
      </c>
      <c r="D14" s="14">
        <v>156</v>
      </c>
      <c r="E14" s="15">
        <v>144.88</v>
      </c>
      <c r="F14" s="15">
        <v>151.56</v>
      </c>
      <c r="G14" s="15">
        <v>128.62</v>
      </c>
      <c r="H14" s="15">
        <v>120.86</v>
      </c>
      <c r="I14" s="15">
        <v>111.7</v>
      </c>
      <c r="J14" s="15">
        <v>101.58</v>
      </c>
      <c r="K14" s="15">
        <v>114.53</v>
      </c>
      <c r="L14" s="15">
        <v>113.01</v>
      </c>
      <c r="M14" s="15">
        <v>105.36</v>
      </c>
      <c r="N14" s="15">
        <v>87.96</v>
      </c>
      <c r="O14" s="16">
        <f t="shared" si="3"/>
        <v>118.006</v>
      </c>
      <c r="P14" s="4">
        <f t="shared" ca="1" si="4"/>
        <v>217</v>
      </c>
      <c r="Q14" s="4">
        <f t="shared" ca="1" si="1"/>
        <v>143</v>
      </c>
      <c r="R14" s="16">
        <f t="shared" ca="1" si="5"/>
        <v>161.42500000000001</v>
      </c>
      <c r="S14" s="5">
        <f t="shared" ca="1" si="6"/>
        <v>0.36793891836008341</v>
      </c>
      <c r="T14" s="18">
        <f t="shared" si="2"/>
        <v>-4.4074953813671214E-2</v>
      </c>
      <c r="U14" s="18">
        <f t="shared" si="2"/>
        <v>0.17835484372570365</v>
      </c>
      <c r="V14" s="18">
        <f t="shared" si="2"/>
        <v>6.420651994042692E-2</v>
      </c>
      <c r="W14" s="18">
        <f t="shared" si="2"/>
        <v>8.2005371530886162E-2</v>
      </c>
      <c r="X14" s="18">
        <f t="shared" si="2"/>
        <v>9.9625910612325397E-2</v>
      </c>
      <c r="Y14" s="18">
        <f t="shared" si="2"/>
        <v>-0.11307081114118578</v>
      </c>
      <c r="Z14" s="18">
        <f t="shared" si="2"/>
        <v>1.345013715600385E-2</v>
      </c>
      <c r="AA14" s="18">
        <f t="shared" si="2"/>
        <v>7.2608200455581029E-2</v>
      </c>
      <c r="AB14" s="18">
        <f t="shared" si="2"/>
        <v>0.19781718963165074</v>
      </c>
      <c r="AC14" s="5">
        <f t="shared" si="7"/>
        <v>-0.11307081114118578</v>
      </c>
    </row>
    <row r="15" spans="1:29" x14ac:dyDescent="0.25">
      <c r="A15" t="s">
        <v>24</v>
      </c>
      <c r="B15" t="s">
        <v>25</v>
      </c>
      <c r="C15" s="14">
        <v>33.700000000000003</v>
      </c>
      <c r="D15" s="14">
        <v>30.9</v>
      </c>
      <c r="E15" s="15">
        <v>30.25</v>
      </c>
      <c r="F15" s="15">
        <v>28.09</v>
      </c>
      <c r="G15" s="15">
        <v>27.64</v>
      </c>
      <c r="H15" s="15">
        <v>24.67</v>
      </c>
      <c r="I15" s="15">
        <v>20.260000000000002</v>
      </c>
      <c r="J15" s="15">
        <v>20.38</v>
      </c>
      <c r="K15" s="15">
        <v>21.01</v>
      </c>
      <c r="L15" s="15">
        <v>18.59</v>
      </c>
      <c r="M15" s="15">
        <v>17.03</v>
      </c>
      <c r="N15" s="15">
        <v>14.56</v>
      </c>
      <c r="O15" s="16">
        <f t="shared" si="3"/>
        <v>22.247999999999998</v>
      </c>
      <c r="P15" s="4">
        <f t="shared" ca="1" si="4"/>
        <v>217</v>
      </c>
      <c r="Q15" s="4">
        <f t="shared" ca="1" si="1"/>
        <v>143</v>
      </c>
      <c r="R15" s="16">
        <f t="shared" ca="1" si="5"/>
        <v>32.587777777777774</v>
      </c>
      <c r="S15" s="5">
        <f t="shared" ca="1" si="6"/>
        <v>0.46475088896879613</v>
      </c>
      <c r="T15" s="18">
        <f t="shared" si="2"/>
        <v>7.6895692417230377E-2</v>
      </c>
      <c r="U15" s="18">
        <f t="shared" si="2"/>
        <v>1.6280752532561449E-2</v>
      </c>
      <c r="V15" s="18">
        <f t="shared" si="2"/>
        <v>0.12038913660316175</v>
      </c>
      <c r="W15" s="18">
        <f t="shared" si="2"/>
        <v>0.21767028627838103</v>
      </c>
      <c r="X15" s="18">
        <f t="shared" si="2"/>
        <v>-5.8881256133462845E-3</v>
      </c>
      <c r="Y15" s="18">
        <f t="shared" si="2"/>
        <v>-2.9985721085197592E-2</v>
      </c>
      <c r="Z15" s="18">
        <f t="shared" si="2"/>
        <v>0.13017751479289941</v>
      </c>
      <c r="AA15" s="18">
        <f t="shared" si="2"/>
        <v>9.1603053435114434E-2</v>
      </c>
      <c r="AB15" s="18">
        <f t="shared" si="2"/>
        <v>0.16964285714285721</v>
      </c>
      <c r="AC15" s="5">
        <f t="shared" si="7"/>
        <v>-2.9985721085197592E-2</v>
      </c>
    </row>
    <row r="16" spans="1:29" x14ac:dyDescent="0.25">
      <c r="A16" t="s">
        <v>26</v>
      </c>
      <c r="B16" t="s">
        <v>27</v>
      </c>
      <c r="C16" s="14">
        <v>31</v>
      </c>
      <c r="D16" s="14">
        <v>27.6</v>
      </c>
      <c r="E16" s="15">
        <v>25.16</v>
      </c>
      <c r="F16" s="15">
        <v>22.45</v>
      </c>
      <c r="G16" s="15">
        <v>23.3</v>
      </c>
      <c r="H16" s="15">
        <v>22.85</v>
      </c>
      <c r="I16" s="15">
        <v>22.92</v>
      </c>
      <c r="J16" s="15">
        <v>21.38</v>
      </c>
      <c r="K16" s="15">
        <v>22.01</v>
      </c>
      <c r="L16" s="41"/>
      <c r="M16" s="41"/>
      <c r="N16" s="41"/>
      <c r="O16" s="16">
        <f t="shared" si="3"/>
        <v>22.867142857142856</v>
      </c>
      <c r="P16" s="4">
        <f t="shared" ca="1" si="4"/>
        <v>217</v>
      </c>
      <c r="Q16" s="4">
        <f t="shared" ca="1" si="1"/>
        <v>143</v>
      </c>
      <c r="R16" s="16">
        <f t="shared" ca="1" si="5"/>
        <v>29.649444444444445</v>
      </c>
      <c r="S16" s="5">
        <f t="shared" ca="1" si="6"/>
        <v>0.29659593372344051</v>
      </c>
      <c r="T16" s="18">
        <f t="shared" si="2"/>
        <v>0.12071269487750569</v>
      </c>
      <c r="U16" s="18">
        <f t="shared" si="2"/>
        <v>-3.6480686695279041E-2</v>
      </c>
      <c r="V16" s="18">
        <f t="shared" si="2"/>
        <v>1.9693654266958349E-2</v>
      </c>
      <c r="W16" s="18">
        <f t="shared" si="2"/>
        <v>-3.054101221640515E-3</v>
      </c>
      <c r="X16" s="18">
        <f t="shared" si="2"/>
        <v>7.2029934518241578E-2</v>
      </c>
      <c r="Y16" s="18">
        <f t="shared" si="2"/>
        <v>-2.8623353021353992E-2</v>
      </c>
      <c r="Z16" s="18">
        <f t="shared" si="2"/>
        <v>99.999989999999997</v>
      </c>
      <c r="AA16" s="18">
        <f t="shared" si="2"/>
        <v>99.999989999999997</v>
      </c>
      <c r="AB16" s="18">
        <f t="shared" si="2"/>
        <v>99.999989999999997</v>
      </c>
      <c r="AC16" s="5">
        <f t="shared" si="7"/>
        <v>-3.6480686695279041E-2</v>
      </c>
    </row>
    <row r="17" spans="1:29" x14ac:dyDescent="0.25">
      <c r="A17" t="s">
        <v>28</v>
      </c>
      <c r="B17" t="s">
        <v>29</v>
      </c>
      <c r="C17" s="14">
        <v>6.72</v>
      </c>
      <c r="D17" s="14">
        <v>6.58</v>
      </c>
      <c r="E17" s="15">
        <v>6.23</v>
      </c>
      <c r="F17" s="15">
        <v>7.23</v>
      </c>
      <c r="G17" s="15">
        <v>8.58</v>
      </c>
      <c r="H17" s="15">
        <v>9.01</v>
      </c>
      <c r="I17" s="15">
        <v>8.42</v>
      </c>
      <c r="J17" s="15">
        <v>7.2</v>
      </c>
      <c r="K17" s="15">
        <v>8.83</v>
      </c>
      <c r="L17" s="15">
        <v>6.71</v>
      </c>
      <c r="M17" s="15">
        <v>6.36</v>
      </c>
      <c r="N17" s="15">
        <v>6.27</v>
      </c>
      <c r="O17" s="16">
        <f t="shared" si="3"/>
        <v>7.484</v>
      </c>
      <c r="P17" s="4">
        <f t="shared" ca="1" si="4"/>
        <v>217</v>
      </c>
      <c r="Q17" s="4">
        <f t="shared" ca="1" si="1"/>
        <v>143</v>
      </c>
      <c r="R17" s="16">
        <f t="shared" ca="1" si="5"/>
        <v>6.6643888888888885</v>
      </c>
      <c r="S17" s="5">
        <f t="shared" ca="1" si="6"/>
        <v>-0.10951511372409295</v>
      </c>
      <c r="T17" s="18">
        <f t="shared" si="2"/>
        <v>-0.13831258644536648</v>
      </c>
      <c r="U17" s="18">
        <f t="shared" si="2"/>
        <v>-0.15734265734265729</v>
      </c>
      <c r="V17" s="18">
        <f t="shared" si="2"/>
        <v>-4.7724750277469474E-2</v>
      </c>
      <c r="W17" s="18">
        <f t="shared" si="2"/>
        <v>7.0071258907363321E-2</v>
      </c>
      <c r="X17" s="18">
        <f t="shared" si="2"/>
        <v>0.16944444444444451</v>
      </c>
      <c r="Y17" s="18">
        <f t="shared" si="2"/>
        <v>-0.18459796149490371</v>
      </c>
      <c r="Z17" s="18">
        <f t="shared" si="2"/>
        <v>0.31594634873323391</v>
      </c>
      <c r="AA17" s="18">
        <f t="shared" si="2"/>
        <v>5.5031446540880546E-2</v>
      </c>
      <c r="AB17" s="18">
        <f t="shared" si="2"/>
        <v>1.4354066985646119E-2</v>
      </c>
      <c r="AC17" s="5">
        <f t="shared" si="7"/>
        <v>-0.18459796149490371</v>
      </c>
    </row>
    <row r="18" spans="1:29" x14ac:dyDescent="0.25">
      <c r="A18" t="s">
        <v>30</v>
      </c>
      <c r="B18" t="s">
        <v>31</v>
      </c>
      <c r="C18" s="14">
        <v>5.13</v>
      </c>
      <c r="D18" s="14">
        <v>4.92</v>
      </c>
      <c r="E18" s="15">
        <v>4.6500000000000004</v>
      </c>
      <c r="F18" s="15">
        <v>4.5</v>
      </c>
      <c r="G18" s="15">
        <v>4.8</v>
      </c>
      <c r="H18" s="15">
        <v>5.41</v>
      </c>
      <c r="I18" s="15">
        <v>4.7699999999999996</v>
      </c>
      <c r="J18" s="15">
        <v>3.66</v>
      </c>
      <c r="K18" s="15">
        <v>4.22</v>
      </c>
      <c r="L18" s="15">
        <v>3.49</v>
      </c>
      <c r="M18" s="15">
        <v>2.59</v>
      </c>
      <c r="N18" s="15">
        <v>3.38</v>
      </c>
      <c r="O18" s="16">
        <f t="shared" si="3"/>
        <v>4.1470000000000002</v>
      </c>
      <c r="P18" s="4">
        <f t="shared" ca="1" si="4"/>
        <v>217</v>
      </c>
      <c r="Q18" s="4">
        <f t="shared" ca="1" si="1"/>
        <v>143</v>
      </c>
      <c r="R18" s="16">
        <f t="shared" ca="1" si="5"/>
        <v>5.0465833333333334</v>
      </c>
      <c r="S18" s="5">
        <f t="shared" ca="1" si="6"/>
        <v>0.21692388071698421</v>
      </c>
      <c r="T18" s="18">
        <f t="shared" si="2"/>
        <v>3.3333333333333437E-2</v>
      </c>
      <c r="U18" s="18">
        <f t="shared" si="2"/>
        <v>-6.25E-2</v>
      </c>
      <c r="V18" s="18">
        <f t="shared" si="2"/>
        <v>-0.11275415896487995</v>
      </c>
      <c r="W18" s="18">
        <f t="shared" si="2"/>
        <v>0.13417190775681354</v>
      </c>
      <c r="X18" s="18">
        <f t="shared" si="2"/>
        <v>0.30327868852458995</v>
      </c>
      <c r="Y18" s="18">
        <f t="shared" si="2"/>
        <v>-0.13270142180094779</v>
      </c>
      <c r="Z18" s="18">
        <f t="shared" si="2"/>
        <v>0.20916905444126055</v>
      </c>
      <c r="AA18" s="18">
        <f t="shared" si="2"/>
        <v>0.34749034749034768</v>
      </c>
      <c r="AB18" s="18">
        <f t="shared" si="2"/>
        <v>-0.23372781065088755</v>
      </c>
      <c r="AC18" s="5">
        <f t="shared" si="7"/>
        <v>-0.23372781065088755</v>
      </c>
    </row>
    <row r="19" spans="1:29" x14ac:dyDescent="0.25">
      <c r="A19" t="s">
        <v>32</v>
      </c>
      <c r="B19" t="s">
        <v>33</v>
      </c>
      <c r="C19" s="14">
        <v>37.6</v>
      </c>
      <c r="D19" s="14">
        <v>34.9</v>
      </c>
      <c r="E19" s="15">
        <v>30.55</v>
      </c>
      <c r="F19" s="15">
        <v>30.82</v>
      </c>
      <c r="G19" s="15">
        <v>28.78</v>
      </c>
      <c r="H19" s="15">
        <v>25.71</v>
      </c>
      <c r="I19" s="15">
        <v>22.38</v>
      </c>
      <c r="J19" s="15">
        <v>20.66</v>
      </c>
      <c r="K19" s="15">
        <v>18.73</v>
      </c>
      <c r="L19" s="15">
        <v>16.62</v>
      </c>
      <c r="M19" s="15">
        <v>16.52</v>
      </c>
      <c r="N19" s="15">
        <v>12.31</v>
      </c>
      <c r="O19" s="16">
        <f t="shared" si="3"/>
        <v>22.308</v>
      </c>
      <c r="P19" s="4">
        <f t="shared" ca="1" si="4"/>
        <v>217</v>
      </c>
      <c r="Q19" s="4">
        <f t="shared" ca="1" si="1"/>
        <v>143</v>
      </c>
      <c r="R19" s="16">
        <f t="shared" ca="1" si="5"/>
        <v>36.527500000000003</v>
      </c>
      <c r="S19" s="5">
        <f t="shared" ca="1" si="6"/>
        <v>0.63741707010937798</v>
      </c>
      <c r="T19" s="18">
        <f t="shared" si="2"/>
        <v>-8.760545100583994E-3</v>
      </c>
      <c r="U19" s="18">
        <f t="shared" si="2"/>
        <v>7.0882557331480189E-2</v>
      </c>
      <c r="V19" s="18">
        <f t="shared" si="2"/>
        <v>0.1194087903539478</v>
      </c>
      <c r="W19" s="18">
        <f t="shared" si="2"/>
        <v>0.1487935656836461</v>
      </c>
      <c r="X19" s="18">
        <f t="shared" si="2"/>
        <v>8.3252662149080336E-2</v>
      </c>
      <c r="Y19" s="18">
        <f t="shared" si="2"/>
        <v>0.10304324612920457</v>
      </c>
      <c r="Z19" s="18">
        <f t="shared" si="2"/>
        <v>0.12695547533092655</v>
      </c>
      <c r="AA19" s="18">
        <f t="shared" si="2"/>
        <v>6.0532687651333461E-3</v>
      </c>
      <c r="AB19" s="18">
        <f t="shared" si="2"/>
        <v>0.34199837530463029</v>
      </c>
      <c r="AC19" s="5">
        <f t="shared" si="7"/>
        <v>-8.760545100583994E-3</v>
      </c>
    </row>
    <row r="20" spans="1:29" x14ac:dyDescent="0.25">
      <c r="A20" t="s">
        <v>34</v>
      </c>
      <c r="B20" t="s">
        <v>35</v>
      </c>
      <c r="C20" s="14">
        <v>23.9</v>
      </c>
      <c r="D20" s="14">
        <v>19.2</v>
      </c>
      <c r="E20" s="15">
        <v>16.95</v>
      </c>
      <c r="F20" s="15">
        <v>18.95</v>
      </c>
      <c r="G20" s="15">
        <v>18.84</v>
      </c>
      <c r="H20" s="15">
        <v>18.43</v>
      </c>
      <c r="I20" s="15">
        <v>20.49</v>
      </c>
      <c r="J20" s="15">
        <v>16.82</v>
      </c>
      <c r="K20" s="15">
        <v>17.59</v>
      </c>
      <c r="L20" s="41"/>
      <c r="M20" s="41"/>
      <c r="N20" s="41"/>
      <c r="O20" s="16">
        <f t="shared" si="3"/>
        <v>18.295714285714286</v>
      </c>
      <c r="P20" s="4">
        <f t="shared" ca="1" si="4"/>
        <v>217</v>
      </c>
      <c r="Q20" s="4">
        <f t="shared" ca="1" si="1"/>
        <v>143</v>
      </c>
      <c r="R20" s="16">
        <f t="shared" ca="1" si="5"/>
        <v>22.033055555555553</v>
      </c>
      <c r="S20" s="5">
        <f t="shared" ca="1" si="6"/>
        <v>0.20427413827507501</v>
      </c>
      <c r="T20" s="18">
        <f t="shared" ref="T20:AB48" si="8">IF(F20&lt;&gt;"",(E20/F20)-1,99.99999)</f>
        <v>-0.10554089709762537</v>
      </c>
      <c r="U20" s="18">
        <f t="shared" si="8"/>
        <v>5.8386411889597145E-3</v>
      </c>
      <c r="V20" s="18">
        <f t="shared" si="8"/>
        <v>2.2246337493217583E-2</v>
      </c>
      <c r="W20" s="18">
        <f t="shared" si="8"/>
        <v>-0.10053684724255729</v>
      </c>
      <c r="X20" s="18">
        <f t="shared" si="8"/>
        <v>0.21819262782401894</v>
      </c>
      <c r="Y20" s="18">
        <f t="shared" si="8"/>
        <v>-4.3774872086412731E-2</v>
      </c>
      <c r="Z20" s="18">
        <f t="shared" si="8"/>
        <v>99.999989999999997</v>
      </c>
      <c r="AA20" s="18">
        <f t="shared" si="8"/>
        <v>99.999989999999997</v>
      </c>
      <c r="AB20" s="18">
        <f t="shared" si="8"/>
        <v>99.999989999999997</v>
      </c>
      <c r="AC20" s="5">
        <f t="shared" si="7"/>
        <v>-0.10554089709762537</v>
      </c>
    </row>
    <row r="21" spans="1:29" x14ac:dyDescent="0.25">
      <c r="A21" t="s">
        <v>36</v>
      </c>
      <c r="B21" t="s">
        <v>37</v>
      </c>
      <c r="C21" s="14">
        <v>16.5</v>
      </c>
      <c r="D21" s="14">
        <v>15.3</v>
      </c>
      <c r="E21" s="15">
        <v>13.21</v>
      </c>
      <c r="F21" s="15">
        <v>12.32</v>
      </c>
      <c r="G21" s="15">
        <v>10.61</v>
      </c>
      <c r="H21" s="15">
        <v>8.68</v>
      </c>
      <c r="I21" s="15">
        <v>7.15</v>
      </c>
      <c r="J21" s="15">
        <v>6.86</v>
      </c>
      <c r="K21" s="15">
        <v>5.18</v>
      </c>
      <c r="L21" s="15">
        <v>4.0599999999999996</v>
      </c>
      <c r="M21" s="15">
        <v>2.9</v>
      </c>
      <c r="N21" s="15"/>
      <c r="O21" s="16">
        <f t="shared" si="3"/>
        <v>7.8855555555555554</v>
      </c>
      <c r="P21" s="4">
        <f t="shared" ca="1" si="4"/>
        <v>217</v>
      </c>
      <c r="Q21" s="4">
        <f t="shared" ca="1" si="1"/>
        <v>143</v>
      </c>
      <c r="R21" s="16">
        <f t="shared" ca="1" si="5"/>
        <v>16.023333333333333</v>
      </c>
      <c r="S21" s="5">
        <f t="shared" ca="1" si="6"/>
        <v>1.0319853459208117</v>
      </c>
      <c r="T21" s="18">
        <f t="shared" si="8"/>
        <v>7.2240259740259827E-2</v>
      </c>
      <c r="U21" s="18">
        <f t="shared" si="8"/>
        <v>0.16116870876531575</v>
      </c>
      <c r="V21" s="18">
        <f t="shared" si="8"/>
        <v>0.22235023041474644</v>
      </c>
      <c r="W21" s="18">
        <f t="shared" si="8"/>
        <v>0.21398601398601391</v>
      </c>
      <c r="X21" s="18">
        <f t="shared" si="8"/>
        <v>4.2274052478134205E-2</v>
      </c>
      <c r="Y21" s="18">
        <f t="shared" si="8"/>
        <v>0.32432432432432456</v>
      </c>
      <c r="Z21" s="18">
        <f t="shared" si="8"/>
        <v>0.27586206896551735</v>
      </c>
      <c r="AA21" s="18">
        <f t="shared" si="8"/>
        <v>0.39999999999999991</v>
      </c>
      <c r="AB21" s="18">
        <f t="shared" si="8"/>
        <v>99.999989999999997</v>
      </c>
      <c r="AC21" s="5">
        <f t="shared" si="7"/>
        <v>4.2274052478134205E-2</v>
      </c>
    </row>
    <row r="22" spans="1:29" x14ac:dyDescent="0.25">
      <c r="A22" t="s">
        <v>38</v>
      </c>
      <c r="B22" t="s">
        <v>39</v>
      </c>
      <c r="C22" s="14">
        <v>3.83</v>
      </c>
      <c r="D22" s="14">
        <v>3.63</v>
      </c>
      <c r="E22" s="15">
        <v>3.27</v>
      </c>
      <c r="F22" s="15">
        <v>3.69</v>
      </c>
      <c r="G22" s="15">
        <v>4.03</v>
      </c>
      <c r="H22" s="15">
        <v>4.54</v>
      </c>
      <c r="I22" s="15">
        <v>3.76</v>
      </c>
      <c r="J22" s="15">
        <v>3.43</v>
      </c>
      <c r="K22" s="15">
        <v>3.39</v>
      </c>
      <c r="L22" s="15"/>
      <c r="M22" s="15"/>
      <c r="N22" s="15"/>
      <c r="O22" s="16">
        <f t="shared" si="3"/>
        <v>3.73</v>
      </c>
      <c r="P22" s="4">
        <f t="shared" ca="1" si="4"/>
        <v>217</v>
      </c>
      <c r="Q22" s="4">
        <f t="shared" ca="1" si="1"/>
        <v>143</v>
      </c>
      <c r="R22" s="16">
        <f t="shared" ca="1" si="5"/>
        <v>3.7505555555555556</v>
      </c>
      <c r="S22" s="5">
        <f t="shared" ca="1" si="6"/>
        <v>5.5108728030979215E-3</v>
      </c>
      <c r="T22" s="18">
        <f t="shared" si="8"/>
        <v>-0.11382113821138207</v>
      </c>
      <c r="U22" s="18">
        <f t="shared" si="8"/>
        <v>-8.4367245657568257E-2</v>
      </c>
      <c r="V22" s="18">
        <f t="shared" si="8"/>
        <v>-0.11233480176211452</v>
      </c>
      <c r="W22" s="18">
        <f t="shared" si="8"/>
        <v>0.20744680851063846</v>
      </c>
      <c r="X22" s="18">
        <f t="shared" si="8"/>
        <v>9.6209912536443065E-2</v>
      </c>
      <c r="Y22" s="18">
        <f t="shared" si="8"/>
        <v>1.1799410029498469E-2</v>
      </c>
      <c r="Z22" s="18">
        <f t="shared" si="8"/>
        <v>99.999989999999997</v>
      </c>
      <c r="AA22" s="18">
        <f t="shared" si="8"/>
        <v>99.999989999999997</v>
      </c>
      <c r="AB22" s="18">
        <f t="shared" si="8"/>
        <v>99.999989999999997</v>
      </c>
      <c r="AC22" s="5">
        <f t="shared" si="7"/>
        <v>-0.11382113821138207</v>
      </c>
    </row>
    <row r="23" spans="1:29" x14ac:dyDescent="0.25">
      <c r="A23" t="s">
        <v>40</v>
      </c>
      <c r="B23" t="s">
        <v>41</v>
      </c>
      <c r="C23" s="14">
        <v>6.05</v>
      </c>
      <c r="D23" s="14">
        <v>5.89</v>
      </c>
      <c r="E23" s="15">
        <v>5.24</v>
      </c>
      <c r="F23" s="15">
        <v>5.65</v>
      </c>
      <c r="G23" s="15">
        <v>7.17</v>
      </c>
      <c r="H23" s="15">
        <v>6.58</v>
      </c>
      <c r="I23" s="15">
        <v>6.12</v>
      </c>
      <c r="J23" s="15">
        <v>5.91</v>
      </c>
      <c r="K23" s="41">
        <v>5.5</v>
      </c>
      <c r="L23" s="15"/>
      <c r="M23" s="15"/>
      <c r="N23" s="15"/>
      <c r="O23" s="16">
        <f t="shared" si="3"/>
        <v>6.0242857142857149</v>
      </c>
      <c r="P23" s="4">
        <f t="shared" ca="1" si="4"/>
        <v>217</v>
      </c>
      <c r="Q23" s="4">
        <f t="shared" ca="1" si="1"/>
        <v>143</v>
      </c>
      <c r="R23" s="16">
        <f t="shared" ca="1" si="5"/>
        <v>5.9864444444444445</v>
      </c>
      <c r="S23" s="5">
        <f t="shared" ca="1" si="6"/>
        <v>-6.2814533765447322E-3</v>
      </c>
      <c r="T23" s="18">
        <f t="shared" si="8"/>
        <v>-7.2566371681415998E-2</v>
      </c>
      <c r="U23" s="18">
        <f t="shared" si="8"/>
        <v>-0.21199442119944212</v>
      </c>
      <c r="V23" s="18">
        <f t="shared" si="8"/>
        <v>8.9665653495440756E-2</v>
      </c>
      <c r="W23" s="18">
        <f t="shared" si="8"/>
        <v>7.5163398692810413E-2</v>
      </c>
      <c r="X23" s="18">
        <f t="shared" si="8"/>
        <v>3.5532994923857864E-2</v>
      </c>
      <c r="Y23" s="18">
        <f t="shared" si="8"/>
        <v>7.454545454545447E-2</v>
      </c>
      <c r="Z23" s="18">
        <f t="shared" si="8"/>
        <v>99.999989999999997</v>
      </c>
      <c r="AA23" s="18">
        <f t="shared" si="8"/>
        <v>99.999989999999997</v>
      </c>
      <c r="AB23" s="18">
        <f t="shared" si="8"/>
        <v>99.999989999999997</v>
      </c>
      <c r="AC23" s="5">
        <f t="shared" si="7"/>
        <v>-0.21199442119944212</v>
      </c>
    </row>
    <row r="24" spans="1:29" x14ac:dyDescent="0.25">
      <c r="A24" t="s">
        <v>42</v>
      </c>
      <c r="B24" t="s">
        <v>43</v>
      </c>
      <c r="C24" s="14">
        <v>10.1</v>
      </c>
      <c r="D24" s="14">
        <v>9.7200000000000006</v>
      </c>
      <c r="E24" s="15">
        <v>9.66</v>
      </c>
      <c r="F24" s="15">
        <v>9.48</v>
      </c>
      <c r="G24" s="15">
        <v>8.8800000000000008</v>
      </c>
      <c r="H24" s="15">
        <v>8.35</v>
      </c>
      <c r="I24" s="15">
        <v>7.37</v>
      </c>
      <c r="J24" s="15">
        <v>7.73</v>
      </c>
      <c r="K24" s="15">
        <v>10.83</v>
      </c>
      <c r="L24" s="15">
        <v>9.36</v>
      </c>
      <c r="M24" s="15">
        <v>8.16</v>
      </c>
      <c r="N24" s="15">
        <v>7.75</v>
      </c>
      <c r="O24" s="16">
        <f t="shared" si="3"/>
        <v>8.7569999999999997</v>
      </c>
      <c r="P24" s="4">
        <f t="shared" ca="1" si="4"/>
        <v>217</v>
      </c>
      <c r="Q24" s="4">
        <f t="shared" ca="1" si="1"/>
        <v>143</v>
      </c>
      <c r="R24" s="16">
        <f t="shared" ca="1" si="5"/>
        <v>9.9490555555555567</v>
      </c>
      <c r="S24" s="5">
        <f t="shared" ca="1" si="6"/>
        <v>0.13612601981906547</v>
      </c>
      <c r="T24" s="18">
        <f t="shared" si="8"/>
        <v>1.8987341772151778E-2</v>
      </c>
      <c r="U24" s="18">
        <f t="shared" si="8"/>
        <v>6.7567567567567544E-2</v>
      </c>
      <c r="V24" s="18">
        <f t="shared" si="8"/>
        <v>6.3473053892215692E-2</v>
      </c>
      <c r="W24" s="18">
        <f t="shared" si="8"/>
        <v>0.1329715061058343</v>
      </c>
      <c r="X24" s="18">
        <f t="shared" si="8"/>
        <v>-4.657179818887458E-2</v>
      </c>
      <c r="Y24" s="18">
        <f t="shared" si="8"/>
        <v>-0.28624192059095099</v>
      </c>
      <c r="Z24" s="18">
        <f t="shared" si="8"/>
        <v>0.15705128205128216</v>
      </c>
      <c r="AA24" s="18">
        <f t="shared" si="8"/>
        <v>0.14705882352941169</v>
      </c>
      <c r="AB24" s="18">
        <f t="shared" si="8"/>
        <v>5.2903225806451681E-2</v>
      </c>
      <c r="AC24" s="5">
        <f t="shared" si="7"/>
        <v>-0.28624192059095099</v>
      </c>
    </row>
    <row r="25" spans="1:29" x14ac:dyDescent="0.25">
      <c r="A25" t="s">
        <v>44</v>
      </c>
      <c r="B25" t="s">
        <v>45</v>
      </c>
      <c r="C25" s="14">
        <v>32.299999999999997</v>
      </c>
      <c r="D25" s="14">
        <v>28.6</v>
      </c>
      <c r="E25" s="15">
        <v>28.96</v>
      </c>
      <c r="F25" s="15">
        <v>31.32</v>
      </c>
      <c r="G25" s="15">
        <v>30.23</v>
      </c>
      <c r="H25" s="15">
        <v>33.29</v>
      </c>
      <c r="I25" s="15">
        <v>29.24</v>
      </c>
      <c r="J25" s="41"/>
      <c r="K25" s="41"/>
      <c r="L25" s="41"/>
      <c r="M25" s="41"/>
      <c r="N25" s="41"/>
      <c r="O25" s="16">
        <f t="shared" si="3"/>
        <v>30.608000000000004</v>
      </c>
      <c r="P25" s="4">
        <f t="shared" ca="1" si="4"/>
        <v>217</v>
      </c>
      <c r="Q25" s="4">
        <f t="shared" ca="1" si="1"/>
        <v>143</v>
      </c>
      <c r="R25" s="16">
        <f t="shared" ca="1" si="5"/>
        <v>30.830277777777773</v>
      </c>
      <c r="S25" s="5">
        <f t="shared" ca="1" si="6"/>
        <v>7.2620810826506954E-3</v>
      </c>
      <c r="T25" s="18">
        <f t="shared" si="8"/>
        <v>-7.5351213282247698E-2</v>
      </c>
      <c r="U25" s="18">
        <f t="shared" si="8"/>
        <v>3.605689712206428E-2</v>
      </c>
      <c r="V25" s="18">
        <f t="shared" si="8"/>
        <v>-9.1919495343947055E-2</v>
      </c>
      <c r="W25" s="18">
        <f t="shared" si="8"/>
        <v>0.13850889192886462</v>
      </c>
      <c r="X25" s="18">
        <f t="shared" si="8"/>
        <v>99.999989999999997</v>
      </c>
      <c r="Y25" s="18">
        <f t="shared" si="8"/>
        <v>99.999989999999997</v>
      </c>
      <c r="Z25" s="18">
        <f t="shared" si="8"/>
        <v>99.999989999999997</v>
      </c>
      <c r="AA25" s="18">
        <f t="shared" si="8"/>
        <v>99.999989999999997</v>
      </c>
      <c r="AB25" s="18">
        <f t="shared" si="8"/>
        <v>99.999989999999997</v>
      </c>
      <c r="AC25" s="5">
        <f t="shared" si="7"/>
        <v>-9.1919495343947055E-2</v>
      </c>
    </row>
    <row r="26" spans="1:29" x14ac:dyDescent="0.25">
      <c r="A26" t="s">
        <v>46</v>
      </c>
      <c r="B26" t="s">
        <v>47</v>
      </c>
      <c r="C26" s="14">
        <v>7.4</v>
      </c>
      <c r="D26" s="14">
        <v>7.04</v>
      </c>
      <c r="E26" s="15">
        <v>6.95</v>
      </c>
      <c r="F26" s="15">
        <v>6.19</v>
      </c>
      <c r="G26" s="15">
        <v>5.93</v>
      </c>
      <c r="H26" s="15">
        <v>5.05</v>
      </c>
      <c r="I26" s="15">
        <v>5.42</v>
      </c>
      <c r="J26" s="15">
        <v>4.8600000000000003</v>
      </c>
      <c r="K26" s="15">
        <v>4.8899999999999997</v>
      </c>
      <c r="L26" s="15">
        <v>4.2300000000000004</v>
      </c>
      <c r="M26" s="15">
        <v>3.79</v>
      </c>
      <c r="N26" s="15">
        <v>3.51</v>
      </c>
      <c r="O26" s="16">
        <f t="shared" si="3"/>
        <v>5.081999999999999</v>
      </c>
      <c r="P26" s="4">
        <f t="shared" ca="1" si="4"/>
        <v>217</v>
      </c>
      <c r="Q26" s="4">
        <f t="shared" ca="1" si="1"/>
        <v>143</v>
      </c>
      <c r="R26" s="16">
        <f t="shared" ca="1" si="5"/>
        <v>7.2569999999999997</v>
      </c>
      <c r="S26" s="5">
        <f t="shared" ca="1" si="6"/>
        <v>0.42798110979929183</v>
      </c>
      <c r="T26" s="18">
        <f t="shared" si="8"/>
        <v>0.12277867528271402</v>
      </c>
      <c r="U26" s="18">
        <f t="shared" si="8"/>
        <v>4.384485666104565E-2</v>
      </c>
      <c r="V26" s="18">
        <f t="shared" si="8"/>
        <v>0.17425742574257419</v>
      </c>
      <c r="W26" s="18">
        <f t="shared" si="8"/>
        <v>-6.8265682656826643E-2</v>
      </c>
      <c r="X26" s="18">
        <f t="shared" si="8"/>
        <v>0.11522633744855959</v>
      </c>
      <c r="Y26" s="18">
        <f t="shared" si="8"/>
        <v>-6.1349693251532278E-3</v>
      </c>
      <c r="Z26" s="18">
        <f t="shared" si="8"/>
        <v>0.15602836879432602</v>
      </c>
      <c r="AA26" s="18">
        <f t="shared" si="8"/>
        <v>0.11609498680738795</v>
      </c>
      <c r="AB26" s="18">
        <f t="shared" si="8"/>
        <v>7.9772079772079785E-2</v>
      </c>
      <c r="AC26" s="5">
        <f t="shared" si="7"/>
        <v>-6.8265682656826643E-2</v>
      </c>
    </row>
    <row r="27" spans="1:29" x14ac:dyDescent="0.25">
      <c r="A27" t="s">
        <v>48</v>
      </c>
      <c r="B27" t="s">
        <v>49</v>
      </c>
      <c r="C27" s="14">
        <v>31.7</v>
      </c>
      <c r="D27" s="14">
        <v>29.9</v>
      </c>
      <c r="E27" s="15">
        <v>28.77</v>
      </c>
      <c r="F27" s="15">
        <v>30.12</v>
      </c>
      <c r="G27" s="15">
        <v>27.49</v>
      </c>
      <c r="H27" s="15">
        <v>24.34</v>
      </c>
      <c r="I27" s="15">
        <v>22.54</v>
      </c>
      <c r="J27" s="15">
        <v>21.05</v>
      </c>
      <c r="K27" s="15">
        <v>18.43</v>
      </c>
      <c r="L27" s="15">
        <v>16.809999999999999</v>
      </c>
      <c r="M27" s="15">
        <v>14.63</v>
      </c>
      <c r="N27" s="15"/>
      <c r="O27" s="16">
        <f t="shared" si="3"/>
        <v>22.686666666666667</v>
      </c>
      <c r="P27" s="4">
        <f t="shared" ca="1" si="4"/>
        <v>217</v>
      </c>
      <c r="Q27" s="4">
        <f t="shared" ca="1" si="1"/>
        <v>143</v>
      </c>
      <c r="R27" s="16">
        <f t="shared" ca="1" si="5"/>
        <v>30.984999999999999</v>
      </c>
      <c r="S27" s="5">
        <f t="shared" ca="1" si="6"/>
        <v>0.36578019394651773</v>
      </c>
      <c r="T27" s="18">
        <f t="shared" si="8"/>
        <v>-4.4820717131474175E-2</v>
      </c>
      <c r="U27" s="18">
        <f t="shared" si="8"/>
        <v>9.5671153146598797E-2</v>
      </c>
      <c r="V27" s="18">
        <f t="shared" si="8"/>
        <v>0.12941659819227613</v>
      </c>
      <c r="W27" s="18">
        <f t="shared" si="8"/>
        <v>7.9858030168589167E-2</v>
      </c>
      <c r="X27" s="18">
        <f t="shared" si="8"/>
        <v>7.0783847980997461E-2</v>
      </c>
      <c r="Y27" s="18">
        <f t="shared" si="8"/>
        <v>0.14215952251763442</v>
      </c>
      <c r="Z27" s="18">
        <f t="shared" si="8"/>
        <v>9.6371207614515342E-2</v>
      </c>
      <c r="AA27" s="18">
        <f t="shared" si="8"/>
        <v>0.14900888585099104</v>
      </c>
      <c r="AB27" s="18">
        <f t="shared" si="8"/>
        <v>99.999989999999997</v>
      </c>
      <c r="AC27" s="5">
        <f t="shared" si="7"/>
        <v>-4.4820717131474175E-2</v>
      </c>
    </row>
    <row r="28" spans="1:29" x14ac:dyDescent="0.25">
      <c r="A28" t="s">
        <v>50</v>
      </c>
      <c r="B28" t="s">
        <v>51</v>
      </c>
      <c r="C28" s="14">
        <v>2.68</v>
      </c>
      <c r="D28" s="14">
        <v>2.67</v>
      </c>
      <c r="E28" s="15">
        <v>1.46</v>
      </c>
      <c r="F28" s="15">
        <v>1.55</v>
      </c>
      <c r="G28" s="15">
        <v>1.54</v>
      </c>
      <c r="H28" s="15">
        <v>1.56</v>
      </c>
      <c r="I28" s="15">
        <v>1.64</v>
      </c>
      <c r="J28" s="15">
        <v>1.34</v>
      </c>
      <c r="K28" s="15">
        <v>1.22</v>
      </c>
      <c r="L28" s="15">
        <v>1.36</v>
      </c>
      <c r="M28" s="15">
        <v>1.5</v>
      </c>
      <c r="N28" s="15">
        <v>1.64</v>
      </c>
      <c r="O28" s="16">
        <f t="shared" si="3"/>
        <v>1.4810000000000001</v>
      </c>
      <c r="P28" s="4">
        <f t="shared" ca="1" si="4"/>
        <v>217</v>
      </c>
      <c r="Q28" s="4">
        <f t="shared" ca="1" si="1"/>
        <v>143</v>
      </c>
      <c r="R28" s="16">
        <f t="shared" ca="1" si="5"/>
        <v>2.6760277777777777</v>
      </c>
      <c r="S28" s="5">
        <f t="shared" ca="1" si="6"/>
        <v>0.80690599444819555</v>
      </c>
      <c r="T28" s="18">
        <f t="shared" si="8"/>
        <v>-5.8064516129032295E-2</v>
      </c>
      <c r="U28" s="18">
        <f t="shared" si="8"/>
        <v>6.4935064935065512E-3</v>
      </c>
      <c r="V28" s="18">
        <f t="shared" si="8"/>
        <v>-1.2820512820512886E-2</v>
      </c>
      <c r="W28" s="18">
        <f t="shared" si="8"/>
        <v>-4.8780487804877981E-2</v>
      </c>
      <c r="X28" s="18">
        <f t="shared" si="8"/>
        <v>0.22388059701492513</v>
      </c>
      <c r="Y28" s="18">
        <f t="shared" si="8"/>
        <v>9.8360655737705027E-2</v>
      </c>
      <c r="Z28" s="18">
        <f t="shared" si="8"/>
        <v>-0.10294117647058831</v>
      </c>
      <c r="AA28" s="18">
        <f t="shared" si="8"/>
        <v>-9.3333333333333268E-2</v>
      </c>
      <c r="AB28" s="18">
        <f t="shared" si="8"/>
        <v>-8.536585365853655E-2</v>
      </c>
      <c r="AC28" s="5">
        <f t="shared" si="7"/>
        <v>-0.10294117647058831</v>
      </c>
    </row>
    <row r="29" spans="1:29" x14ac:dyDescent="0.25">
      <c r="A29" t="s">
        <v>52</v>
      </c>
      <c r="B29" t="s">
        <v>53</v>
      </c>
      <c r="C29" s="14">
        <v>6.07</v>
      </c>
      <c r="D29" s="14">
        <v>7.95</v>
      </c>
      <c r="E29" s="15">
        <v>4.78</v>
      </c>
      <c r="F29" s="15">
        <v>5.05</v>
      </c>
      <c r="G29" s="15">
        <v>4.76</v>
      </c>
      <c r="H29" s="15">
        <v>4.83</v>
      </c>
      <c r="I29" s="15">
        <v>4.0199999999999996</v>
      </c>
      <c r="J29" s="15">
        <v>3.32</v>
      </c>
      <c r="K29" s="15">
        <v>4.13</v>
      </c>
      <c r="L29" s="15">
        <v>3.74</v>
      </c>
      <c r="M29" s="15">
        <v>2.79</v>
      </c>
      <c r="N29" s="15">
        <v>1.84</v>
      </c>
      <c r="O29" s="16">
        <f t="shared" si="3"/>
        <v>3.9260000000000006</v>
      </c>
      <c r="P29" s="4">
        <f t="shared" ca="1" si="4"/>
        <v>217</v>
      </c>
      <c r="Q29" s="4">
        <f t="shared" ca="1" si="1"/>
        <v>143</v>
      </c>
      <c r="R29" s="16">
        <f t="shared" ca="1" si="5"/>
        <v>6.8167777777777783</v>
      </c>
      <c r="S29" s="5">
        <f t="shared" ca="1" si="6"/>
        <v>0.73631629591894487</v>
      </c>
      <c r="T29" s="18">
        <f t="shared" si="8"/>
        <v>-5.3465346534653402E-2</v>
      </c>
      <c r="U29" s="18">
        <f t="shared" si="8"/>
        <v>6.0924369747899165E-2</v>
      </c>
      <c r="V29" s="18">
        <f t="shared" si="8"/>
        <v>-1.449275362318847E-2</v>
      </c>
      <c r="W29" s="18">
        <f t="shared" si="8"/>
        <v>0.20149253731343308</v>
      </c>
      <c r="X29" s="18">
        <f t="shared" si="8"/>
        <v>0.21084337349397586</v>
      </c>
      <c r="Y29" s="18">
        <f t="shared" si="8"/>
        <v>-0.19612590799031482</v>
      </c>
      <c r="Z29" s="18">
        <f t="shared" si="8"/>
        <v>0.10427807486631013</v>
      </c>
      <c r="AA29" s="18">
        <f t="shared" si="8"/>
        <v>0.34050179211469533</v>
      </c>
      <c r="AB29" s="18">
        <f t="shared" si="8"/>
        <v>0.51630434782608692</v>
      </c>
      <c r="AC29" s="5">
        <f t="shared" si="7"/>
        <v>-0.19612590799031482</v>
      </c>
    </row>
    <row r="30" spans="1:29" x14ac:dyDescent="0.25">
      <c r="A30" t="s">
        <v>54</v>
      </c>
      <c r="B30" t="s">
        <v>55</v>
      </c>
      <c r="C30" s="14">
        <v>18.2</v>
      </c>
      <c r="D30" s="14">
        <v>18.100000000000001</v>
      </c>
      <c r="E30" s="15">
        <v>17.5</v>
      </c>
      <c r="F30" s="15">
        <v>16.61</v>
      </c>
      <c r="G30" s="15">
        <v>17.850000000000001</v>
      </c>
      <c r="H30" s="15">
        <v>18.940000000000001</v>
      </c>
      <c r="I30" s="15">
        <v>17.34</v>
      </c>
      <c r="J30" s="15">
        <v>16.350000000000001</v>
      </c>
      <c r="K30" s="15">
        <v>19.09</v>
      </c>
      <c r="L30" s="15">
        <v>18.52</v>
      </c>
      <c r="M30" s="15">
        <v>14.11</v>
      </c>
      <c r="N30" s="15">
        <v>12.27</v>
      </c>
      <c r="O30" s="16">
        <f t="shared" si="3"/>
        <v>16.858000000000001</v>
      </c>
      <c r="P30" s="4">
        <f t="shared" ca="1" si="4"/>
        <v>217</v>
      </c>
      <c r="Q30" s="4">
        <f t="shared" ca="1" si="1"/>
        <v>143</v>
      </c>
      <c r="R30" s="16">
        <f t="shared" ca="1" si="5"/>
        <v>18.160277777777779</v>
      </c>
      <c r="S30" s="5">
        <f t="shared" ca="1" si="6"/>
        <v>7.7249838520451863E-2</v>
      </c>
      <c r="T30" s="18">
        <f t="shared" si="8"/>
        <v>5.3582179409993991E-2</v>
      </c>
      <c r="U30" s="18">
        <f t="shared" si="8"/>
        <v>-6.9467787114846025E-2</v>
      </c>
      <c r="V30" s="18">
        <f t="shared" si="8"/>
        <v>-5.7550158394931383E-2</v>
      </c>
      <c r="W30" s="18">
        <f t="shared" si="8"/>
        <v>9.2272202998846753E-2</v>
      </c>
      <c r="X30" s="18">
        <f t="shared" si="8"/>
        <v>6.0550458715596278E-2</v>
      </c>
      <c r="Y30" s="18">
        <f t="shared" si="8"/>
        <v>-0.14353064431639595</v>
      </c>
      <c r="Z30" s="18">
        <f t="shared" si="8"/>
        <v>3.077753779697634E-2</v>
      </c>
      <c r="AA30" s="18">
        <f t="shared" si="8"/>
        <v>0.31254429482636437</v>
      </c>
      <c r="AB30" s="18">
        <f t="shared" si="8"/>
        <v>0.14995925020374901</v>
      </c>
      <c r="AC30" s="5">
        <f t="shared" si="7"/>
        <v>-0.14353064431639595</v>
      </c>
    </row>
    <row r="31" spans="1:29" x14ac:dyDescent="0.25">
      <c r="A31" t="s">
        <v>56</v>
      </c>
      <c r="B31" t="s">
        <v>57</v>
      </c>
      <c r="C31" s="14">
        <v>88</v>
      </c>
      <c r="D31" s="14">
        <v>82.9</v>
      </c>
      <c r="E31" s="15">
        <v>77.92</v>
      </c>
      <c r="F31" s="15">
        <v>70.13</v>
      </c>
      <c r="G31" s="15">
        <v>61.27</v>
      </c>
      <c r="H31" s="15">
        <v>52.34</v>
      </c>
      <c r="I31" s="15">
        <v>45.76</v>
      </c>
      <c r="J31" s="15">
        <v>43.23</v>
      </c>
      <c r="K31" s="15">
        <v>36.880000000000003</v>
      </c>
      <c r="L31" s="15">
        <v>31.85</v>
      </c>
      <c r="M31" s="15">
        <v>28.07</v>
      </c>
      <c r="N31" s="15">
        <v>21.47</v>
      </c>
      <c r="O31" s="16">
        <f t="shared" si="3"/>
        <v>46.89200000000001</v>
      </c>
      <c r="P31" s="4">
        <f t="shared" ca="1" si="4"/>
        <v>217</v>
      </c>
      <c r="Q31" s="4">
        <f t="shared" ca="1" si="1"/>
        <v>143</v>
      </c>
      <c r="R31" s="16">
        <f t="shared" ca="1" si="5"/>
        <v>85.974166666666662</v>
      </c>
      <c r="S31" s="5">
        <f t="shared" ca="1" si="6"/>
        <v>0.83345062412920412</v>
      </c>
      <c r="T31" s="18">
        <f t="shared" si="8"/>
        <v>0.11107942392699277</v>
      </c>
      <c r="U31" s="18">
        <f t="shared" si="8"/>
        <v>0.14460584299004386</v>
      </c>
      <c r="V31" s="18">
        <f t="shared" si="8"/>
        <v>0.17061520825372556</v>
      </c>
      <c r="W31" s="18">
        <f t="shared" si="8"/>
        <v>0.14379370629370647</v>
      </c>
      <c r="X31" s="18">
        <f t="shared" si="8"/>
        <v>5.8524173027989956E-2</v>
      </c>
      <c r="Y31" s="18">
        <f t="shared" si="8"/>
        <v>0.17218004338394777</v>
      </c>
      <c r="Z31" s="18">
        <f t="shared" si="8"/>
        <v>0.15792778649921502</v>
      </c>
      <c r="AA31" s="18">
        <f t="shared" si="8"/>
        <v>0.13466334164588534</v>
      </c>
      <c r="AB31" s="18">
        <f t="shared" si="8"/>
        <v>0.30740568234746157</v>
      </c>
      <c r="AC31" s="5">
        <f t="shared" si="7"/>
        <v>5.8524173027989956E-2</v>
      </c>
    </row>
    <row r="32" spans="1:29" x14ac:dyDescent="0.25">
      <c r="A32" t="s">
        <v>58</v>
      </c>
      <c r="B32" t="s">
        <v>59</v>
      </c>
      <c r="C32" s="14">
        <v>7.76</v>
      </c>
      <c r="D32" s="14">
        <v>7.57</v>
      </c>
      <c r="E32" s="15">
        <v>7.54</v>
      </c>
      <c r="F32" s="15">
        <v>7.34</v>
      </c>
      <c r="G32" s="15">
        <v>6.99</v>
      </c>
      <c r="H32" s="15">
        <v>6.76</v>
      </c>
      <c r="I32" s="15">
        <v>5.38</v>
      </c>
      <c r="J32" s="15">
        <v>4.43</v>
      </c>
      <c r="K32" s="15">
        <v>4.6900000000000004</v>
      </c>
      <c r="L32" s="15">
        <v>3.65</v>
      </c>
      <c r="M32" s="15">
        <v>3.45</v>
      </c>
      <c r="N32" s="15">
        <v>3.31</v>
      </c>
      <c r="O32" s="16">
        <f t="shared" si="3"/>
        <v>5.3540000000000001</v>
      </c>
      <c r="P32" s="4">
        <f t="shared" ca="1" si="4"/>
        <v>217</v>
      </c>
      <c r="Q32" s="4">
        <f t="shared" ca="1" si="1"/>
        <v>143</v>
      </c>
      <c r="R32" s="16">
        <f t="shared" ca="1" si="5"/>
        <v>7.6845277777777774</v>
      </c>
      <c r="S32" s="5">
        <f t="shared" ca="1" si="6"/>
        <v>0.43528722035445977</v>
      </c>
      <c r="T32" s="18">
        <f t="shared" si="8"/>
        <v>2.7247956403269713E-2</v>
      </c>
      <c r="U32" s="18">
        <f t="shared" si="8"/>
        <v>5.0071530758226013E-2</v>
      </c>
      <c r="V32" s="18">
        <f t="shared" si="8"/>
        <v>3.4023668639053373E-2</v>
      </c>
      <c r="W32" s="18">
        <f t="shared" si="8"/>
        <v>0.25650557620817849</v>
      </c>
      <c r="X32" s="18">
        <f t="shared" si="8"/>
        <v>0.21444695259593693</v>
      </c>
      <c r="Y32" s="18">
        <f t="shared" si="8"/>
        <v>-5.5437100213219792E-2</v>
      </c>
      <c r="Z32" s="18">
        <f t="shared" si="8"/>
        <v>0.28493150684931523</v>
      </c>
      <c r="AA32" s="18">
        <f t="shared" si="8"/>
        <v>5.7971014492753437E-2</v>
      </c>
      <c r="AB32" s="18">
        <f t="shared" si="8"/>
        <v>4.2296072507552962E-2</v>
      </c>
      <c r="AC32" s="5">
        <f t="shared" si="7"/>
        <v>-5.5437100213219792E-2</v>
      </c>
    </row>
    <row r="33" spans="1:29" x14ac:dyDescent="0.25">
      <c r="A33" t="s">
        <v>60</v>
      </c>
      <c r="B33" t="s">
        <v>61</v>
      </c>
      <c r="C33" s="14">
        <v>2.36</v>
      </c>
      <c r="D33" s="14">
        <v>2.2000000000000002</v>
      </c>
      <c r="E33" s="15">
        <v>2.76</v>
      </c>
      <c r="F33" s="15">
        <v>2.56</v>
      </c>
      <c r="G33" s="15">
        <v>2.65</v>
      </c>
      <c r="H33" s="15">
        <v>2.85</v>
      </c>
      <c r="I33" s="15">
        <v>3.3</v>
      </c>
      <c r="J33" s="15">
        <v>1.92</v>
      </c>
      <c r="K33" s="15">
        <v>2.25</v>
      </c>
      <c r="L33" s="15">
        <v>1.38</v>
      </c>
      <c r="M33" s="15">
        <v>1.31</v>
      </c>
      <c r="N33" s="15">
        <v>1.18</v>
      </c>
      <c r="O33" s="16">
        <f t="shared" si="3"/>
        <v>2.2159999999999997</v>
      </c>
      <c r="P33" s="4">
        <f t="shared" ca="1" si="4"/>
        <v>217</v>
      </c>
      <c r="Q33" s="4">
        <f t="shared" ca="1" si="1"/>
        <v>143</v>
      </c>
      <c r="R33" s="16">
        <f t="shared" ca="1" si="5"/>
        <v>2.2964444444444441</v>
      </c>
      <c r="S33" s="5">
        <f t="shared" ca="1" si="6"/>
        <v>3.6301644604893601E-2</v>
      </c>
      <c r="T33" s="18">
        <f t="shared" si="8"/>
        <v>7.8125E-2</v>
      </c>
      <c r="U33" s="18">
        <f t="shared" si="8"/>
        <v>-3.3962264150943389E-2</v>
      </c>
      <c r="V33" s="18">
        <f t="shared" si="8"/>
        <v>-7.0175438596491335E-2</v>
      </c>
      <c r="W33" s="18">
        <f t="shared" si="8"/>
        <v>-0.13636363636363624</v>
      </c>
      <c r="X33" s="18">
        <f t="shared" si="8"/>
        <v>0.71875</v>
      </c>
      <c r="Y33" s="18">
        <f t="shared" si="8"/>
        <v>-0.14666666666666672</v>
      </c>
      <c r="Z33" s="18">
        <f t="shared" si="8"/>
        <v>0.63043478260869579</v>
      </c>
      <c r="AA33" s="18">
        <f t="shared" si="8"/>
        <v>5.3435114503816772E-2</v>
      </c>
      <c r="AB33" s="18">
        <f t="shared" si="8"/>
        <v>0.11016949152542388</v>
      </c>
      <c r="AC33" s="5">
        <f t="shared" si="7"/>
        <v>-0.14666666666666672</v>
      </c>
    </row>
    <row r="34" spans="1:29" x14ac:dyDescent="0.25">
      <c r="A34" t="s">
        <v>62</v>
      </c>
      <c r="B34" t="s">
        <v>63</v>
      </c>
      <c r="C34" s="14">
        <v>23.2</v>
      </c>
      <c r="D34" s="14">
        <v>21.7</v>
      </c>
      <c r="E34" s="15">
        <v>22.32</v>
      </c>
      <c r="F34" s="15">
        <v>17.350000000000001</v>
      </c>
      <c r="G34" s="15">
        <v>18.809999999999999</v>
      </c>
      <c r="H34" s="15">
        <v>18.63</v>
      </c>
      <c r="I34" s="15">
        <v>17.87</v>
      </c>
      <c r="J34" s="15">
        <v>14.62</v>
      </c>
      <c r="K34" s="15">
        <v>20.62</v>
      </c>
      <c r="L34" s="15">
        <v>17.809999999999999</v>
      </c>
      <c r="M34" s="15">
        <v>15.84</v>
      </c>
      <c r="N34" s="15">
        <v>12.88</v>
      </c>
      <c r="O34" s="16">
        <f t="shared" si="3"/>
        <v>17.675000000000001</v>
      </c>
      <c r="P34" s="4">
        <f t="shared" ca="1" si="4"/>
        <v>217</v>
      </c>
      <c r="Q34" s="4">
        <f t="shared" ca="1" si="1"/>
        <v>143</v>
      </c>
      <c r="R34" s="16">
        <f t="shared" ca="1" si="5"/>
        <v>22.604166666666664</v>
      </c>
      <c r="S34" s="5">
        <f t="shared" ca="1" si="6"/>
        <v>0.27887788778877876</v>
      </c>
      <c r="T34" s="18">
        <f t="shared" si="8"/>
        <v>0.28645533141210366</v>
      </c>
      <c r="U34" s="18">
        <f t="shared" si="8"/>
        <v>-7.7618288144603809E-2</v>
      </c>
      <c r="V34" s="18">
        <f t="shared" si="8"/>
        <v>9.6618357487923134E-3</v>
      </c>
      <c r="W34" s="18">
        <f t="shared" si="8"/>
        <v>4.2529378847229848E-2</v>
      </c>
      <c r="X34" s="18">
        <f t="shared" si="8"/>
        <v>0.2222982216142273</v>
      </c>
      <c r="Y34" s="18">
        <f t="shared" si="8"/>
        <v>-0.2909796314258003</v>
      </c>
      <c r="Z34" s="18">
        <f t="shared" si="8"/>
        <v>0.15777653003930392</v>
      </c>
      <c r="AA34" s="18">
        <f t="shared" si="8"/>
        <v>0.12436868686868685</v>
      </c>
      <c r="AB34" s="18">
        <f t="shared" si="8"/>
        <v>0.22981366459627317</v>
      </c>
      <c r="AC34" s="5">
        <f t="shared" si="7"/>
        <v>-0.2909796314258003</v>
      </c>
    </row>
    <row r="35" spans="1:29" x14ac:dyDescent="0.25">
      <c r="A35" t="s">
        <v>64</v>
      </c>
      <c r="B35" t="s">
        <v>65</v>
      </c>
      <c r="C35" s="14">
        <v>46.3</v>
      </c>
      <c r="D35" s="14">
        <v>43</v>
      </c>
      <c r="E35" s="15">
        <v>40.14</v>
      </c>
      <c r="F35" s="15">
        <v>36.840000000000003</v>
      </c>
      <c r="G35" s="15">
        <v>32.61</v>
      </c>
      <c r="H35" s="15">
        <v>29.49</v>
      </c>
      <c r="I35" s="15">
        <v>23.39</v>
      </c>
      <c r="J35" s="15">
        <v>22.7</v>
      </c>
      <c r="K35" s="15">
        <v>22.62</v>
      </c>
      <c r="L35" s="15">
        <v>19.87</v>
      </c>
      <c r="M35" s="15">
        <v>18.13</v>
      </c>
      <c r="N35" s="15">
        <v>15.9</v>
      </c>
      <c r="O35" s="16">
        <f t="shared" si="3"/>
        <v>26.169</v>
      </c>
      <c r="P35" s="4">
        <f t="shared" ca="1" si="4"/>
        <v>217</v>
      </c>
      <c r="Q35" s="4">
        <f t="shared" ca="1" si="1"/>
        <v>143</v>
      </c>
      <c r="R35" s="16">
        <f t="shared" ca="1" si="5"/>
        <v>44.989166666666662</v>
      </c>
      <c r="S35" s="5">
        <f t="shared" ca="1" si="6"/>
        <v>0.71917790770249757</v>
      </c>
      <c r="T35" s="18">
        <f t="shared" si="8"/>
        <v>8.9576547231270176E-2</v>
      </c>
      <c r="U35" s="18">
        <f t="shared" si="8"/>
        <v>0.12971481140754393</v>
      </c>
      <c r="V35" s="18">
        <f t="shared" si="8"/>
        <v>0.10579857578840279</v>
      </c>
      <c r="W35" s="18">
        <f t="shared" si="8"/>
        <v>0.26079521162890118</v>
      </c>
      <c r="X35" s="18">
        <f t="shared" si="8"/>
        <v>3.0396475770925191E-2</v>
      </c>
      <c r="Y35" s="18">
        <f t="shared" si="8"/>
        <v>3.5366931918654476E-3</v>
      </c>
      <c r="Z35" s="18">
        <f t="shared" si="8"/>
        <v>0.13839959738298946</v>
      </c>
      <c r="AA35" s="18">
        <f t="shared" si="8"/>
        <v>9.5973524544953337E-2</v>
      </c>
      <c r="AB35" s="18">
        <f t="shared" si="8"/>
        <v>0.14025157232704388</v>
      </c>
      <c r="AC35" s="5">
        <f t="shared" si="7"/>
        <v>3.5366931918654476E-3</v>
      </c>
    </row>
    <row r="36" spans="1:29" x14ac:dyDescent="0.25">
      <c r="A36" t="s">
        <v>66</v>
      </c>
      <c r="B36" t="s">
        <v>67</v>
      </c>
      <c r="C36" s="14">
        <v>13.3</v>
      </c>
      <c r="D36" s="14">
        <v>12.3</v>
      </c>
      <c r="E36" s="15">
        <v>12.98</v>
      </c>
      <c r="F36" s="15">
        <v>11.82</v>
      </c>
      <c r="G36" s="15">
        <v>11.01</v>
      </c>
      <c r="H36" s="15">
        <v>11.2</v>
      </c>
      <c r="I36" s="15">
        <v>11</v>
      </c>
      <c r="J36" s="15">
        <v>9.93</v>
      </c>
      <c r="K36" s="15">
        <v>11.57</v>
      </c>
      <c r="L36" s="15">
        <v>10.93</v>
      </c>
      <c r="M36" s="15">
        <v>10.43</v>
      </c>
      <c r="N36" s="15">
        <v>10.42</v>
      </c>
      <c r="O36" s="16">
        <f t="shared" si="3"/>
        <v>11.129000000000001</v>
      </c>
      <c r="P36" s="4">
        <f t="shared" ca="1" si="4"/>
        <v>217</v>
      </c>
      <c r="Q36" s="4">
        <f t="shared" ca="1" si="1"/>
        <v>143</v>
      </c>
      <c r="R36" s="16">
        <f t="shared" ca="1" si="5"/>
        <v>12.902777777777779</v>
      </c>
      <c r="S36" s="5">
        <f t="shared" ca="1" si="6"/>
        <v>0.1593833927376922</v>
      </c>
      <c r="T36" s="18">
        <f t="shared" si="8"/>
        <v>9.8138747884940702E-2</v>
      </c>
      <c r="U36" s="18">
        <f t="shared" si="8"/>
        <v>7.3569482288828425E-2</v>
      </c>
      <c r="V36" s="18">
        <f t="shared" si="8"/>
        <v>-1.6964285714285654E-2</v>
      </c>
      <c r="W36" s="18">
        <f t="shared" si="8"/>
        <v>1.8181818181818077E-2</v>
      </c>
      <c r="X36" s="18">
        <f t="shared" si="8"/>
        <v>0.10775427995971798</v>
      </c>
      <c r="Y36" s="18">
        <f t="shared" si="8"/>
        <v>-0.1417458945548834</v>
      </c>
      <c r="Z36" s="18">
        <f t="shared" si="8"/>
        <v>5.855443732845389E-2</v>
      </c>
      <c r="AA36" s="18">
        <f t="shared" si="8"/>
        <v>4.7938638542665446E-2</v>
      </c>
      <c r="AB36" s="18">
        <f t="shared" si="8"/>
        <v>9.596928982724684E-4</v>
      </c>
      <c r="AC36" s="5">
        <f t="shared" si="7"/>
        <v>-0.1417458945548834</v>
      </c>
    </row>
    <row r="37" spans="1:29" x14ac:dyDescent="0.25">
      <c r="A37" t="s">
        <v>68</v>
      </c>
      <c r="B37" t="s">
        <v>69</v>
      </c>
      <c r="C37" s="14">
        <v>174</v>
      </c>
      <c r="D37" s="14">
        <v>164</v>
      </c>
      <c r="E37" s="15">
        <v>175.79</v>
      </c>
      <c r="F37" s="15">
        <v>162.78</v>
      </c>
      <c r="G37" s="15">
        <v>144.97</v>
      </c>
      <c r="H37" s="15">
        <v>152.43</v>
      </c>
      <c r="I37" s="15">
        <v>137.28</v>
      </c>
      <c r="J37" s="15">
        <v>145.47</v>
      </c>
      <c r="K37" s="15">
        <v>109.52</v>
      </c>
      <c r="L37" s="15">
        <v>84.04</v>
      </c>
      <c r="M37" s="15">
        <v>64.05</v>
      </c>
      <c r="N37" s="15">
        <v>52.14</v>
      </c>
      <c r="O37" s="16">
        <f t="shared" si="3"/>
        <v>122.84700000000001</v>
      </c>
      <c r="P37" s="4">
        <f t="shared" ca="1" si="4"/>
        <v>217</v>
      </c>
      <c r="Q37" s="4">
        <f t="shared" ca="1" si="1"/>
        <v>143</v>
      </c>
      <c r="R37" s="16">
        <f t="shared" ca="1" si="5"/>
        <v>170.02777777777777</v>
      </c>
      <c r="S37" s="5">
        <f t="shared" ca="1" si="6"/>
        <v>0.38406129394920319</v>
      </c>
      <c r="T37" s="18">
        <f t="shared" si="8"/>
        <v>7.9923823565548613E-2</v>
      </c>
      <c r="U37" s="18">
        <f t="shared" si="8"/>
        <v>0.12285300406980748</v>
      </c>
      <c r="V37" s="18">
        <f t="shared" si="8"/>
        <v>-4.8940497277438877E-2</v>
      </c>
      <c r="W37" s="18">
        <f t="shared" si="8"/>
        <v>0.11035839160839167</v>
      </c>
      <c r="X37" s="18">
        <f t="shared" si="8"/>
        <v>-5.6300268096514783E-2</v>
      </c>
      <c r="Y37" s="18">
        <f t="shared" si="8"/>
        <v>0.32825054784514252</v>
      </c>
      <c r="Z37" s="18">
        <f t="shared" si="8"/>
        <v>0.30318895763921927</v>
      </c>
      <c r="AA37" s="18">
        <f t="shared" si="8"/>
        <v>0.31209992193598768</v>
      </c>
      <c r="AB37" s="18">
        <f t="shared" si="8"/>
        <v>0.22842347525891826</v>
      </c>
      <c r="AC37" s="5">
        <f t="shared" si="7"/>
        <v>-5.6300268096514783E-2</v>
      </c>
    </row>
    <row r="38" spans="1:29" x14ac:dyDescent="0.25">
      <c r="A38" t="s">
        <v>70</v>
      </c>
      <c r="B38" t="s">
        <v>71</v>
      </c>
      <c r="C38" s="14">
        <v>27.2</v>
      </c>
      <c r="D38" s="14">
        <v>22.3</v>
      </c>
      <c r="E38" s="15">
        <v>21.75</v>
      </c>
      <c r="F38" s="15">
        <v>16.989999999999998</v>
      </c>
      <c r="G38" s="15">
        <v>17.399999999999999</v>
      </c>
      <c r="H38" s="15">
        <v>19</v>
      </c>
      <c r="I38" s="15">
        <v>17.43</v>
      </c>
      <c r="J38" s="41">
        <v>18.989999999999998</v>
      </c>
      <c r="K38" s="15">
        <v>20.55</v>
      </c>
      <c r="L38" s="15">
        <v>18.920000000000002</v>
      </c>
      <c r="M38" s="15">
        <v>21.03</v>
      </c>
      <c r="N38" s="15">
        <v>18.079999999999998</v>
      </c>
      <c r="O38" s="16">
        <f t="shared" si="3"/>
        <v>19.013999999999999</v>
      </c>
      <c r="P38" s="4">
        <f t="shared" ca="1" si="4"/>
        <v>217</v>
      </c>
      <c r="Q38" s="4">
        <f t="shared" ca="1" si="1"/>
        <v>143</v>
      </c>
      <c r="R38" s="16">
        <f t="shared" ca="1" si="5"/>
        <v>25.253611111111113</v>
      </c>
      <c r="S38" s="5">
        <f t="shared" ca="1" si="6"/>
        <v>0.3281587835863633</v>
      </c>
      <c r="T38" s="18">
        <f t="shared" si="8"/>
        <v>0.28016480282519152</v>
      </c>
      <c r="U38" s="18">
        <f t="shared" si="8"/>
        <v>-2.3563218390804552E-2</v>
      </c>
      <c r="V38" s="18">
        <f t="shared" si="8"/>
        <v>-8.4210526315789513E-2</v>
      </c>
      <c r="W38" s="18">
        <f t="shared" si="8"/>
        <v>9.0074584050487738E-2</v>
      </c>
      <c r="X38" s="18">
        <f t="shared" si="8"/>
        <v>-8.2148499210110471E-2</v>
      </c>
      <c r="Y38" s="18">
        <f t="shared" si="8"/>
        <v>-7.5912408759124195E-2</v>
      </c>
      <c r="Z38" s="18">
        <f t="shared" si="8"/>
        <v>8.6152219873150138E-2</v>
      </c>
      <c r="AA38" s="18">
        <f t="shared" si="8"/>
        <v>-0.10033285782215884</v>
      </c>
      <c r="AB38" s="18">
        <f t="shared" si="8"/>
        <v>0.16316371681415953</v>
      </c>
      <c r="AC38" s="5">
        <f t="shared" si="7"/>
        <v>-0.10033285782215884</v>
      </c>
    </row>
    <row r="39" spans="1:29" x14ac:dyDescent="0.25">
      <c r="A39" t="s">
        <v>72</v>
      </c>
      <c r="B39" t="s">
        <v>73</v>
      </c>
      <c r="C39" s="14">
        <v>61.9</v>
      </c>
      <c r="D39" s="14">
        <v>57.6</v>
      </c>
      <c r="E39" s="15">
        <v>56.22</v>
      </c>
      <c r="F39" s="15">
        <v>53.65</v>
      </c>
      <c r="G39" s="15">
        <v>48.66</v>
      </c>
      <c r="H39" s="15">
        <v>45.04</v>
      </c>
      <c r="I39" s="15">
        <v>41.95</v>
      </c>
      <c r="J39" s="15">
        <v>44.71</v>
      </c>
      <c r="K39" s="15">
        <v>36.590000000000003</v>
      </c>
      <c r="L39" s="15">
        <v>33.450000000000003</v>
      </c>
      <c r="M39" s="15">
        <v>30.75</v>
      </c>
      <c r="N39" s="15">
        <v>29.71</v>
      </c>
      <c r="O39" s="16">
        <f t="shared" si="3"/>
        <v>42.072999999999993</v>
      </c>
      <c r="P39" s="4">
        <f t="shared" ca="1" si="4"/>
        <v>217</v>
      </c>
      <c r="Q39" s="4">
        <f t="shared" ca="1" si="1"/>
        <v>143</v>
      </c>
      <c r="R39" s="16">
        <f t="shared" ca="1" si="5"/>
        <v>60.191944444444445</v>
      </c>
      <c r="S39" s="5">
        <f t="shared" ca="1" si="6"/>
        <v>0.43065491988791993</v>
      </c>
      <c r="T39" s="18">
        <f t="shared" si="8"/>
        <v>4.790307548928241E-2</v>
      </c>
      <c r="U39" s="18">
        <f t="shared" si="8"/>
        <v>0.10254829428688872</v>
      </c>
      <c r="V39" s="18">
        <f t="shared" si="8"/>
        <v>8.0373001776198771E-2</v>
      </c>
      <c r="W39" s="18">
        <f t="shared" si="8"/>
        <v>7.3659117997616042E-2</v>
      </c>
      <c r="X39" s="18">
        <f t="shared" si="8"/>
        <v>-6.1731156340863347E-2</v>
      </c>
      <c r="Y39" s="18">
        <f t="shared" si="8"/>
        <v>0.22191855698278218</v>
      </c>
      <c r="Z39" s="18">
        <f t="shared" si="8"/>
        <v>9.387144992526153E-2</v>
      </c>
      <c r="AA39" s="18">
        <f t="shared" si="8"/>
        <v>8.7804878048780566E-2</v>
      </c>
      <c r="AB39" s="18">
        <f t="shared" si="8"/>
        <v>3.5005048805116123E-2</v>
      </c>
      <c r="AC39" s="5">
        <f t="shared" si="7"/>
        <v>-6.1731156340863347E-2</v>
      </c>
    </row>
    <row r="40" spans="1:29" x14ac:dyDescent="0.25">
      <c r="A40" t="s">
        <v>74</v>
      </c>
      <c r="B40" t="s">
        <v>75</v>
      </c>
      <c r="C40" s="14">
        <v>32.299999999999997</v>
      </c>
      <c r="D40" s="14">
        <v>28.9</v>
      </c>
      <c r="E40" s="15">
        <v>26.25</v>
      </c>
      <c r="F40" s="15">
        <v>23.33</v>
      </c>
      <c r="G40" s="15">
        <v>20.95</v>
      </c>
      <c r="H40" s="15">
        <v>20.66</v>
      </c>
      <c r="I40" s="15">
        <v>18.37</v>
      </c>
      <c r="J40" s="15">
        <v>15.35</v>
      </c>
      <c r="K40" s="15">
        <v>15.25</v>
      </c>
      <c r="L40" s="15">
        <v>13.59</v>
      </c>
      <c r="M40" s="15">
        <v>12.73</v>
      </c>
      <c r="N40" s="15">
        <v>10.71</v>
      </c>
      <c r="O40" s="16">
        <f t="shared" si="3"/>
        <v>17.719000000000001</v>
      </c>
      <c r="P40" s="4">
        <f t="shared" ca="1" si="4"/>
        <v>217</v>
      </c>
      <c r="Q40" s="4">
        <f t="shared" ca="1" si="1"/>
        <v>143</v>
      </c>
      <c r="R40" s="16">
        <f t="shared" ca="1" si="5"/>
        <v>30.949444444444438</v>
      </c>
      <c r="S40" s="5">
        <f t="shared" ca="1" si="6"/>
        <v>0.74668121476632066</v>
      </c>
      <c r="T40" s="18">
        <f t="shared" si="8"/>
        <v>0.12516073724817844</v>
      </c>
      <c r="U40" s="18">
        <f t="shared" si="8"/>
        <v>0.11360381861575175</v>
      </c>
      <c r="V40" s="18">
        <f t="shared" si="8"/>
        <v>1.4036786060019235E-2</v>
      </c>
      <c r="W40" s="18">
        <f t="shared" si="8"/>
        <v>0.1246597713663582</v>
      </c>
      <c r="X40" s="18">
        <f t="shared" si="8"/>
        <v>0.19674267100977216</v>
      </c>
      <c r="Y40" s="18">
        <f t="shared" si="8"/>
        <v>6.5573770491802463E-3</v>
      </c>
      <c r="Z40" s="18">
        <f t="shared" si="8"/>
        <v>0.1221486387049302</v>
      </c>
      <c r="AA40" s="18">
        <f t="shared" si="8"/>
        <v>6.7556952081696764E-2</v>
      </c>
      <c r="AB40" s="18">
        <f t="shared" si="8"/>
        <v>0.18860877684407096</v>
      </c>
      <c r="AC40" s="5">
        <f t="shared" si="7"/>
        <v>6.5573770491802463E-3</v>
      </c>
    </row>
    <row r="41" spans="1:29" x14ac:dyDescent="0.25">
      <c r="A41" t="s">
        <v>76</v>
      </c>
      <c r="B41" t="s">
        <v>77</v>
      </c>
      <c r="C41" s="14">
        <v>9.48</v>
      </c>
      <c r="D41" s="14">
        <v>9.11</v>
      </c>
      <c r="E41" s="15">
        <v>8.6999999999999993</v>
      </c>
      <c r="F41" s="15">
        <v>6.02</v>
      </c>
      <c r="G41" s="15"/>
      <c r="H41" s="15"/>
      <c r="I41" s="15"/>
      <c r="J41" s="15"/>
      <c r="K41" s="15"/>
      <c r="L41" s="15"/>
      <c r="M41" s="15"/>
      <c r="N41" s="15"/>
      <c r="O41" s="16">
        <f t="shared" si="3"/>
        <v>7.3599999999999994</v>
      </c>
      <c r="P41" s="4">
        <f t="shared" ca="1" si="4"/>
        <v>217</v>
      </c>
      <c r="Q41" s="4">
        <f t="shared" ca="1" si="1"/>
        <v>143</v>
      </c>
      <c r="R41" s="16">
        <f t="shared" ca="1" si="5"/>
        <v>9.3330277777777777</v>
      </c>
      <c r="S41" s="5">
        <f t="shared" ca="1" si="6"/>
        <v>0.26807442632850242</v>
      </c>
      <c r="T41" s="18">
        <f t="shared" si="8"/>
        <v>0.44518272425249172</v>
      </c>
      <c r="U41" s="18">
        <f t="shared" si="8"/>
        <v>99.999989999999997</v>
      </c>
      <c r="V41" s="18">
        <f t="shared" si="8"/>
        <v>99.999989999999997</v>
      </c>
      <c r="W41" s="18">
        <f t="shared" si="8"/>
        <v>99.999989999999997</v>
      </c>
      <c r="X41" s="18">
        <f t="shared" si="8"/>
        <v>99.999989999999997</v>
      </c>
      <c r="Y41" s="18">
        <f t="shared" si="8"/>
        <v>99.999989999999997</v>
      </c>
      <c r="Z41" s="18">
        <f t="shared" si="8"/>
        <v>99.999989999999997</v>
      </c>
      <c r="AA41" s="18">
        <f t="shared" si="8"/>
        <v>99.999989999999997</v>
      </c>
      <c r="AB41" s="18">
        <f t="shared" si="8"/>
        <v>99.999989999999997</v>
      </c>
      <c r="AC41" s="5">
        <f t="shared" si="7"/>
        <v>0.44518272425249172</v>
      </c>
    </row>
    <row r="42" spans="1:29" x14ac:dyDescent="0.25">
      <c r="A42" t="s">
        <v>78</v>
      </c>
      <c r="B42" t="s">
        <v>79</v>
      </c>
      <c r="C42" s="14">
        <v>16.5</v>
      </c>
      <c r="D42" s="14">
        <v>16.2</v>
      </c>
      <c r="E42" s="15">
        <v>16.16</v>
      </c>
      <c r="F42" s="15">
        <v>15.25</v>
      </c>
      <c r="G42" s="15">
        <v>14.09</v>
      </c>
      <c r="H42" s="15">
        <v>13.89</v>
      </c>
      <c r="I42" s="15">
        <v>12.67</v>
      </c>
      <c r="J42" s="15">
        <v>12</v>
      </c>
      <c r="K42" s="15">
        <v>13.11</v>
      </c>
      <c r="L42" s="15">
        <v>12.84</v>
      </c>
      <c r="M42" s="15">
        <v>11.99</v>
      </c>
      <c r="N42" s="15">
        <v>11.3</v>
      </c>
      <c r="O42" s="16">
        <f t="shared" si="3"/>
        <v>13.330000000000002</v>
      </c>
      <c r="P42" s="4">
        <f t="shared" ca="1" si="4"/>
        <v>217</v>
      </c>
      <c r="Q42" s="4">
        <f t="shared" ca="1" si="1"/>
        <v>143</v>
      </c>
      <c r="R42" s="16">
        <f t="shared" ca="1" si="5"/>
        <v>16.380833333333332</v>
      </c>
      <c r="S42" s="5">
        <f t="shared" ca="1" si="6"/>
        <v>0.22886971742935702</v>
      </c>
      <c r="T42" s="18">
        <f t="shared" si="8"/>
        <v>5.9672131147540997E-2</v>
      </c>
      <c r="U42" s="18">
        <f t="shared" si="8"/>
        <v>8.2327892122072477E-2</v>
      </c>
      <c r="V42" s="18">
        <f t="shared" si="8"/>
        <v>1.4398848092152639E-2</v>
      </c>
      <c r="W42" s="18">
        <f t="shared" si="8"/>
        <v>9.6290449881610174E-2</v>
      </c>
      <c r="X42" s="18">
        <f t="shared" si="8"/>
        <v>5.5833333333333401E-2</v>
      </c>
      <c r="Y42" s="18">
        <f t="shared" si="8"/>
        <v>-8.4668192219679583E-2</v>
      </c>
      <c r="Z42" s="18">
        <f t="shared" si="8"/>
        <v>2.1028037383177489E-2</v>
      </c>
      <c r="AA42" s="18">
        <f t="shared" si="8"/>
        <v>7.0892410341951706E-2</v>
      </c>
      <c r="AB42" s="18">
        <f t="shared" si="8"/>
        <v>6.1061946902654762E-2</v>
      </c>
      <c r="AC42" s="5">
        <f t="shared" si="7"/>
        <v>-8.4668192219679583E-2</v>
      </c>
    </row>
    <row r="43" spans="1:29" x14ac:dyDescent="0.25">
      <c r="A43" t="s">
        <v>80</v>
      </c>
      <c r="B43" t="s">
        <v>81</v>
      </c>
      <c r="C43" s="14">
        <v>17.8</v>
      </c>
      <c r="D43" s="14">
        <v>15.3</v>
      </c>
      <c r="E43" s="15">
        <v>17</v>
      </c>
      <c r="F43" s="15">
        <v>17.52</v>
      </c>
      <c r="G43" s="15">
        <v>17.93</v>
      </c>
      <c r="H43" s="15">
        <v>17.64</v>
      </c>
      <c r="I43" s="15">
        <v>19</v>
      </c>
      <c r="J43" s="41"/>
      <c r="K43" s="41"/>
      <c r="L43" s="41"/>
      <c r="M43" s="41"/>
      <c r="N43" s="41"/>
      <c r="O43" s="16">
        <f t="shared" si="3"/>
        <v>17.818000000000001</v>
      </c>
      <c r="P43" s="4">
        <f t="shared" ca="1" si="4"/>
        <v>217</v>
      </c>
      <c r="Q43" s="4">
        <f t="shared" ca="1" si="1"/>
        <v>143</v>
      </c>
      <c r="R43" s="16">
        <f t="shared" ca="1" si="5"/>
        <v>16.806944444444447</v>
      </c>
      <c r="S43" s="5">
        <f t="shared" ca="1" si="6"/>
        <v>-5.6743492847432631E-2</v>
      </c>
      <c r="T43" s="18">
        <f t="shared" si="8"/>
        <v>-2.9680365296803624E-2</v>
      </c>
      <c r="U43" s="18">
        <f t="shared" si="8"/>
        <v>-2.2866703848298919E-2</v>
      </c>
      <c r="V43" s="18">
        <f t="shared" si="8"/>
        <v>1.6439909297052191E-2</v>
      </c>
      <c r="W43" s="18">
        <f t="shared" si="8"/>
        <v>-7.1578947368421075E-2</v>
      </c>
      <c r="X43" s="18">
        <f t="shared" si="8"/>
        <v>99.999989999999997</v>
      </c>
      <c r="Y43" s="18">
        <f t="shared" si="8"/>
        <v>99.999989999999997</v>
      </c>
      <c r="Z43" s="18">
        <f t="shared" si="8"/>
        <v>99.999989999999997</v>
      </c>
      <c r="AA43" s="18">
        <f t="shared" si="8"/>
        <v>99.999989999999997</v>
      </c>
      <c r="AB43" s="18">
        <f t="shared" si="8"/>
        <v>99.999989999999997</v>
      </c>
      <c r="AC43" s="5">
        <f t="shared" si="7"/>
        <v>-7.1578947368421075E-2</v>
      </c>
    </row>
    <row r="44" spans="1:29" x14ac:dyDescent="0.25">
      <c r="A44" t="s">
        <v>82</v>
      </c>
      <c r="B44" t="s">
        <v>83</v>
      </c>
      <c r="C44" s="14">
        <v>12.8</v>
      </c>
      <c r="D44" s="14">
        <v>10.9</v>
      </c>
      <c r="E44" s="15">
        <v>9.48</v>
      </c>
      <c r="F44" s="15">
        <v>7.92</v>
      </c>
      <c r="G44" s="15">
        <v>6.82</v>
      </c>
      <c r="H44" s="15">
        <v>5.33</v>
      </c>
      <c r="I44" s="15">
        <v>4.4400000000000004</v>
      </c>
      <c r="J44" s="15">
        <v>3.97</v>
      </c>
      <c r="K44" s="15">
        <v>3.32</v>
      </c>
      <c r="L44" s="15">
        <v>3.99</v>
      </c>
      <c r="M44" s="15">
        <v>4.49</v>
      </c>
      <c r="N44" s="15">
        <v>6.89</v>
      </c>
      <c r="O44" s="16">
        <f t="shared" si="3"/>
        <v>5.665</v>
      </c>
      <c r="P44" s="4">
        <f t="shared" ca="1" si="4"/>
        <v>217</v>
      </c>
      <c r="Q44" s="4">
        <f t="shared" ca="1" si="1"/>
        <v>143</v>
      </c>
      <c r="R44" s="16">
        <f t="shared" ca="1" si="5"/>
        <v>12.045277777777777</v>
      </c>
      <c r="S44" s="5">
        <f t="shared" ca="1" si="6"/>
        <v>1.1262626262626263</v>
      </c>
      <c r="T44" s="18">
        <f t="shared" si="8"/>
        <v>0.19696969696969702</v>
      </c>
      <c r="U44" s="18">
        <f t="shared" si="8"/>
        <v>0.16129032258064502</v>
      </c>
      <c r="V44" s="18">
        <f t="shared" si="8"/>
        <v>0.27954971857410893</v>
      </c>
      <c r="W44" s="18">
        <f t="shared" si="8"/>
        <v>0.20045045045045029</v>
      </c>
      <c r="X44" s="18">
        <f t="shared" si="8"/>
        <v>0.1183879093198994</v>
      </c>
      <c r="Y44" s="18">
        <f t="shared" si="8"/>
        <v>0.1957831325301207</v>
      </c>
      <c r="Z44" s="18">
        <f t="shared" si="8"/>
        <v>-0.16791979949874691</v>
      </c>
      <c r="AA44" s="18">
        <f t="shared" si="8"/>
        <v>-0.11135857461024501</v>
      </c>
      <c r="AB44" s="18">
        <f t="shared" si="8"/>
        <v>-0.34833091436865016</v>
      </c>
      <c r="AC44" s="5">
        <f t="shared" si="7"/>
        <v>-0.34833091436865016</v>
      </c>
    </row>
    <row r="45" spans="1:29" x14ac:dyDescent="0.25">
      <c r="A45" t="s">
        <v>84</v>
      </c>
      <c r="B45" t="s">
        <v>85</v>
      </c>
      <c r="C45" s="14">
        <v>19.899999999999999</v>
      </c>
      <c r="D45" s="14">
        <v>19.7</v>
      </c>
      <c r="E45" s="15">
        <v>18.98</v>
      </c>
      <c r="F45" s="15">
        <v>18.12</v>
      </c>
      <c r="G45" s="15">
        <v>19.920000000000002</v>
      </c>
      <c r="H45" s="15">
        <v>20.49</v>
      </c>
      <c r="I45" s="15">
        <v>17.510000000000002</v>
      </c>
      <c r="J45" s="15">
        <v>15.11</v>
      </c>
      <c r="K45" s="15">
        <v>17.79</v>
      </c>
      <c r="L45" s="15">
        <v>17.45</v>
      </c>
      <c r="M45" s="15">
        <v>17.72</v>
      </c>
      <c r="N45" s="15"/>
      <c r="O45" s="16">
        <f t="shared" si="3"/>
        <v>18.121111111111112</v>
      </c>
      <c r="P45" s="4">
        <f t="shared" ca="1" si="4"/>
        <v>217</v>
      </c>
      <c r="Q45" s="4">
        <f t="shared" ca="1" si="1"/>
        <v>143</v>
      </c>
      <c r="R45" s="16">
        <f t="shared" ca="1" si="5"/>
        <v>19.820555555555554</v>
      </c>
      <c r="S45" s="5">
        <f t="shared" ca="1" si="6"/>
        <v>9.3782574038874023E-2</v>
      </c>
      <c r="T45" s="18">
        <f t="shared" si="8"/>
        <v>4.7461368653421543E-2</v>
      </c>
      <c r="U45" s="18">
        <f t="shared" si="8"/>
        <v>-9.0361445783132543E-2</v>
      </c>
      <c r="V45" s="18">
        <f t="shared" si="8"/>
        <v>-2.7818448023425923E-2</v>
      </c>
      <c r="W45" s="18">
        <f t="shared" si="8"/>
        <v>0.1701884637350084</v>
      </c>
      <c r="X45" s="18">
        <f t="shared" si="8"/>
        <v>0.15883520847121124</v>
      </c>
      <c r="Y45" s="18">
        <f t="shared" si="8"/>
        <v>-0.15064643057897698</v>
      </c>
      <c r="Z45" s="18">
        <f t="shared" si="8"/>
        <v>1.9484240687679177E-2</v>
      </c>
      <c r="AA45" s="18">
        <f t="shared" si="8"/>
        <v>-1.5237020316027028E-2</v>
      </c>
      <c r="AB45" s="18">
        <f t="shared" si="8"/>
        <v>99.999989999999997</v>
      </c>
      <c r="AC45" s="5">
        <f t="shared" si="7"/>
        <v>-0.15064643057897698</v>
      </c>
    </row>
    <row r="46" spans="1:29" x14ac:dyDescent="0.25">
      <c r="A46" t="s">
        <v>86</v>
      </c>
      <c r="B46" t="s">
        <v>87</v>
      </c>
      <c r="C46" s="14">
        <v>20</v>
      </c>
      <c r="D46" s="14">
        <v>23.3</v>
      </c>
      <c r="E46" s="15">
        <v>23.74</v>
      </c>
      <c r="F46" s="15">
        <v>22.14</v>
      </c>
      <c r="G46" s="15">
        <v>21.57</v>
      </c>
      <c r="H46" s="15">
        <v>18.690000000000001</v>
      </c>
      <c r="I46" s="15">
        <v>18.420000000000002</v>
      </c>
      <c r="J46" s="15">
        <v>17.09</v>
      </c>
      <c r="K46" s="15">
        <v>13.75</v>
      </c>
      <c r="L46" s="15">
        <v>12.01</v>
      </c>
      <c r="M46" s="15">
        <v>10.46</v>
      </c>
      <c r="N46" s="15">
        <v>9.94</v>
      </c>
      <c r="O46" s="16">
        <f t="shared" si="3"/>
        <v>16.780999999999999</v>
      </c>
      <c r="P46" s="4">
        <f t="shared" ca="1" si="4"/>
        <v>217</v>
      </c>
      <c r="Q46" s="4">
        <f t="shared" ca="1" si="1"/>
        <v>143</v>
      </c>
      <c r="R46" s="16">
        <f t="shared" ca="1" si="5"/>
        <v>21.310833333333335</v>
      </c>
      <c r="S46" s="5">
        <f t="shared" ca="1" si="6"/>
        <v>0.26993822378483623</v>
      </c>
      <c r="T46" s="18">
        <f t="shared" si="8"/>
        <v>7.2267389340559873E-2</v>
      </c>
      <c r="U46" s="18">
        <f t="shared" si="8"/>
        <v>2.6425591098748313E-2</v>
      </c>
      <c r="V46" s="18">
        <f t="shared" si="8"/>
        <v>0.1540930979133226</v>
      </c>
      <c r="W46" s="18">
        <f t="shared" si="8"/>
        <v>1.4657980456026065E-2</v>
      </c>
      <c r="X46" s="18">
        <f t="shared" si="8"/>
        <v>7.7823288472791186E-2</v>
      </c>
      <c r="Y46" s="18">
        <f t="shared" si="8"/>
        <v>0.24290909090909096</v>
      </c>
      <c r="Z46" s="18">
        <f t="shared" si="8"/>
        <v>0.14487926727726896</v>
      </c>
      <c r="AA46" s="18">
        <f t="shared" si="8"/>
        <v>0.14818355640535352</v>
      </c>
      <c r="AB46" s="18">
        <f t="shared" si="8"/>
        <v>5.2313883299798913E-2</v>
      </c>
      <c r="AC46" s="5">
        <f t="shared" si="7"/>
        <v>1.4657980456026065E-2</v>
      </c>
    </row>
    <row r="47" spans="1:29" x14ac:dyDescent="0.25">
      <c r="A47" t="s">
        <v>88</v>
      </c>
      <c r="B47" t="s">
        <v>89</v>
      </c>
      <c r="C47" s="14">
        <v>11.9</v>
      </c>
      <c r="D47" s="14">
        <v>10.199999999999999</v>
      </c>
      <c r="E47" s="15">
        <v>9.61</v>
      </c>
      <c r="F47" s="15">
        <v>8.91</v>
      </c>
      <c r="G47" s="15">
        <v>7.85</v>
      </c>
      <c r="H47" s="15">
        <v>6.13</v>
      </c>
      <c r="I47" s="15">
        <v>5.01</v>
      </c>
      <c r="J47" s="15">
        <v>4.47</v>
      </c>
      <c r="K47" s="15">
        <v>3.31</v>
      </c>
      <c r="L47" s="15">
        <v>2.87</v>
      </c>
      <c r="M47" s="15">
        <v>2.11</v>
      </c>
      <c r="N47" s="15">
        <v>1.55</v>
      </c>
      <c r="O47" s="16">
        <f t="shared" si="3"/>
        <v>5.1819999999999995</v>
      </c>
      <c r="P47" s="4">
        <f t="shared" ca="1" si="4"/>
        <v>217</v>
      </c>
      <c r="Q47" s="4">
        <f t="shared" ca="1" si="1"/>
        <v>143</v>
      </c>
      <c r="R47" s="16">
        <f t="shared" ca="1" si="5"/>
        <v>11.224722222222223</v>
      </c>
      <c r="S47" s="5">
        <f t="shared" ca="1" si="6"/>
        <v>1.1660984604828681</v>
      </c>
      <c r="T47" s="18">
        <f t="shared" si="8"/>
        <v>7.8563411896745095E-2</v>
      </c>
      <c r="U47" s="18">
        <f t="shared" si="8"/>
        <v>0.13503184713375793</v>
      </c>
      <c r="V47" s="18">
        <f t="shared" si="8"/>
        <v>0.28058727569331166</v>
      </c>
      <c r="W47" s="18">
        <f t="shared" si="8"/>
        <v>0.22355289421157698</v>
      </c>
      <c r="X47" s="18">
        <f t="shared" si="8"/>
        <v>0.12080536912751683</v>
      </c>
      <c r="Y47" s="18">
        <f t="shared" si="8"/>
        <v>0.35045317220543803</v>
      </c>
      <c r="Z47" s="18">
        <f t="shared" si="8"/>
        <v>0.1533101045296168</v>
      </c>
      <c r="AA47" s="18">
        <f t="shared" si="8"/>
        <v>0.36018957345971581</v>
      </c>
      <c r="AB47" s="18">
        <f t="shared" si="8"/>
        <v>0.36129032258064497</v>
      </c>
      <c r="AC47" s="5">
        <f t="shared" si="7"/>
        <v>7.8563411896745095E-2</v>
      </c>
    </row>
    <row r="48" spans="1:29" x14ac:dyDescent="0.25">
      <c r="A48" t="s">
        <v>90</v>
      </c>
      <c r="B48" t="s">
        <v>91</v>
      </c>
      <c r="C48" s="14">
        <v>16.100000000000001</v>
      </c>
      <c r="D48" s="14">
        <v>15.8</v>
      </c>
      <c r="E48" s="15">
        <v>16.100000000000001</v>
      </c>
      <c r="F48" s="15">
        <v>14.6</v>
      </c>
      <c r="G48" s="15">
        <v>13.44</v>
      </c>
      <c r="H48" s="15">
        <v>13.65</v>
      </c>
      <c r="I48" s="15">
        <v>11.21</v>
      </c>
      <c r="J48" s="15">
        <v>7.86</v>
      </c>
      <c r="K48" s="15">
        <v>10.79</v>
      </c>
      <c r="L48" s="15">
        <v>9.43</v>
      </c>
      <c r="M48" s="15">
        <v>8.65</v>
      </c>
      <c r="N48" s="15">
        <v>8.08</v>
      </c>
      <c r="O48" s="16">
        <f t="shared" si="3"/>
        <v>11.381000000000002</v>
      </c>
      <c r="P48" s="4">
        <f t="shared" ca="1" si="4"/>
        <v>217</v>
      </c>
      <c r="Q48" s="4">
        <f t="shared" ca="1" si="1"/>
        <v>143</v>
      </c>
      <c r="R48" s="16">
        <f t="shared" ca="1" si="5"/>
        <v>15.980833333333335</v>
      </c>
      <c r="S48" s="5">
        <f t="shared" ca="1" si="6"/>
        <v>0.40416776498843099</v>
      </c>
      <c r="T48" s="18">
        <f t="shared" si="8"/>
        <v>0.10273972602739745</v>
      </c>
      <c r="U48" s="18">
        <f t="shared" si="8"/>
        <v>8.6309523809523725E-2</v>
      </c>
      <c r="V48" s="18">
        <f t="shared" si="8"/>
        <v>-1.5384615384615441E-2</v>
      </c>
      <c r="W48" s="18">
        <f t="shared" ref="W48:AB68" si="9">IF(I48&lt;&gt;"",(H48/I48)-1,99.99999)</f>
        <v>0.21766280107047264</v>
      </c>
      <c r="X48" s="18">
        <f t="shared" si="9"/>
        <v>0.42620865139949116</v>
      </c>
      <c r="Y48" s="18">
        <f t="shared" si="9"/>
        <v>-0.27154772937905458</v>
      </c>
      <c r="Z48" s="18">
        <f t="shared" si="9"/>
        <v>0.14422057264050903</v>
      </c>
      <c r="AA48" s="18">
        <f t="shared" si="9"/>
        <v>9.0173410404624121E-2</v>
      </c>
      <c r="AB48" s="18">
        <f t="shared" si="9"/>
        <v>7.0544554455445496E-2</v>
      </c>
      <c r="AC48" s="5">
        <f t="shared" si="7"/>
        <v>-0.27154772937905458</v>
      </c>
    </row>
    <row r="49" spans="1:29" x14ac:dyDescent="0.25">
      <c r="A49" t="s">
        <v>92</v>
      </c>
      <c r="B49" t="s">
        <v>93</v>
      </c>
      <c r="C49" s="14">
        <v>11.6</v>
      </c>
      <c r="D49" s="14">
        <v>11.7</v>
      </c>
      <c r="E49" s="15">
        <v>11.92</v>
      </c>
      <c r="F49" s="15">
        <v>11.17</v>
      </c>
      <c r="G49" s="15">
        <v>10.85</v>
      </c>
      <c r="H49" s="15">
        <v>10.96</v>
      </c>
      <c r="I49" s="15">
        <v>11.15</v>
      </c>
      <c r="J49" s="15">
        <v>8.5299999999999994</v>
      </c>
      <c r="K49" s="15">
        <v>9.6199999999999992</v>
      </c>
      <c r="L49" s="15">
        <v>10.02</v>
      </c>
      <c r="M49" s="15">
        <v>8.92</v>
      </c>
      <c r="N49" s="15">
        <v>9.14</v>
      </c>
      <c r="O49" s="16">
        <f t="shared" si="3"/>
        <v>10.228</v>
      </c>
      <c r="P49" s="4">
        <f t="shared" ca="1" si="4"/>
        <v>217</v>
      </c>
      <c r="Q49" s="4">
        <f t="shared" ca="1" si="1"/>
        <v>143</v>
      </c>
      <c r="R49" s="16">
        <f t="shared" ca="1" si="5"/>
        <v>11.639722222222222</v>
      </c>
      <c r="S49" s="5">
        <f t="shared" ca="1" si="6"/>
        <v>0.13802524659974802</v>
      </c>
      <c r="T49" s="18">
        <f t="shared" ref="T49:V68" si="10">IF(F49&lt;&gt;"",(E49/F49)-1,99.99999)</f>
        <v>6.7144136078782557E-2</v>
      </c>
      <c r="U49" s="18">
        <f t="shared" si="10"/>
        <v>2.9493087557603603E-2</v>
      </c>
      <c r="V49" s="18">
        <f t="shared" si="10"/>
        <v>-1.0036496350365076E-2</v>
      </c>
      <c r="W49" s="18">
        <f t="shared" si="9"/>
        <v>-1.7040358744394579E-2</v>
      </c>
      <c r="X49" s="18">
        <f t="shared" si="9"/>
        <v>0.30715123094958985</v>
      </c>
      <c r="Y49" s="18">
        <f t="shared" si="9"/>
        <v>-0.11330561330561328</v>
      </c>
      <c r="Z49" s="18">
        <f t="shared" si="9"/>
        <v>-3.9920159680638778E-2</v>
      </c>
      <c r="AA49" s="18">
        <f t="shared" si="9"/>
        <v>0.12331838565022424</v>
      </c>
      <c r="AB49" s="18">
        <f t="shared" si="9"/>
        <v>-2.4070021881838155E-2</v>
      </c>
      <c r="AC49" s="5">
        <f t="shared" si="7"/>
        <v>-0.11330561330561328</v>
      </c>
    </row>
    <row r="50" spans="1:29" x14ac:dyDescent="0.25">
      <c r="A50" t="s">
        <v>94</v>
      </c>
      <c r="B50" t="s">
        <v>95</v>
      </c>
      <c r="C50" s="14">
        <v>-5.55</v>
      </c>
      <c r="D50" s="14">
        <v>-5.55</v>
      </c>
      <c r="E50" s="15">
        <v>4.8899999999999997</v>
      </c>
      <c r="F50" s="15">
        <v>-2.2200000000000002</v>
      </c>
      <c r="G50" s="15">
        <v>0.13</v>
      </c>
      <c r="H50" s="15">
        <v>1.95</v>
      </c>
      <c r="I50" s="15">
        <v>3.03</v>
      </c>
      <c r="J50" s="15"/>
      <c r="K50" s="15"/>
      <c r="L50" s="15"/>
      <c r="M50" s="15"/>
      <c r="N50" s="15"/>
      <c r="O50" s="16">
        <f t="shared" si="3"/>
        <v>1.5559999999999998</v>
      </c>
      <c r="P50" s="4">
        <f t="shared" ca="1" si="4"/>
        <v>217</v>
      </c>
      <c r="Q50" s="4">
        <f t="shared" ca="1" si="1"/>
        <v>143</v>
      </c>
      <c r="R50" s="16">
        <f t="shared" ca="1" si="5"/>
        <v>-5.55</v>
      </c>
      <c r="S50" s="5">
        <f t="shared" ca="1" si="6"/>
        <v>-4.566838046272494</v>
      </c>
      <c r="T50" s="18">
        <f t="shared" si="10"/>
        <v>-3.2027027027027022</v>
      </c>
      <c r="U50" s="18">
        <f t="shared" si="10"/>
        <v>-18.076923076923077</v>
      </c>
      <c r="V50" s="18">
        <f t="shared" si="10"/>
        <v>-0.93333333333333335</v>
      </c>
      <c r="W50" s="18">
        <f t="shared" si="9"/>
        <v>-0.35643564356435642</v>
      </c>
      <c r="X50" s="18">
        <f t="shared" si="9"/>
        <v>99.999989999999997</v>
      </c>
      <c r="Y50" s="18">
        <f t="shared" si="9"/>
        <v>99.999989999999997</v>
      </c>
      <c r="Z50" s="18">
        <f t="shared" si="9"/>
        <v>99.999989999999997</v>
      </c>
      <c r="AA50" s="18">
        <f t="shared" si="9"/>
        <v>99.999989999999997</v>
      </c>
      <c r="AB50" s="18">
        <f t="shared" si="9"/>
        <v>99.999989999999997</v>
      </c>
      <c r="AC50" s="5">
        <f t="shared" si="7"/>
        <v>-18.076923076923077</v>
      </c>
    </row>
    <row r="51" spans="1:29" x14ac:dyDescent="0.25">
      <c r="A51" t="s">
        <v>96</v>
      </c>
      <c r="B51" t="s">
        <v>97</v>
      </c>
      <c r="C51" s="14">
        <v>25.4</v>
      </c>
      <c r="D51" s="14">
        <v>25.5</v>
      </c>
      <c r="E51" s="15">
        <v>25.06</v>
      </c>
      <c r="F51" s="15">
        <v>23.3</v>
      </c>
      <c r="G51" s="15">
        <v>24.59</v>
      </c>
      <c r="H51" s="15">
        <v>21.61</v>
      </c>
      <c r="I51" s="15">
        <v>21.65</v>
      </c>
      <c r="J51" s="15">
        <v>22.91</v>
      </c>
      <c r="K51" s="15">
        <v>21.32</v>
      </c>
      <c r="L51" s="15">
        <v>19.79</v>
      </c>
      <c r="M51" s="41"/>
      <c r="N51" s="41"/>
      <c r="O51" s="16">
        <f t="shared" si="3"/>
        <v>22.528749999999999</v>
      </c>
      <c r="P51" s="4">
        <f t="shared" ca="1" si="4"/>
        <v>217</v>
      </c>
      <c r="Q51" s="4">
        <f t="shared" ca="1" si="1"/>
        <v>143</v>
      </c>
      <c r="R51" s="16">
        <f t="shared" ca="1" si="5"/>
        <v>25.439722222222223</v>
      </c>
      <c r="S51" s="5">
        <f t="shared" ca="1" si="6"/>
        <v>0.12921143970358862</v>
      </c>
      <c r="T51" s="18">
        <f t="shared" si="10"/>
        <v>7.5536480686695162E-2</v>
      </c>
      <c r="U51" s="18">
        <f t="shared" si="10"/>
        <v>-5.2460349735664824E-2</v>
      </c>
      <c r="V51" s="18">
        <f t="shared" si="10"/>
        <v>0.13789912077741784</v>
      </c>
      <c r="W51" s="18">
        <f t="shared" si="9"/>
        <v>-1.8475750577366945E-3</v>
      </c>
      <c r="X51" s="18">
        <f t="shared" si="9"/>
        <v>-5.4997817546922789E-2</v>
      </c>
      <c r="Y51" s="18">
        <f t="shared" si="9"/>
        <v>7.4577861163227066E-2</v>
      </c>
      <c r="Z51" s="18">
        <f t="shared" si="9"/>
        <v>7.7311773623041979E-2</v>
      </c>
      <c r="AA51" s="18">
        <f t="shared" si="9"/>
        <v>99.999989999999997</v>
      </c>
      <c r="AB51" s="18">
        <f t="shared" si="9"/>
        <v>99.999989999999997</v>
      </c>
      <c r="AC51" s="5">
        <f t="shared" si="7"/>
        <v>-5.4997817546922789E-2</v>
      </c>
    </row>
    <row r="52" spans="1:29" x14ac:dyDescent="0.25">
      <c r="A52" t="s">
        <v>98</v>
      </c>
      <c r="B52" t="s">
        <v>99</v>
      </c>
      <c r="C52" s="14">
        <v>6.49</v>
      </c>
      <c r="D52" s="14">
        <v>4.2300000000000004</v>
      </c>
      <c r="E52" s="15">
        <v>13.57</v>
      </c>
      <c r="F52" s="15">
        <v>11.6</v>
      </c>
      <c r="G52" s="15">
        <v>12.69</v>
      </c>
      <c r="H52" s="15">
        <v>13.64</v>
      </c>
      <c r="I52" s="15">
        <v>14.67</v>
      </c>
      <c r="J52" s="15">
        <v>14.05</v>
      </c>
      <c r="K52" s="15">
        <v>17.04</v>
      </c>
      <c r="L52" s="15">
        <v>16.670000000000002</v>
      </c>
      <c r="M52" s="15">
        <v>14.36</v>
      </c>
      <c r="N52" s="15">
        <v>13.57</v>
      </c>
      <c r="O52" s="16">
        <f t="shared" si="3"/>
        <v>14.185999999999998</v>
      </c>
      <c r="P52" s="4">
        <f t="shared" ca="1" si="4"/>
        <v>217</v>
      </c>
      <c r="Q52" s="4">
        <f t="shared" ca="1" si="1"/>
        <v>143</v>
      </c>
      <c r="R52" s="16">
        <f t="shared" ca="1" si="5"/>
        <v>5.5922777777777783</v>
      </c>
      <c r="S52" s="5">
        <f t="shared" ca="1" si="6"/>
        <v>-0.60578896251390257</v>
      </c>
      <c r="T52" s="18">
        <f t="shared" si="10"/>
        <v>0.16982758620689653</v>
      </c>
      <c r="U52" s="18">
        <f t="shared" si="10"/>
        <v>-8.5894405043341227E-2</v>
      </c>
      <c r="V52" s="18">
        <f t="shared" si="10"/>
        <v>-6.9648093841642278E-2</v>
      </c>
      <c r="W52" s="18">
        <f t="shared" si="9"/>
        <v>-7.0211315610088532E-2</v>
      </c>
      <c r="X52" s="18">
        <f t="shared" si="9"/>
        <v>4.4128113879003505E-2</v>
      </c>
      <c r="Y52" s="18">
        <f t="shared" si="9"/>
        <v>-0.17546948356807501</v>
      </c>
      <c r="Z52" s="18">
        <f t="shared" si="9"/>
        <v>2.2195560887822374E-2</v>
      </c>
      <c r="AA52" s="18">
        <f t="shared" si="9"/>
        <v>0.16086350974930386</v>
      </c>
      <c r="AB52" s="18">
        <f t="shared" si="9"/>
        <v>5.8216654384672051E-2</v>
      </c>
      <c r="AC52" s="5">
        <f t="shared" si="7"/>
        <v>-0.17546948356807501</v>
      </c>
    </row>
    <row r="53" spans="1:29" x14ac:dyDescent="0.25">
      <c r="A53" t="s">
        <v>100</v>
      </c>
      <c r="B53" t="s">
        <v>101</v>
      </c>
      <c r="C53" s="14">
        <v>25.8</v>
      </c>
      <c r="D53" s="14">
        <v>25.1</v>
      </c>
      <c r="E53" s="15">
        <v>23.04</v>
      </c>
      <c r="F53" s="15">
        <v>20.86</v>
      </c>
      <c r="G53" s="15">
        <v>19.489999999999998</v>
      </c>
      <c r="H53" s="15">
        <v>18.82</v>
      </c>
      <c r="I53" s="15">
        <v>16.63</v>
      </c>
      <c r="J53" s="15">
        <v>16.260000000000002</v>
      </c>
      <c r="K53" s="15">
        <v>14.91</v>
      </c>
      <c r="L53" s="15">
        <v>12.77</v>
      </c>
      <c r="M53" s="15">
        <v>11.67</v>
      </c>
      <c r="N53" s="15">
        <v>10.119999999999999</v>
      </c>
      <c r="O53" s="16">
        <f t="shared" si="3"/>
        <v>16.457000000000001</v>
      </c>
      <c r="P53" s="4">
        <f t="shared" ca="1" si="4"/>
        <v>217</v>
      </c>
      <c r="Q53" s="4">
        <f t="shared" ca="1" si="1"/>
        <v>143</v>
      </c>
      <c r="R53" s="16">
        <f t="shared" ca="1" si="5"/>
        <v>25.521944444444447</v>
      </c>
      <c r="S53" s="5">
        <f t="shared" ca="1" si="6"/>
        <v>0.55082605848237498</v>
      </c>
      <c r="T53" s="18">
        <f t="shared" si="10"/>
        <v>0.10450623202301057</v>
      </c>
      <c r="U53" s="18">
        <f t="shared" si="10"/>
        <v>7.0292457670600328E-2</v>
      </c>
      <c r="V53" s="18">
        <f t="shared" si="10"/>
        <v>3.5600425079702402E-2</v>
      </c>
      <c r="W53" s="18">
        <f t="shared" si="9"/>
        <v>0.1316897173782321</v>
      </c>
      <c r="X53" s="18">
        <f t="shared" si="9"/>
        <v>2.2755227552275326E-2</v>
      </c>
      <c r="Y53" s="18">
        <f t="shared" si="9"/>
        <v>9.0543259557344102E-2</v>
      </c>
      <c r="Z53" s="18">
        <f t="shared" si="9"/>
        <v>0.16758026624902111</v>
      </c>
      <c r="AA53" s="18">
        <f t="shared" si="9"/>
        <v>9.4258783204798524E-2</v>
      </c>
      <c r="AB53" s="18">
        <f t="shared" si="9"/>
        <v>0.15316205533596849</v>
      </c>
      <c r="AC53" s="5">
        <f t="shared" si="7"/>
        <v>2.2755227552275326E-2</v>
      </c>
    </row>
    <row r="54" spans="1:29" x14ac:dyDescent="0.25">
      <c r="A54" t="s">
        <v>102</v>
      </c>
      <c r="B54" t="s">
        <v>103</v>
      </c>
      <c r="C54" s="14">
        <v>35.700000000000003</v>
      </c>
      <c r="D54" s="14">
        <v>33.1</v>
      </c>
      <c r="E54" s="15">
        <v>31.32</v>
      </c>
      <c r="F54" s="15">
        <v>25.6</v>
      </c>
      <c r="G54" s="15">
        <v>23.34</v>
      </c>
      <c r="H54" s="15">
        <v>21.97</v>
      </c>
      <c r="I54" s="15">
        <v>18.899999999999999</v>
      </c>
      <c r="J54" s="15"/>
      <c r="K54" s="15"/>
      <c r="L54" s="15"/>
      <c r="M54" s="15"/>
      <c r="N54" s="15"/>
      <c r="O54" s="16">
        <f t="shared" si="3"/>
        <v>24.225999999999999</v>
      </c>
      <c r="P54" s="4">
        <f t="shared" ca="1" si="4"/>
        <v>217</v>
      </c>
      <c r="Q54" s="4">
        <f t="shared" ca="1" si="1"/>
        <v>143</v>
      </c>
      <c r="R54" s="16">
        <f t="shared" ca="1" si="5"/>
        <v>34.667222222222229</v>
      </c>
      <c r="S54" s="5">
        <f t="shared" ca="1" si="6"/>
        <v>0.43099241402717037</v>
      </c>
      <c r="T54" s="18">
        <f t="shared" si="10"/>
        <v>0.22343749999999996</v>
      </c>
      <c r="U54" s="18">
        <f t="shared" si="10"/>
        <v>9.682947729220226E-2</v>
      </c>
      <c r="V54" s="18">
        <f t="shared" si="10"/>
        <v>6.2357760582612665E-2</v>
      </c>
      <c r="W54" s="18">
        <f t="shared" si="9"/>
        <v>0.16243386243386237</v>
      </c>
      <c r="X54" s="18">
        <f t="shared" si="9"/>
        <v>99.999989999999997</v>
      </c>
      <c r="Y54" s="18">
        <f t="shared" si="9"/>
        <v>99.999989999999997</v>
      </c>
      <c r="Z54" s="18">
        <f t="shared" si="9"/>
        <v>99.999989999999997</v>
      </c>
      <c r="AA54" s="18">
        <f t="shared" si="9"/>
        <v>99.999989999999997</v>
      </c>
      <c r="AB54" s="18">
        <f t="shared" si="9"/>
        <v>99.999989999999997</v>
      </c>
      <c r="AC54" s="5">
        <f t="shared" si="7"/>
        <v>6.2357760582612665E-2</v>
      </c>
    </row>
    <row r="55" spans="1:29" x14ac:dyDescent="0.25">
      <c r="A55" t="s">
        <v>104</v>
      </c>
      <c r="B55" t="s">
        <v>105</v>
      </c>
      <c r="C55" s="14">
        <v>13560</v>
      </c>
      <c r="D55" s="14">
        <v>12596</v>
      </c>
      <c r="E55" s="15">
        <v>19373</v>
      </c>
      <c r="F55" s="15">
        <v>12607</v>
      </c>
      <c r="G55" s="15">
        <v>11565</v>
      </c>
      <c r="H55" s="15">
        <v>11946</v>
      </c>
      <c r="I55" s="15">
        <v>16177</v>
      </c>
      <c r="J55" s="15">
        <v>14790</v>
      </c>
      <c r="K55" s="15">
        <v>13894</v>
      </c>
      <c r="L55" s="15">
        <v>11558</v>
      </c>
      <c r="M55" s="15">
        <v>9711</v>
      </c>
      <c r="N55" s="15">
        <v>8305</v>
      </c>
      <c r="O55" s="16">
        <f t="shared" si="3"/>
        <v>12992.6</v>
      </c>
      <c r="P55" s="4">
        <f t="shared" ca="1" si="4"/>
        <v>217</v>
      </c>
      <c r="Q55" s="4">
        <f t="shared" ca="1" si="1"/>
        <v>143</v>
      </c>
      <c r="R55" s="16">
        <f t="shared" ca="1" si="5"/>
        <v>13177.077777777777</v>
      </c>
      <c r="S55" s="5">
        <f t="shared" ca="1" si="6"/>
        <v>1.4198680616487547E-2</v>
      </c>
      <c r="T55" s="18">
        <f t="shared" si="10"/>
        <v>0.53668596811295322</v>
      </c>
      <c r="U55" s="18">
        <f t="shared" si="10"/>
        <v>9.009943795936004E-2</v>
      </c>
      <c r="V55" s="18">
        <f t="shared" si="10"/>
        <v>-3.1893520843797041E-2</v>
      </c>
      <c r="W55" s="18">
        <f t="shared" si="9"/>
        <v>-0.26154416764542254</v>
      </c>
      <c r="X55" s="18">
        <f t="shared" si="9"/>
        <v>9.3779580797836326E-2</v>
      </c>
      <c r="Y55" s="18">
        <f t="shared" si="9"/>
        <v>6.4488268317259179E-2</v>
      </c>
      <c r="Z55" s="18">
        <f t="shared" si="9"/>
        <v>0.20211109188440912</v>
      </c>
      <c r="AA55" s="18">
        <f t="shared" si="9"/>
        <v>0.19019668417258773</v>
      </c>
      <c r="AB55" s="18">
        <f t="shared" si="9"/>
        <v>0.16929560505719454</v>
      </c>
      <c r="AC55" s="5">
        <f t="shared" si="7"/>
        <v>-0.26154416764542254</v>
      </c>
    </row>
    <row r="56" spans="1:29" x14ac:dyDescent="0.25">
      <c r="A56" t="s">
        <v>106</v>
      </c>
      <c r="B56" t="s">
        <v>107</v>
      </c>
      <c r="C56" s="14">
        <v>120</v>
      </c>
      <c r="D56" s="14">
        <v>111</v>
      </c>
      <c r="E56" s="15">
        <v>103.44</v>
      </c>
      <c r="F56" s="15">
        <v>95.32</v>
      </c>
      <c r="G56" s="15">
        <v>82.12</v>
      </c>
      <c r="H56" s="15">
        <v>80.680000000000007</v>
      </c>
      <c r="I56" s="15">
        <v>75.489999999999995</v>
      </c>
      <c r="J56" s="15">
        <v>60.72</v>
      </c>
      <c r="K56" s="15">
        <v>59.74</v>
      </c>
      <c r="L56" s="15">
        <v>54.48</v>
      </c>
      <c r="M56" s="15">
        <v>50.78</v>
      </c>
      <c r="N56" s="15">
        <v>50.25</v>
      </c>
      <c r="O56" s="16">
        <f t="shared" si="3"/>
        <v>71.301999999999992</v>
      </c>
      <c r="P56" s="4">
        <f t="shared" ca="1" si="4"/>
        <v>217</v>
      </c>
      <c r="Q56" s="4">
        <f t="shared" ca="1" si="1"/>
        <v>143</v>
      </c>
      <c r="R56" s="16">
        <f t="shared" ca="1" si="5"/>
        <v>116.425</v>
      </c>
      <c r="S56" s="5">
        <f t="shared" ca="1" si="6"/>
        <v>0.63284339850214599</v>
      </c>
      <c r="T56" s="18">
        <f t="shared" si="10"/>
        <v>8.5186739404112588E-2</v>
      </c>
      <c r="U56" s="18">
        <f t="shared" si="10"/>
        <v>0.16074037993180701</v>
      </c>
      <c r="V56" s="18">
        <f t="shared" si="10"/>
        <v>1.7848289538919149E-2</v>
      </c>
      <c r="W56" s="18">
        <f t="shared" si="9"/>
        <v>6.8750827924228597E-2</v>
      </c>
      <c r="X56" s="18">
        <f t="shared" si="9"/>
        <v>0.24324769433465088</v>
      </c>
      <c r="Y56" s="18">
        <f t="shared" si="9"/>
        <v>1.6404419149648408E-2</v>
      </c>
      <c r="Z56" s="18">
        <f t="shared" si="9"/>
        <v>9.6549192364170366E-2</v>
      </c>
      <c r="AA56" s="18">
        <f t="shared" si="9"/>
        <v>7.2863332020480343E-2</v>
      </c>
      <c r="AB56" s="18">
        <f t="shared" si="9"/>
        <v>1.0547263681591978E-2</v>
      </c>
      <c r="AC56" s="5">
        <f t="shared" si="7"/>
        <v>1.0547263681591978E-2</v>
      </c>
    </row>
    <row r="57" spans="1:29" x14ac:dyDescent="0.25">
      <c r="A57" t="s">
        <v>108</v>
      </c>
      <c r="B57" t="s">
        <v>109</v>
      </c>
      <c r="C57" s="14">
        <v>33</v>
      </c>
      <c r="D57" s="14">
        <v>29.5</v>
      </c>
      <c r="E57" s="15">
        <v>23.19</v>
      </c>
      <c r="F57" s="15">
        <v>21.72</v>
      </c>
      <c r="G57" s="15">
        <v>20</v>
      </c>
      <c r="H57" s="15">
        <v>18.149999999999999</v>
      </c>
      <c r="I57" s="15">
        <v>14.94</v>
      </c>
      <c r="J57" s="15">
        <v>14.92</v>
      </c>
      <c r="K57" s="15">
        <v>13.03</v>
      </c>
      <c r="L57" s="15">
        <v>12.66</v>
      </c>
      <c r="M57" s="15">
        <v>12.33</v>
      </c>
      <c r="N57" s="15">
        <v>10.51</v>
      </c>
      <c r="O57" s="16">
        <f t="shared" si="3"/>
        <v>16.145000000000003</v>
      </c>
      <c r="P57" s="4">
        <f t="shared" ca="1" si="4"/>
        <v>217</v>
      </c>
      <c r="Q57" s="4">
        <f t="shared" ca="1" si="1"/>
        <v>143</v>
      </c>
      <c r="R57" s="16">
        <f t="shared" ca="1" si="5"/>
        <v>31.609722222222221</v>
      </c>
      <c r="S57" s="5">
        <f t="shared" ca="1" si="6"/>
        <v>0.95786449193076595</v>
      </c>
      <c r="T57" s="18">
        <f t="shared" si="10"/>
        <v>6.7679558011049856E-2</v>
      </c>
      <c r="U57" s="18">
        <f t="shared" si="10"/>
        <v>8.5999999999999854E-2</v>
      </c>
      <c r="V57" s="18">
        <f t="shared" si="10"/>
        <v>0.10192837465564741</v>
      </c>
      <c r="W57" s="18">
        <f t="shared" si="9"/>
        <v>0.21485943775100402</v>
      </c>
      <c r="X57" s="18">
        <f t="shared" si="9"/>
        <v>1.3404825737264314E-3</v>
      </c>
      <c r="Y57" s="18">
        <f t="shared" si="9"/>
        <v>0.14504988488104376</v>
      </c>
      <c r="Z57" s="18">
        <f t="shared" si="9"/>
        <v>2.922590837282768E-2</v>
      </c>
      <c r="AA57" s="18">
        <f t="shared" si="9"/>
        <v>2.6763990267639981E-2</v>
      </c>
      <c r="AB57" s="18">
        <f t="shared" si="9"/>
        <v>0.17316841103710745</v>
      </c>
      <c r="AC57" s="5">
        <f t="shared" si="7"/>
        <v>1.3404825737264314E-3</v>
      </c>
    </row>
    <row r="58" spans="1:29" x14ac:dyDescent="0.25">
      <c r="A58" t="s">
        <v>110</v>
      </c>
      <c r="B58" t="s">
        <v>111</v>
      </c>
      <c r="C58" s="14">
        <v>38.4</v>
      </c>
      <c r="D58" s="14">
        <v>35.5</v>
      </c>
      <c r="E58" s="15">
        <v>37.36</v>
      </c>
      <c r="F58" s="15">
        <v>34.380000000000003</v>
      </c>
      <c r="G58" s="15">
        <v>29.25</v>
      </c>
      <c r="H58" s="15">
        <v>24.73</v>
      </c>
      <c r="I58" s="15">
        <v>22.7</v>
      </c>
      <c r="J58" s="15">
        <v>19.63</v>
      </c>
      <c r="K58" s="15">
        <v>22.04</v>
      </c>
      <c r="L58" s="15">
        <v>22.86</v>
      </c>
      <c r="M58" s="15">
        <v>22.25</v>
      </c>
      <c r="N58" s="15">
        <v>15.68</v>
      </c>
      <c r="O58" s="16">
        <f t="shared" si="3"/>
        <v>25.088000000000001</v>
      </c>
      <c r="P58" s="4">
        <f t="shared" ca="1" si="4"/>
        <v>217</v>
      </c>
      <c r="Q58" s="4">
        <f t="shared" ca="1" si="1"/>
        <v>143</v>
      </c>
      <c r="R58" s="16">
        <f t="shared" ca="1" si="5"/>
        <v>37.248055555555553</v>
      </c>
      <c r="S58" s="5">
        <f t="shared" ca="1" si="6"/>
        <v>0.48469609197845798</v>
      </c>
      <c r="T58" s="18">
        <f t="shared" si="10"/>
        <v>8.667830133798704E-2</v>
      </c>
      <c r="U58" s="18">
        <f t="shared" si="10"/>
        <v>0.17538461538461547</v>
      </c>
      <c r="V58" s="18">
        <f t="shared" si="10"/>
        <v>0.18277395875454916</v>
      </c>
      <c r="W58" s="18">
        <f t="shared" si="9"/>
        <v>8.9427312775330448E-2</v>
      </c>
      <c r="X58" s="18">
        <f t="shared" si="9"/>
        <v>0.15639327559857374</v>
      </c>
      <c r="Y58" s="18">
        <f t="shared" si="9"/>
        <v>-0.10934664246823955</v>
      </c>
      <c r="Z58" s="18">
        <f t="shared" si="9"/>
        <v>-3.5870516185476875E-2</v>
      </c>
      <c r="AA58" s="18">
        <f t="shared" si="9"/>
        <v>2.7415730337078559E-2</v>
      </c>
      <c r="AB58" s="18">
        <f t="shared" si="9"/>
        <v>0.41900510204081631</v>
      </c>
      <c r="AC58" s="5">
        <f t="shared" si="7"/>
        <v>-0.10934664246823955</v>
      </c>
    </row>
    <row r="59" spans="1:29" x14ac:dyDescent="0.25">
      <c r="A59" t="s">
        <v>112</v>
      </c>
      <c r="B59" t="s">
        <v>113</v>
      </c>
      <c r="C59" s="14">
        <v>44.1</v>
      </c>
      <c r="D59" s="14">
        <v>43.6</v>
      </c>
      <c r="E59" s="15">
        <v>42.95</v>
      </c>
      <c r="F59" s="15">
        <v>43.23</v>
      </c>
      <c r="G59" s="15">
        <v>41.93</v>
      </c>
      <c r="H59" s="15">
        <v>40.5</v>
      </c>
      <c r="I59" s="15">
        <v>36.65</v>
      </c>
      <c r="J59" s="15">
        <v>34.11</v>
      </c>
      <c r="K59" s="15">
        <v>32.61</v>
      </c>
      <c r="L59" s="15">
        <v>33.54</v>
      </c>
      <c r="M59" s="15">
        <v>33.42</v>
      </c>
      <c r="N59" s="15">
        <v>39.1</v>
      </c>
      <c r="O59" s="16">
        <f t="shared" si="3"/>
        <v>37.804000000000009</v>
      </c>
      <c r="P59" s="4">
        <f t="shared" ca="1" si="4"/>
        <v>217</v>
      </c>
      <c r="Q59" s="4">
        <f t="shared" ca="1" si="1"/>
        <v>143</v>
      </c>
      <c r="R59" s="16">
        <f t="shared" ca="1" si="5"/>
        <v>43.901388888888889</v>
      </c>
      <c r="S59" s="5">
        <f t="shared" ca="1" si="6"/>
        <v>0.16128951668841607</v>
      </c>
      <c r="T59" s="18">
        <f t="shared" si="10"/>
        <v>-6.4769835762200634E-3</v>
      </c>
      <c r="U59" s="18">
        <f t="shared" si="10"/>
        <v>3.1004054376341461E-2</v>
      </c>
      <c r="V59" s="18">
        <f t="shared" si="10"/>
        <v>3.5308641975308586E-2</v>
      </c>
      <c r="W59" s="18">
        <f t="shared" si="9"/>
        <v>0.10504774897680758</v>
      </c>
      <c r="X59" s="18">
        <f t="shared" si="9"/>
        <v>7.4464966285546774E-2</v>
      </c>
      <c r="Y59" s="18">
        <f t="shared" si="9"/>
        <v>4.5998160073597028E-2</v>
      </c>
      <c r="Z59" s="18">
        <f t="shared" si="9"/>
        <v>-2.7728085867620766E-2</v>
      </c>
      <c r="AA59" s="18">
        <f t="shared" si="9"/>
        <v>3.5906642728904536E-3</v>
      </c>
      <c r="AB59" s="18">
        <f t="shared" si="9"/>
        <v>-0.14526854219948848</v>
      </c>
      <c r="AC59" s="5">
        <f t="shared" si="7"/>
        <v>-0.14526854219948848</v>
      </c>
    </row>
    <row r="60" spans="1:29" x14ac:dyDescent="0.25">
      <c r="A60" t="s">
        <v>114</v>
      </c>
      <c r="B60" t="s">
        <v>115</v>
      </c>
      <c r="C60" s="14">
        <v>3.69</v>
      </c>
      <c r="D60" s="14">
        <v>3</v>
      </c>
      <c r="E60" s="15">
        <v>2.5499999999999998</v>
      </c>
      <c r="F60" s="15">
        <v>2.0299999999999998</v>
      </c>
      <c r="G60" s="15">
        <v>1.9</v>
      </c>
      <c r="H60" s="15">
        <v>1.45</v>
      </c>
      <c r="I60" s="15">
        <v>1.1399999999999999</v>
      </c>
      <c r="J60" s="15">
        <v>1.25</v>
      </c>
      <c r="K60" s="15">
        <v>1.36</v>
      </c>
      <c r="L60" s="15">
        <v>1.48</v>
      </c>
      <c r="M60" s="15">
        <v>1.19</v>
      </c>
      <c r="N60" s="15">
        <v>1.21</v>
      </c>
      <c r="O60" s="16">
        <f t="shared" si="3"/>
        <v>1.5559999999999998</v>
      </c>
      <c r="P60" s="4">
        <f t="shared" ca="1" si="4"/>
        <v>217</v>
      </c>
      <c r="Q60" s="4">
        <f t="shared" ca="1" si="1"/>
        <v>143</v>
      </c>
      <c r="R60" s="16">
        <f t="shared" ca="1" si="5"/>
        <v>3.4159166666666669</v>
      </c>
      <c r="S60" s="5">
        <f t="shared" ca="1" si="6"/>
        <v>1.1953191945158532</v>
      </c>
      <c r="T60" s="18">
        <f t="shared" si="10"/>
        <v>0.25615763546798043</v>
      </c>
      <c r="U60" s="18">
        <f t="shared" si="10"/>
        <v>6.8421052631578938E-2</v>
      </c>
      <c r="V60" s="18">
        <f t="shared" si="10"/>
        <v>0.31034482758620685</v>
      </c>
      <c r="W60" s="18">
        <f t="shared" si="9"/>
        <v>0.27192982456140369</v>
      </c>
      <c r="X60" s="18">
        <f t="shared" si="9"/>
        <v>-8.8000000000000078E-2</v>
      </c>
      <c r="Y60" s="18">
        <f t="shared" si="9"/>
        <v>-8.0882352941176516E-2</v>
      </c>
      <c r="Z60" s="18">
        <f t="shared" si="9"/>
        <v>-8.108108108108103E-2</v>
      </c>
      <c r="AA60" s="18">
        <f t="shared" si="9"/>
        <v>0.24369747899159666</v>
      </c>
      <c r="AB60" s="18">
        <f t="shared" si="9"/>
        <v>-1.6528925619834767E-2</v>
      </c>
      <c r="AC60" s="5">
        <f t="shared" si="7"/>
        <v>-8.8000000000000078E-2</v>
      </c>
    </row>
    <row r="61" spans="1:29" x14ac:dyDescent="0.25">
      <c r="A61" t="s">
        <v>116</v>
      </c>
      <c r="B61" t="s">
        <v>117</v>
      </c>
      <c r="C61" s="14">
        <v>18.100000000000001</v>
      </c>
      <c r="D61" s="14">
        <v>15.7</v>
      </c>
      <c r="E61" s="15">
        <v>15.79</v>
      </c>
      <c r="F61" s="15">
        <v>15.07</v>
      </c>
      <c r="G61" s="15">
        <v>13.27</v>
      </c>
      <c r="H61" s="15">
        <v>12.13</v>
      </c>
      <c r="I61" s="15">
        <v>9.6999999999999993</v>
      </c>
      <c r="J61" s="15">
        <v>11.65</v>
      </c>
      <c r="K61" s="15">
        <v>9.57</v>
      </c>
      <c r="L61" s="15"/>
      <c r="M61" s="15"/>
      <c r="N61" s="15"/>
      <c r="O61" s="16">
        <f t="shared" si="3"/>
        <v>12.454285714285716</v>
      </c>
      <c r="P61" s="4">
        <f t="shared" ca="1" si="4"/>
        <v>217</v>
      </c>
      <c r="Q61" s="4">
        <f t="shared" ca="1" si="1"/>
        <v>143</v>
      </c>
      <c r="R61" s="16">
        <f t="shared" ca="1" si="5"/>
        <v>17.146666666666668</v>
      </c>
      <c r="S61" s="5">
        <f t="shared" ca="1" si="6"/>
        <v>0.3767683719507533</v>
      </c>
      <c r="T61" s="18">
        <f t="shared" si="10"/>
        <v>4.7777040477770427E-2</v>
      </c>
      <c r="U61" s="18">
        <f t="shared" si="10"/>
        <v>0.13564431047475511</v>
      </c>
      <c r="V61" s="18">
        <f t="shared" si="10"/>
        <v>9.3981863149216638E-2</v>
      </c>
      <c r="W61" s="18">
        <f t="shared" si="9"/>
        <v>0.25051546391752599</v>
      </c>
      <c r="X61" s="18">
        <f t="shared" si="9"/>
        <v>-0.16738197424892709</v>
      </c>
      <c r="Y61" s="18">
        <f t="shared" si="9"/>
        <v>0.21734587251828641</v>
      </c>
      <c r="Z61" s="18">
        <f t="shared" si="9"/>
        <v>99.999989999999997</v>
      </c>
      <c r="AA61" s="18">
        <f t="shared" si="9"/>
        <v>99.999989999999997</v>
      </c>
      <c r="AB61" s="18">
        <f t="shared" si="9"/>
        <v>99.999989999999997</v>
      </c>
      <c r="AC61" s="5">
        <f t="shared" si="7"/>
        <v>-0.16738197424892709</v>
      </c>
    </row>
    <row r="62" spans="1:29" x14ac:dyDescent="0.25">
      <c r="A62" t="s">
        <v>118</v>
      </c>
      <c r="B62" t="s">
        <v>119</v>
      </c>
      <c r="C62" s="14">
        <v>1.27</v>
      </c>
      <c r="D62" s="14">
        <v>1.37</v>
      </c>
      <c r="E62" s="15">
        <v>1.31</v>
      </c>
      <c r="F62" s="15">
        <v>1.08</v>
      </c>
      <c r="G62" s="15">
        <v>1.45</v>
      </c>
      <c r="H62" s="15">
        <v>1.57</v>
      </c>
      <c r="I62" s="15">
        <v>1.77</v>
      </c>
      <c r="J62" s="15">
        <v>1.4</v>
      </c>
      <c r="K62" s="15">
        <v>1.6</v>
      </c>
      <c r="L62" s="15">
        <v>1.57</v>
      </c>
      <c r="M62" s="15">
        <v>1.23</v>
      </c>
      <c r="N62" s="15">
        <v>1</v>
      </c>
      <c r="O62" s="16">
        <f t="shared" si="3"/>
        <v>1.3980000000000001</v>
      </c>
      <c r="P62" s="4">
        <f t="shared" ca="1" si="4"/>
        <v>217</v>
      </c>
      <c r="Q62" s="4">
        <f t="shared" ca="1" si="1"/>
        <v>143</v>
      </c>
      <c r="R62" s="16">
        <f t="shared" ca="1" si="5"/>
        <v>1.3097222222222222</v>
      </c>
      <c r="S62" s="5">
        <f t="shared" ca="1" si="6"/>
        <v>-6.3145763789540732E-2</v>
      </c>
      <c r="T62" s="18">
        <f t="shared" si="10"/>
        <v>0.21296296296296302</v>
      </c>
      <c r="U62" s="18">
        <f t="shared" si="10"/>
        <v>-0.2551724137931034</v>
      </c>
      <c r="V62" s="18">
        <f t="shared" si="10"/>
        <v>-7.6433121019108374E-2</v>
      </c>
      <c r="W62" s="18">
        <f t="shared" si="9"/>
        <v>-0.11299435028248583</v>
      </c>
      <c r="X62" s="18">
        <f t="shared" si="9"/>
        <v>0.26428571428571446</v>
      </c>
      <c r="Y62" s="18">
        <f t="shared" si="9"/>
        <v>-0.12500000000000011</v>
      </c>
      <c r="Z62" s="18">
        <f t="shared" si="9"/>
        <v>1.9108280254777066E-2</v>
      </c>
      <c r="AA62" s="18">
        <f t="shared" si="9"/>
        <v>0.27642276422764245</v>
      </c>
      <c r="AB62" s="18">
        <f t="shared" si="9"/>
        <v>0.22999999999999998</v>
      </c>
      <c r="AC62" s="5">
        <f t="shared" si="7"/>
        <v>-0.2551724137931034</v>
      </c>
    </row>
    <row r="63" spans="1:29" x14ac:dyDescent="0.25">
      <c r="A63" t="s">
        <v>120</v>
      </c>
      <c r="B63" t="s">
        <v>121</v>
      </c>
      <c r="C63" s="14">
        <v>11.1</v>
      </c>
      <c r="D63" s="14">
        <v>9.9700000000000006</v>
      </c>
      <c r="E63" s="15">
        <v>8.6</v>
      </c>
      <c r="F63" s="15">
        <v>8.06</v>
      </c>
      <c r="G63" s="15">
        <v>7.84</v>
      </c>
      <c r="H63" s="15">
        <v>6.97</v>
      </c>
      <c r="I63" s="15">
        <v>5.55</v>
      </c>
      <c r="J63" s="15">
        <v>4.5599999999999996</v>
      </c>
      <c r="K63" s="15">
        <v>3.3</v>
      </c>
      <c r="L63" s="15"/>
      <c r="M63" s="15"/>
      <c r="N63" s="15"/>
      <c r="O63" s="16">
        <f t="shared" si="3"/>
        <v>6.411428571428571</v>
      </c>
      <c r="P63" s="4">
        <f t="shared" ca="1" si="4"/>
        <v>217</v>
      </c>
      <c r="Q63" s="4">
        <f t="shared" ca="1" si="1"/>
        <v>143</v>
      </c>
      <c r="R63" s="16">
        <f t="shared" ca="1" si="5"/>
        <v>10.651138888888889</v>
      </c>
      <c r="S63" s="5">
        <f t="shared" ca="1" si="6"/>
        <v>0.6612738908694793</v>
      </c>
      <c r="T63" s="18">
        <f t="shared" si="10"/>
        <v>6.6997518610421691E-2</v>
      </c>
      <c r="U63" s="18">
        <f t="shared" si="10"/>
        <v>2.8061224489795977E-2</v>
      </c>
      <c r="V63" s="18">
        <f t="shared" si="10"/>
        <v>0.12482065997130554</v>
      </c>
      <c r="W63" s="18">
        <f t="shared" si="9"/>
        <v>0.25585585585585591</v>
      </c>
      <c r="X63" s="18">
        <f t="shared" si="9"/>
        <v>0.21710526315789491</v>
      </c>
      <c r="Y63" s="18">
        <f t="shared" si="9"/>
        <v>0.38181818181818183</v>
      </c>
      <c r="Z63" s="18">
        <f t="shared" si="9"/>
        <v>99.999989999999997</v>
      </c>
      <c r="AA63" s="18">
        <f t="shared" si="9"/>
        <v>99.999989999999997</v>
      </c>
      <c r="AB63" s="18">
        <f t="shared" si="9"/>
        <v>99.999989999999997</v>
      </c>
      <c r="AC63" s="5">
        <f t="shared" si="7"/>
        <v>2.8061224489795977E-2</v>
      </c>
    </row>
    <row r="64" spans="1:29" x14ac:dyDescent="0.25">
      <c r="A64" t="s">
        <v>122</v>
      </c>
      <c r="B64" t="s">
        <v>123</v>
      </c>
      <c r="C64" s="14">
        <v>2.74</v>
      </c>
      <c r="D64" s="14">
        <v>2.4</v>
      </c>
      <c r="E64" s="15">
        <v>2.0699999999999998</v>
      </c>
      <c r="F64" s="15">
        <v>1.58</v>
      </c>
      <c r="G64" s="15">
        <v>1.8</v>
      </c>
      <c r="H64" s="15">
        <v>2.4900000000000002</v>
      </c>
      <c r="I64" s="15">
        <v>1.96</v>
      </c>
      <c r="J64" s="41"/>
      <c r="K64" s="41"/>
      <c r="L64" s="41"/>
      <c r="M64" s="41"/>
      <c r="N64" s="41"/>
      <c r="O64" s="16">
        <f t="shared" si="3"/>
        <v>1.98</v>
      </c>
      <c r="P64" s="4">
        <f t="shared" ca="1" si="4"/>
        <v>217</v>
      </c>
      <c r="Q64" s="4">
        <f t="shared" ca="1" si="1"/>
        <v>143</v>
      </c>
      <c r="R64" s="16">
        <f t="shared" ca="1" si="5"/>
        <v>2.6049444444444445</v>
      </c>
      <c r="S64" s="5">
        <f t="shared" ca="1" si="6"/>
        <v>0.31562850729517411</v>
      </c>
      <c r="T64" s="18">
        <f t="shared" si="10"/>
        <v>0.31012658227848089</v>
      </c>
      <c r="U64" s="18">
        <f t="shared" si="10"/>
        <v>-0.12222222222222223</v>
      </c>
      <c r="V64" s="18">
        <f t="shared" si="10"/>
        <v>-0.27710843373493976</v>
      </c>
      <c r="W64" s="18">
        <f t="shared" si="9"/>
        <v>0.27040816326530615</v>
      </c>
      <c r="X64" s="18">
        <f t="shared" si="9"/>
        <v>99.999989999999997</v>
      </c>
      <c r="Y64" s="18">
        <f t="shared" si="9"/>
        <v>99.999989999999997</v>
      </c>
      <c r="Z64" s="18">
        <f t="shared" si="9"/>
        <v>99.999989999999997</v>
      </c>
      <c r="AA64" s="18">
        <f t="shared" si="9"/>
        <v>99.999989999999997</v>
      </c>
      <c r="AB64" s="18">
        <f t="shared" si="9"/>
        <v>99.999989999999997</v>
      </c>
      <c r="AC64" s="5">
        <f t="shared" si="7"/>
        <v>-0.27710843373493976</v>
      </c>
    </row>
    <row r="65" spans="1:29" x14ac:dyDescent="0.25">
      <c r="A65" t="s">
        <v>124</v>
      </c>
      <c r="B65" t="s">
        <v>125</v>
      </c>
      <c r="C65" s="14">
        <v>79.8</v>
      </c>
      <c r="D65" s="14">
        <v>75.400000000000006</v>
      </c>
      <c r="E65" s="15">
        <v>68.62</v>
      </c>
      <c r="F65" s="15">
        <v>51.4</v>
      </c>
      <c r="G65" s="15">
        <v>55.05</v>
      </c>
      <c r="H65" s="15">
        <v>604.66999999999996</v>
      </c>
      <c r="I65" s="15">
        <v>492.76</v>
      </c>
      <c r="J65" s="15">
        <v>391.75</v>
      </c>
      <c r="K65" s="15">
        <v>757.32</v>
      </c>
      <c r="L65" s="15">
        <v>781.53</v>
      </c>
      <c r="M65" s="15">
        <v>665</v>
      </c>
      <c r="N65" s="15">
        <v>621.01</v>
      </c>
      <c r="O65" s="16">
        <f t="shared" si="3"/>
        <v>448.91100000000006</v>
      </c>
      <c r="P65" s="4">
        <f t="shared" ca="1" si="4"/>
        <v>217</v>
      </c>
      <c r="Q65" s="4">
        <f t="shared" ca="1" si="1"/>
        <v>143</v>
      </c>
      <c r="R65" s="16">
        <f t="shared" ca="1" si="5"/>
        <v>78.052222222222227</v>
      </c>
      <c r="S65" s="5">
        <f t="shared" ca="1" si="6"/>
        <v>-0.82612985152464025</v>
      </c>
      <c r="T65" s="18">
        <f t="shared" si="10"/>
        <v>0.33501945525291843</v>
      </c>
      <c r="U65" s="18">
        <f t="shared" si="10"/>
        <v>-6.6303360581289716E-2</v>
      </c>
      <c r="V65" s="18">
        <f t="shared" si="10"/>
        <v>-0.90895860552036645</v>
      </c>
      <c r="W65" s="18">
        <f t="shared" si="9"/>
        <v>0.22710853153665056</v>
      </c>
      <c r="X65" s="18">
        <f t="shared" si="9"/>
        <v>0.25784301212507965</v>
      </c>
      <c r="Y65" s="18">
        <f t="shared" si="9"/>
        <v>-0.48271536470712517</v>
      </c>
      <c r="Z65" s="18">
        <f t="shared" si="9"/>
        <v>-3.0977697593182474E-2</v>
      </c>
      <c r="AA65" s="18">
        <f t="shared" si="9"/>
        <v>0.17523308270676696</v>
      </c>
      <c r="AB65" s="18">
        <f t="shared" si="9"/>
        <v>7.0836218418383057E-2</v>
      </c>
      <c r="AC65" s="5">
        <f t="shared" si="7"/>
        <v>-0.90895860552036645</v>
      </c>
    </row>
    <row r="66" spans="1:29" x14ac:dyDescent="0.25">
      <c r="A66" t="s">
        <v>126</v>
      </c>
      <c r="B66" t="s">
        <v>127</v>
      </c>
      <c r="C66" s="14">
        <v>184</v>
      </c>
      <c r="D66" s="14">
        <v>172</v>
      </c>
      <c r="E66" s="15">
        <v>159.77000000000001</v>
      </c>
      <c r="F66" s="15">
        <v>151.5</v>
      </c>
      <c r="G66" s="15">
        <v>182.5</v>
      </c>
      <c r="H66" s="15">
        <v>200.67</v>
      </c>
      <c r="I66" s="15"/>
      <c r="J66" s="15"/>
      <c r="K66" s="15"/>
      <c r="L66" s="15"/>
      <c r="M66" s="15"/>
      <c r="N66" s="15"/>
      <c r="O66" s="16">
        <f t="shared" si="3"/>
        <v>173.60999999999999</v>
      </c>
      <c r="P66" s="4">
        <f t="shared" ca="1" si="4"/>
        <v>217</v>
      </c>
      <c r="Q66" s="4">
        <f t="shared" ca="1" si="1"/>
        <v>143</v>
      </c>
      <c r="R66" s="16">
        <f t="shared" ca="1" si="5"/>
        <v>179.23333333333332</v>
      </c>
      <c r="S66" s="5">
        <f t="shared" ca="1" si="6"/>
        <v>3.2390607299886742E-2</v>
      </c>
      <c r="T66" s="18">
        <f t="shared" si="10"/>
        <v>5.4587458745874562E-2</v>
      </c>
      <c r="U66" s="18">
        <f t="shared" si="10"/>
        <v>-0.16986301369863011</v>
      </c>
      <c r="V66" s="18">
        <f t="shared" si="10"/>
        <v>-9.0546668659988949E-2</v>
      </c>
      <c r="W66" s="18">
        <f t="shared" si="9"/>
        <v>99.999989999999997</v>
      </c>
      <c r="X66" s="18">
        <f t="shared" si="9"/>
        <v>99.999989999999997</v>
      </c>
      <c r="Y66" s="18">
        <f t="shared" si="9"/>
        <v>99.999989999999997</v>
      </c>
      <c r="Z66" s="18">
        <f t="shared" si="9"/>
        <v>99.999989999999997</v>
      </c>
      <c r="AA66" s="18">
        <f t="shared" si="9"/>
        <v>99.999989999999997</v>
      </c>
      <c r="AB66" s="18">
        <f t="shared" si="9"/>
        <v>99.999989999999997</v>
      </c>
      <c r="AC66" s="5">
        <f t="shared" si="7"/>
        <v>-0.16986301369863011</v>
      </c>
    </row>
    <row r="67" spans="1:29" x14ac:dyDescent="0.25">
      <c r="A67" t="s">
        <v>128</v>
      </c>
      <c r="B67" t="s">
        <v>129</v>
      </c>
      <c r="C67" s="14">
        <v>10.9</v>
      </c>
      <c r="D67" s="14">
        <v>10.7</v>
      </c>
      <c r="E67" s="15">
        <v>10.41</v>
      </c>
      <c r="F67" s="15">
        <v>9.9</v>
      </c>
      <c r="G67" s="15">
        <v>9.8699999999999992</v>
      </c>
      <c r="H67" s="15">
        <v>8.3000000000000007</v>
      </c>
      <c r="I67" s="15">
        <v>7.95</v>
      </c>
      <c r="J67" s="15">
        <v>10.45</v>
      </c>
      <c r="K67" s="15">
        <v>7.82</v>
      </c>
      <c r="L67" s="15">
        <v>8.11</v>
      </c>
      <c r="M67" s="15">
        <v>7.69</v>
      </c>
      <c r="N67" s="15">
        <v>6.94</v>
      </c>
      <c r="O67" s="16">
        <f t="shared" si="3"/>
        <v>8.7440000000000015</v>
      </c>
      <c r="P67" s="4">
        <f t="shared" ca="1" si="4"/>
        <v>217</v>
      </c>
      <c r="Q67" s="4">
        <f t="shared" ca="1" si="1"/>
        <v>143</v>
      </c>
      <c r="R67" s="16">
        <f t="shared" ca="1" si="5"/>
        <v>10.820555555555554</v>
      </c>
      <c r="S67" s="5">
        <f t="shared" ca="1" si="6"/>
        <v>0.23748348073599646</v>
      </c>
      <c r="T67" s="18">
        <f t="shared" si="10"/>
        <v>5.1515151515151514E-2</v>
      </c>
      <c r="U67" s="18">
        <f t="shared" si="10"/>
        <v>3.0395136778116338E-3</v>
      </c>
      <c r="V67" s="18">
        <f t="shared" si="10"/>
        <v>0.18915662650602383</v>
      </c>
      <c r="W67" s="18">
        <f t="shared" si="9"/>
        <v>4.4025157232704393E-2</v>
      </c>
      <c r="X67" s="18">
        <f t="shared" si="9"/>
        <v>-0.23923444976076547</v>
      </c>
      <c r="Y67" s="18">
        <f t="shared" si="9"/>
        <v>0.33631713554987197</v>
      </c>
      <c r="Z67" s="18">
        <f t="shared" si="9"/>
        <v>-3.5758323057953012E-2</v>
      </c>
      <c r="AA67" s="18">
        <f t="shared" si="9"/>
        <v>5.4616384915474603E-2</v>
      </c>
      <c r="AB67" s="18">
        <f t="shared" si="9"/>
        <v>0.10806916426512969</v>
      </c>
      <c r="AC67" s="5">
        <f t="shared" si="7"/>
        <v>-0.23923444976076547</v>
      </c>
    </row>
    <row r="68" spans="1:29" x14ac:dyDescent="0.25">
      <c r="A68" t="s">
        <v>130</v>
      </c>
      <c r="B68" t="s">
        <v>131</v>
      </c>
      <c r="C68" s="14">
        <v>12.2</v>
      </c>
      <c r="D68" s="14">
        <v>12.5</v>
      </c>
      <c r="E68" s="15">
        <v>12.75</v>
      </c>
      <c r="F68" s="15">
        <v>12.81</v>
      </c>
      <c r="G68" s="15">
        <v>13.27</v>
      </c>
      <c r="H68" s="15">
        <v>14.54</v>
      </c>
      <c r="I68" s="15">
        <v>12.99</v>
      </c>
      <c r="J68" s="15">
        <v>9.3800000000000008</v>
      </c>
      <c r="K68" s="15">
        <v>12.41</v>
      </c>
      <c r="L68" s="15">
        <v>13.38</v>
      </c>
      <c r="M68" s="15">
        <v>12.04</v>
      </c>
      <c r="N68" s="15">
        <v>13.73</v>
      </c>
      <c r="O68" s="16">
        <f t="shared" si="3"/>
        <v>12.73</v>
      </c>
      <c r="P68" s="4">
        <f t="shared" ca="1" si="4"/>
        <v>217</v>
      </c>
      <c r="Q68" s="4">
        <f t="shared" ref="Q68" ca="1" si="11">DAYS360(TODAY(),CONCATENATE("31.12.",Q$2))</f>
        <v>143</v>
      </c>
      <c r="R68" s="16">
        <f t="shared" ca="1" si="5"/>
        <v>12.319166666666666</v>
      </c>
      <c r="S68" s="5">
        <f t="shared" ca="1" si="6"/>
        <v>-3.2272846294841617E-2</v>
      </c>
      <c r="T68" s="18">
        <f t="shared" si="10"/>
        <v>-4.6838407494145251E-3</v>
      </c>
      <c r="U68" s="18">
        <f t="shared" si="10"/>
        <v>-3.466465712132627E-2</v>
      </c>
      <c r="V68" s="18">
        <f t="shared" si="10"/>
        <v>-8.7345254470426403E-2</v>
      </c>
      <c r="W68" s="18">
        <f t="shared" si="9"/>
        <v>0.11932255581216311</v>
      </c>
      <c r="X68" s="18">
        <f t="shared" si="9"/>
        <v>0.38486140724946694</v>
      </c>
      <c r="Y68" s="18">
        <f t="shared" si="9"/>
        <v>-0.2441579371474617</v>
      </c>
      <c r="Z68" s="18">
        <f t="shared" si="9"/>
        <v>-7.2496263079222745E-2</v>
      </c>
      <c r="AA68" s="18">
        <f t="shared" si="9"/>
        <v>0.11129568106312315</v>
      </c>
      <c r="AB68" s="18">
        <f t="shared" si="9"/>
        <v>-0.12308812818645309</v>
      </c>
      <c r="AC68" s="5">
        <f t="shared" si="7"/>
        <v>-0.2441579371474617</v>
      </c>
    </row>
  </sheetData>
  <mergeCells count="2">
    <mergeCell ref="P1:Q1"/>
    <mergeCell ref="T1:AB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8"/>
  <sheetViews>
    <sheetView zoomScale="60" zoomScaleNormal="60" workbookViewId="0"/>
  </sheetViews>
  <sheetFormatPr baseColWidth="10" defaultRowHeight="15" x14ac:dyDescent="0.25"/>
  <cols>
    <col min="1" max="1" width="28" customWidth="1"/>
    <col min="2" max="2" width="20.85546875" customWidth="1"/>
    <col min="3" max="3" width="10.85546875" bestFit="1" customWidth="1"/>
    <col min="4" max="4" width="11.28515625" bestFit="1" customWidth="1"/>
    <col min="5" max="5" width="10.5703125" bestFit="1" customWidth="1"/>
    <col min="6" max="13" width="11.140625" bestFit="1" customWidth="1"/>
    <col min="14" max="14" width="12" bestFit="1" customWidth="1"/>
    <col min="15" max="15" width="14.140625" bestFit="1" customWidth="1"/>
    <col min="16" max="16" width="10.85546875" bestFit="1" customWidth="1"/>
    <col min="17" max="17" width="11.28515625" bestFit="1" customWidth="1"/>
    <col min="18" max="18" width="19.42578125" bestFit="1" customWidth="1"/>
    <col min="19" max="19" width="29.7109375" bestFit="1" customWidth="1"/>
    <col min="20" max="20" width="11.5703125" bestFit="1" customWidth="1"/>
    <col min="21" max="21" width="12.28515625" bestFit="1" customWidth="1"/>
    <col min="22" max="22" width="11.5703125" bestFit="1" customWidth="1"/>
    <col min="23" max="24" width="12" bestFit="1" customWidth="1"/>
    <col min="25" max="25" width="12.28515625" bestFit="1" customWidth="1"/>
    <col min="26" max="28" width="12" bestFit="1" customWidth="1"/>
    <col min="29" max="29" width="35.5703125" bestFit="1" customWidth="1"/>
  </cols>
  <sheetData>
    <row r="1" spans="1:2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60" t="s">
        <v>145</v>
      </c>
      <c r="Q1" s="60"/>
      <c r="R1" s="1"/>
      <c r="S1" s="1"/>
      <c r="T1" s="60" t="s">
        <v>158</v>
      </c>
      <c r="U1" s="60"/>
      <c r="V1" s="60"/>
      <c r="W1" s="60"/>
      <c r="X1" s="60"/>
      <c r="Y1" s="60"/>
      <c r="Z1" s="60"/>
      <c r="AA1" s="60"/>
      <c r="AB1" s="60"/>
    </row>
    <row r="2" spans="1:29" x14ac:dyDescent="0.25">
      <c r="A2" s="1"/>
      <c r="B2" s="1"/>
      <c r="C2" s="1">
        <v>2015</v>
      </c>
      <c r="D2" s="1">
        <v>2014</v>
      </c>
      <c r="E2" s="1">
        <v>2013</v>
      </c>
      <c r="F2" s="1">
        <v>2012</v>
      </c>
      <c r="G2" s="1">
        <v>2011</v>
      </c>
      <c r="H2" s="1">
        <v>2010</v>
      </c>
      <c r="I2" s="1">
        <v>2009</v>
      </c>
      <c r="J2" s="1">
        <v>2008</v>
      </c>
      <c r="K2" s="1">
        <v>2007</v>
      </c>
      <c r="L2" s="1">
        <v>2006</v>
      </c>
      <c r="M2" s="1">
        <v>2005</v>
      </c>
      <c r="N2" s="1">
        <v>2004</v>
      </c>
      <c r="O2" s="1"/>
      <c r="P2" s="1">
        <f>C2</f>
        <v>2015</v>
      </c>
      <c r="Q2" s="1">
        <f>D2</f>
        <v>2014</v>
      </c>
      <c r="R2" s="1"/>
      <c r="S2" s="1"/>
      <c r="T2" s="1">
        <f>E2</f>
        <v>2013</v>
      </c>
      <c r="U2" s="1">
        <f>F2</f>
        <v>2012</v>
      </c>
      <c r="V2" s="1">
        <f>G2</f>
        <v>2011</v>
      </c>
      <c r="W2" s="1">
        <f t="shared" ref="W2:AB2" si="0">H2</f>
        <v>2010</v>
      </c>
      <c r="X2" s="1">
        <f t="shared" si="0"/>
        <v>2009</v>
      </c>
      <c r="Y2" s="1">
        <f t="shared" si="0"/>
        <v>2008</v>
      </c>
      <c r="Z2" s="1">
        <f t="shared" si="0"/>
        <v>2007</v>
      </c>
      <c r="AA2" s="1">
        <f t="shared" si="0"/>
        <v>2006</v>
      </c>
      <c r="AB2" s="1">
        <f t="shared" si="0"/>
        <v>2005</v>
      </c>
    </row>
    <row r="3" spans="1:29" x14ac:dyDescent="0.25">
      <c r="A3" s="1" t="s">
        <v>0</v>
      </c>
      <c r="B3" s="1" t="s">
        <v>1</v>
      </c>
      <c r="C3" s="1" t="s">
        <v>142</v>
      </c>
      <c r="D3" s="1" t="s">
        <v>143</v>
      </c>
      <c r="E3" s="1" t="s">
        <v>132</v>
      </c>
      <c r="F3" s="1" t="s">
        <v>133</v>
      </c>
      <c r="G3" s="1" t="s">
        <v>134</v>
      </c>
      <c r="H3" s="1" t="s">
        <v>135</v>
      </c>
      <c r="I3" s="1" t="s">
        <v>136</v>
      </c>
      <c r="J3" s="1" t="s">
        <v>137</v>
      </c>
      <c r="K3" s="1" t="s">
        <v>138</v>
      </c>
      <c r="L3" s="1" t="s">
        <v>139</v>
      </c>
      <c r="M3" s="1" t="s">
        <v>140</v>
      </c>
      <c r="N3" s="1" t="s">
        <v>141</v>
      </c>
      <c r="O3" s="1" t="s">
        <v>156</v>
      </c>
      <c r="P3" s="1" t="s">
        <v>142</v>
      </c>
      <c r="Q3" s="1" t="s">
        <v>143</v>
      </c>
      <c r="R3" s="1" t="s">
        <v>214</v>
      </c>
      <c r="S3" s="1" t="s">
        <v>157</v>
      </c>
      <c r="T3" s="1" t="s">
        <v>132</v>
      </c>
      <c r="U3" s="1" t="s">
        <v>133</v>
      </c>
      <c r="V3" s="1" t="s">
        <v>134</v>
      </c>
      <c r="W3" s="1" t="s">
        <v>135</v>
      </c>
      <c r="X3" s="1" t="s">
        <v>136</v>
      </c>
      <c r="Y3" s="1" t="s">
        <v>137</v>
      </c>
      <c r="Z3" s="1" t="s">
        <v>138</v>
      </c>
      <c r="AA3" s="1" t="s">
        <v>139</v>
      </c>
      <c r="AB3" s="1" t="s">
        <v>140</v>
      </c>
      <c r="AC3" s="1" t="s">
        <v>159</v>
      </c>
    </row>
    <row r="4" spans="1:29" x14ac:dyDescent="0.25">
      <c r="A4" t="s">
        <v>2</v>
      </c>
      <c r="B4" t="s">
        <v>3</v>
      </c>
      <c r="C4" s="14">
        <v>4.6100000000000003</v>
      </c>
      <c r="D4" s="14">
        <v>4.25</v>
      </c>
      <c r="E4" s="15">
        <v>3.7</v>
      </c>
      <c r="F4" s="15">
        <v>3.89</v>
      </c>
      <c r="G4" s="15">
        <v>3.78</v>
      </c>
      <c r="H4" s="15">
        <v>4.26</v>
      </c>
      <c r="I4" s="15">
        <v>3.69</v>
      </c>
      <c r="J4" s="15">
        <v>3.59</v>
      </c>
      <c r="K4" s="41">
        <v>3.22</v>
      </c>
      <c r="L4" s="15">
        <v>3.04</v>
      </c>
      <c r="M4" s="15">
        <v>2.62</v>
      </c>
      <c r="N4" s="15">
        <v>2.27</v>
      </c>
      <c r="O4" s="16">
        <f>AVERAGE(E4:N4)</f>
        <v>3.4060000000000001</v>
      </c>
      <c r="P4" s="4">
        <f ca="1">360-Q4</f>
        <v>217</v>
      </c>
      <c r="Q4" s="4">
        <f t="shared" ref="Q4:Q35" ca="1" si="1">DAYS360(TODAY(),CONCATENATE("31.12.",Q$2))</f>
        <v>143</v>
      </c>
      <c r="R4" s="16">
        <f ca="1">(C4/360*P4)+(D4/360*Q4)</f>
        <v>4.4669999999999996</v>
      </c>
      <c r="S4" s="5">
        <f ca="1">(R4/O4)-1</f>
        <v>0.31150910158543721</v>
      </c>
      <c r="T4" s="18">
        <f t="shared" ref="T4:AB4" si="2">IF(F4&lt;&gt;"",(E4/F4)-1,99.99999)</f>
        <v>-4.8843187660668419E-2</v>
      </c>
      <c r="U4" s="18">
        <f t="shared" si="2"/>
        <v>2.9100529100529293E-2</v>
      </c>
      <c r="V4" s="18">
        <f t="shared" si="2"/>
        <v>-0.11267605633802813</v>
      </c>
      <c r="W4" s="18">
        <f t="shared" si="2"/>
        <v>0.15447154471544722</v>
      </c>
      <c r="X4" s="18">
        <f t="shared" si="2"/>
        <v>2.7855153203342642E-2</v>
      </c>
      <c r="Y4" s="18">
        <f t="shared" si="2"/>
        <v>0.11490683229813659</v>
      </c>
      <c r="Z4" s="18">
        <f t="shared" si="2"/>
        <v>5.9210526315789602E-2</v>
      </c>
      <c r="AA4" s="18">
        <f t="shared" si="2"/>
        <v>0.16030534351145032</v>
      </c>
      <c r="AB4" s="18">
        <f t="shared" si="2"/>
        <v>0.15418502202643181</v>
      </c>
      <c r="AC4" s="5">
        <f>MIN(T4:AB4)</f>
        <v>-0.11267605633802813</v>
      </c>
    </row>
    <row r="5" spans="1:29" x14ac:dyDescent="0.25">
      <c r="A5" t="s">
        <v>4</v>
      </c>
      <c r="B5" t="s">
        <v>5</v>
      </c>
      <c r="C5" s="14">
        <v>15.5</v>
      </c>
      <c r="D5" s="14">
        <v>14.4</v>
      </c>
      <c r="E5" s="15">
        <v>12.93</v>
      </c>
      <c r="F5" s="15">
        <v>11.16</v>
      </c>
      <c r="G5" s="15">
        <v>10.98</v>
      </c>
      <c r="H5" s="15">
        <v>10.11</v>
      </c>
      <c r="I5" s="15">
        <v>9.02</v>
      </c>
      <c r="J5" s="15">
        <v>10.23</v>
      </c>
      <c r="K5" s="15">
        <v>11.16</v>
      </c>
      <c r="L5" s="15">
        <v>9.0500000000000007</v>
      </c>
      <c r="M5" s="15">
        <v>6.71</v>
      </c>
      <c r="N5" s="15">
        <v>7.81</v>
      </c>
      <c r="O5" s="16">
        <f t="shared" ref="O5:O68" si="3">AVERAGE(E5:N5)</f>
        <v>9.9160000000000004</v>
      </c>
      <c r="P5" s="4">
        <f t="shared" ref="P5:P68" ca="1" si="4">360-Q5</f>
        <v>217</v>
      </c>
      <c r="Q5" s="4">
        <f t="shared" ca="1" si="1"/>
        <v>143</v>
      </c>
      <c r="R5" s="16">
        <f t="shared" ref="R5:R68" ca="1" si="5">(C5/360*P5)+(D5/360*Q5)</f>
        <v>15.063055555555554</v>
      </c>
      <c r="S5" s="5">
        <f t="shared" ref="S5:S68" ca="1" si="6">(R5/O5)-1</f>
        <v>0.51906570749854319</v>
      </c>
      <c r="T5" s="18">
        <f t="shared" ref="T5:T68" si="7">IF(F5&lt;&gt;"",(E5/F5)-1,99.99999)</f>
        <v>0.15860215053763427</v>
      </c>
      <c r="U5" s="18">
        <f t="shared" ref="U5:U68" si="8">IF(G5&lt;&gt;"",(F5/G5)-1,99.99999)</f>
        <v>1.6393442622950838E-2</v>
      </c>
      <c r="V5" s="18">
        <f t="shared" ref="V5:V68" si="9">IF(H5&lt;&gt;"",(G5/H5)-1,99.99999)</f>
        <v>8.6053412462908208E-2</v>
      </c>
      <c r="W5" s="18">
        <f t="shared" ref="W5:W68" si="10">IF(I5&lt;&gt;"",(H5/I5)-1,99.99999)</f>
        <v>0.12084257206208426</v>
      </c>
      <c r="X5" s="18">
        <f t="shared" ref="X5:X68" si="11">IF(J5&lt;&gt;"",(I5/J5)-1,99.99999)</f>
        <v>-0.11827956989247324</v>
      </c>
      <c r="Y5" s="18">
        <f t="shared" ref="Y5:Y68" si="12">IF(K5&lt;&gt;"",(J5/K5)-1,99.99999)</f>
        <v>-8.3333333333333259E-2</v>
      </c>
      <c r="Z5" s="18">
        <f t="shared" ref="Z5:Z68" si="13">IF(L5&lt;&gt;"",(K5/L5)-1,99.99999)</f>
        <v>0.2331491712707181</v>
      </c>
      <c r="AA5" s="18">
        <f t="shared" ref="AA5:AA68" si="14">IF(M5&lt;&gt;"",(L5/M5)-1,99.99999)</f>
        <v>0.3487332339791358</v>
      </c>
      <c r="AB5" s="18">
        <f t="shared" ref="AB5:AB68" si="15">IF(N5&lt;&gt;"",(M5/N5)-1,99.99999)</f>
        <v>-0.14084507042253513</v>
      </c>
      <c r="AC5" s="5">
        <f t="shared" ref="AC5:AC68" si="16">MIN(T5:AB5)</f>
        <v>-0.14084507042253513</v>
      </c>
    </row>
    <row r="6" spans="1:29" x14ac:dyDescent="0.25">
      <c r="A6" t="s">
        <v>6</v>
      </c>
      <c r="B6" t="s">
        <v>7</v>
      </c>
      <c r="C6" s="14">
        <v>3.63</v>
      </c>
      <c r="D6" s="14">
        <v>3.64</v>
      </c>
      <c r="E6" s="15">
        <v>3.13</v>
      </c>
      <c r="F6" s="15">
        <v>3.32</v>
      </c>
      <c r="G6" s="15">
        <v>2.96</v>
      </c>
      <c r="H6" s="41">
        <v>2.13</v>
      </c>
      <c r="I6" s="15">
        <v>2.91</v>
      </c>
      <c r="J6" s="41">
        <v>2.44</v>
      </c>
      <c r="K6" s="15">
        <v>2.76</v>
      </c>
      <c r="L6" s="15">
        <v>2.36</v>
      </c>
      <c r="M6" s="15">
        <v>2.04</v>
      </c>
      <c r="N6" s="15">
        <v>1.7</v>
      </c>
      <c r="O6" s="16">
        <f t="shared" si="3"/>
        <v>2.5749999999999997</v>
      </c>
      <c r="P6" s="4">
        <f t="shared" ca="1" si="4"/>
        <v>217</v>
      </c>
      <c r="Q6" s="4">
        <f t="shared" ca="1" si="1"/>
        <v>143</v>
      </c>
      <c r="R6" s="16">
        <f t="shared" ca="1" si="5"/>
        <v>3.6339722222222219</v>
      </c>
      <c r="S6" s="5">
        <f t="shared" ca="1" si="6"/>
        <v>0.41125134843581446</v>
      </c>
      <c r="T6" s="18">
        <f t="shared" si="7"/>
        <v>-5.7228915662650537E-2</v>
      </c>
      <c r="U6" s="18">
        <f t="shared" si="8"/>
        <v>0.12162162162162149</v>
      </c>
      <c r="V6" s="18">
        <f t="shared" si="9"/>
        <v>0.38967136150234749</v>
      </c>
      <c r="W6" s="18">
        <f t="shared" si="10"/>
        <v>-0.26804123711340211</v>
      </c>
      <c r="X6" s="18">
        <f t="shared" si="11"/>
        <v>0.19262295081967218</v>
      </c>
      <c r="Y6" s="18">
        <f t="shared" si="12"/>
        <v>-0.11594202898550721</v>
      </c>
      <c r="Z6" s="18">
        <f t="shared" si="13"/>
        <v>0.16949152542372881</v>
      </c>
      <c r="AA6" s="18">
        <f t="shared" si="14"/>
        <v>0.1568627450980391</v>
      </c>
      <c r="AB6" s="18">
        <f t="shared" si="15"/>
        <v>0.19999999999999996</v>
      </c>
      <c r="AC6" s="5">
        <f t="shared" si="16"/>
        <v>-0.26804123711340211</v>
      </c>
    </row>
    <row r="7" spans="1:29" x14ac:dyDescent="0.25">
      <c r="A7" t="s">
        <v>8</v>
      </c>
      <c r="B7" t="s">
        <v>9</v>
      </c>
      <c r="C7" s="14">
        <v>3.36</v>
      </c>
      <c r="D7" s="14">
        <v>1.97</v>
      </c>
      <c r="E7" s="15">
        <v>0.65</v>
      </c>
      <c r="F7" s="15">
        <v>0.25</v>
      </c>
      <c r="G7" s="15">
        <v>4.3</v>
      </c>
      <c r="H7" s="15">
        <v>2.92</v>
      </c>
      <c r="I7" s="15">
        <v>6.94</v>
      </c>
      <c r="J7" s="15">
        <v>-7.61</v>
      </c>
      <c r="K7" s="15">
        <v>13.05</v>
      </c>
      <c r="L7" s="15">
        <v>11.55</v>
      </c>
      <c r="M7" s="15">
        <v>6.95</v>
      </c>
      <c r="N7" s="15">
        <v>4.53</v>
      </c>
      <c r="O7" s="16">
        <f t="shared" si="3"/>
        <v>4.3530000000000006</v>
      </c>
      <c r="P7" s="4">
        <f t="shared" ca="1" si="4"/>
        <v>217</v>
      </c>
      <c r="Q7" s="4">
        <f t="shared" ca="1" si="1"/>
        <v>143</v>
      </c>
      <c r="R7" s="16">
        <f t="shared" ca="1" si="5"/>
        <v>2.8078611111111109</v>
      </c>
      <c r="S7" s="5">
        <f t="shared" ca="1" si="6"/>
        <v>-0.35495954258876394</v>
      </c>
      <c r="T7" s="18">
        <f t="shared" si="7"/>
        <v>1.6</v>
      </c>
      <c r="U7" s="18">
        <f t="shared" si="8"/>
        <v>-0.94186046511627908</v>
      </c>
      <c r="V7" s="18">
        <f t="shared" si="9"/>
        <v>0.47260273972602729</v>
      </c>
      <c r="W7" s="18">
        <f t="shared" si="10"/>
        <v>-0.57925072046109516</v>
      </c>
      <c r="X7" s="18">
        <f t="shared" si="11"/>
        <v>-1.9119579500657031</v>
      </c>
      <c r="Y7" s="18">
        <f t="shared" si="12"/>
        <v>-1.5831417624521071</v>
      </c>
      <c r="Z7" s="18">
        <f t="shared" si="13"/>
        <v>0.12987012987012991</v>
      </c>
      <c r="AA7" s="18">
        <f t="shared" si="14"/>
        <v>0.66187050359712241</v>
      </c>
      <c r="AB7" s="18">
        <f t="shared" si="15"/>
        <v>0.53421633554083892</v>
      </c>
      <c r="AC7" s="5">
        <f t="shared" si="16"/>
        <v>-1.9119579500657031</v>
      </c>
    </row>
    <row r="8" spans="1:29" x14ac:dyDescent="0.25">
      <c r="A8" t="s">
        <v>10</v>
      </c>
      <c r="B8" t="s">
        <v>11</v>
      </c>
      <c r="C8" s="14">
        <v>2.82</v>
      </c>
      <c r="D8" s="14">
        <v>2.5499999999999998</v>
      </c>
      <c r="E8" s="15">
        <v>2.35</v>
      </c>
      <c r="F8" s="15">
        <v>1.95</v>
      </c>
      <c r="G8" s="15">
        <v>1.1000000000000001</v>
      </c>
      <c r="H8" s="15">
        <v>1.4</v>
      </c>
      <c r="I8" s="15">
        <v>1.65</v>
      </c>
      <c r="J8" s="15">
        <v>2.48</v>
      </c>
      <c r="K8" s="15">
        <v>1.93</v>
      </c>
      <c r="L8" s="41">
        <v>1.39</v>
      </c>
      <c r="M8" s="15">
        <v>1.45</v>
      </c>
      <c r="N8" s="15">
        <v>1.29</v>
      </c>
      <c r="O8" s="16">
        <f t="shared" si="3"/>
        <v>1.6990000000000003</v>
      </c>
      <c r="P8" s="4">
        <f t="shared" ca="1" si="4"/>
        <v>217</v>
      </c>
      <c r="Q8" s="4">
        <f t="shared" ca="1" si="1"/>
        <v>143</v>
      </c>
      <c r="R8" s="16">
        <f t="shared" ca="1" si="5"/>
        <v>2.7127499999999998</v>
      </c>
      <c r="S8" s="5">
        <f t="shared" ca="1" si="6"/>
        <v>0.59667451442024677</v>
      </c>
      <c r="T8" s="18">
        <f t="shared" si="7"/>
        <v>0.20512820512820529</v>
      </c>
      <c r="U8" s="18">
        <f t="shared" si="8"/>
        <v>0.77272727272727249</v>
      </c>
      <c r="V8" s="18">
        <f t="shared" si="9"/>
        <v>-0.21428571428571419</v>
      </c>
      <c r="W8" s="18">
        <f t="shared" si="10"/>
        <v>-0.15151515151515149</v>
      </c>
      <c r="X8" s="18">
        <f t="shared" si="11"/>
        <v>-0.33467741935483875</v>
      </c>
      <c r="Y8" s="18">
        <f t="shared" si="12"/>
        <v>0.28497409326424883</v>
      </c>
      <c r="Z8" s="18">
        <f t="shared" si="13"/>
        <v>0.38848920863309355</v>
      </c>
      <c r="AA8" s="18">
        <f t="shared" si="14"/>
        <v>-4.1379310344827669E-2</v>
      </c>
      <c r="AB8" s="18">
        <f t="shared" si="15"/>
        <v>0.12403100775193798</v>
      </c>
      <c r="AC8" s="5">
        <f t="shared" si="16"/>
        <v>-0.33467741935483875</v>
      </c>
    </row>
    <row r="9" spans="1:29" x14ac:dyDescent="0.25">
      <c r="A9" t="s">
        <v>12</v>
      </c>
      <c r="B9" t="s">
        <v>13</v>
      </c>
      <c r="C9" s="14">
        <v>1.92</v>
      </c>
      <c r="D9" s="14">
        <v>1.72</v>
      </c>
      <c r="E9" s="15">
        <v>1.66</v>
      </c>
      <c r="F9" s="15">
        <v>1.32</v>
      </c>
      <c r="G9" s="15">
        <v>0.96</v>
      </c>
      <c r="H9" s="15">
        <v>2.1</v>
      </c>
      <c r="I9" s="15">
        <v>0.53</v>
      </c>
      <c r="J9" s="15">
        <v>-1.4</v>
      </c>
      <c r="K9" s="15">
        <v>1.1499999999999999</v>
      </c>
      <c r="L9" s="15">
        <v>1.6</v>
      </c>
      <c r="M9" s="15">
        <v>1.99</v>
      </c>
      <c r="N9" s="15">
        <v>1.43</v>
      </c>
      <c r="O9" s="16">
        <f t="shared" si="3"/>
        <v>1.1339999999999999</v>
      </c>
      <c r="P9" s="4">
        <f t="shared" ca="1" si="4"/>
        <v>217</v>
      </c>
      <c r="Q9" s="4">
        <f t="shared" ca="1" si="1"/>
        <v>143</v>
      </c>
      <c r="R9" s="16">
        <f t="shared" ca="1" si="5"/>
        <v>1.8405555555555555</v>
      </c>
      <c r="S9" s="5">
        <f t="shared" ca="1" si="6"/>
        <v>0.62306486380560466</v>
      </c>
      <c r="T9" s="18">
        <f t="shared" si="7"/>
        <v>0.25757575757575735</v>
      </c>
      <c r="U9" s="18">
        <f t="shared" si="8"/>
        <v>0.37500000000000022</v>
      </c>
      <c r="V9" s="18">
        <f t="shared" si="9"/>
        <v>-0.54285714285714293</v>
      </c>
      <c r="W9" s="18">
        <f t="shared" si="10"/>
        <v>2.9622641509433962</v>
      </c>
      <c r="X9" s="18">
        <f t="shared" si="11"/>
        <v>-1.3785714285714286</v>
      </c>
      <c r="Y9" s="18">
        <f t="shared" si="12"/>
        <v>-2.2173913043478262</v>
      </c>
      <c r="Z9" s="18">
        <f t="shared" si="13"/>
        <v>-0.28125000000000011</v>
      </c>
      <c r="AA9" s="18">
        <f t="shared" si="14"/>
        <v>-0.1959798994974874</v>
      </c>
      <c r="AB9" s="18">
        <f t="shared" si="15"/>
        <v>0.39160839160839167</v>
      </c>
      <c r="AC9" s="5">
        <f t="shared" si="16"/>
        <v>-2.2173913043478262</v>
      </c>
    </row>
    <row r="10" spans="1:29" x14ac:dyDescent="0.25">
      <c r="A10" t="s">
        <v>14</v>
      </c>
      <c r="B10" t="s">
        <v>15</v>
      </c>
      <c r="C10" s="14">
        <v>0.57999999999999996</v>
      </c>
      <c r="D10" s="14">
        <v>0.59</v>
      </c>
      <c r="E10" s="15">
        <v>0.21</v>
      </c>
      <c r="F10" s="15">
        <v>-1.22</v>
      </c>
      <c r="G10" s="15">
        <v>0.13</v>
      </c>
      <c r="H10" s="15">
        <v>0.39</v>
      </c>
      <c r="I10" s="15">
        <v>0.08</v>
      </c>
      <c r="J10" s="15">
        <v>0.34</v>
      </c>
      <c r="K10" s="15">
        <v>0.13</v>
      </c>
      <c r="L10" s="15">
        <v>0.74</v>
      </c>
      <c r="M10" s="15">
        <v>1.31</v>
      </c>
      <c r="N10" s="15">
        <v>1.1000000000000001</v>
      </c>
      <c r="O10" s="16">
        <f t="shared" si="3"/>
        <v>0.32100000000000006</v>
      </c>
      <c r="P10" s="4">
        <f t="shared" ca="1" si="4"/>
        <v>217</v>
      </c>
      <c r="Q10" s="4">
        <f t="shared" ca="1" si="1"/>
        <v>143</v>
      </c>
      <c r="R10" s="16">
        <f t="shared" ca="1" si="5"/>
        <v>0.58397222222222211</v>
      </c>
      <c r="S10" s="5">
        <f t="shared" ca="1" si="6"/>
        <v>0.81922810661128342</v>
      </c>
      <c r="T10" s="18">
        <f t="shared" si="7"/>
        <v>-1.1721311475409837</v>
      </c>
      <c r="U10" s="18">
        <f t="shared" si="8"/>
        <v>-10.384615384615383</v>
      </c>
      <c r="V10" s="18">
        <f t="shared" si="9"/>
        <v>-0.66666666666666674</v>
      </c>
      <c r="W10" s="18">
        <f t="shared" si="10"/>
        <v>3.875</v>
      </c>
      <c r="X10" s="18">
        <f t="shared" si="11"/>
        <v>-0.76470588235294112</v>
      </c>
      <c r="Y10" s="18">
        <f t="shared" si="12"/>
        <v>1.6153846153846154</v>
      </c>
      <c r="Z10" s="18">
        <f t="shared" si="13"/>
        <v>-0.82432432432432434</v>
      </c>
      <c r="AA10" s="18">
        <f t="shared" si="14"/>
        <v>-0.43511450381679395</v>
      </c>
      <c r="AB10" s="18">
        <f t="shared" si="15"/>
        <v>0.19090909090909092</v>
      </c>
      <c r="AC10" s="5">
        <f t="shared" si="16"/>
        <v>-10.384615384615383</v>
      </c>
    </row>
    <row r="11" spans="1:29" x14ac:dyDescent="0.25">
      <c r="A11" t="s">
        <v>16</v>
      </c>
      <c r="B11" t="s">
        <v>17</v>
      </c>
      <c r="C11" s="14">
        <v>3.44</v>
      </c>
      <c r="D11" s="14">
        <v>2.98</v>
      </c>
      <c r="E11" s="15">
        <v>2.78</v>
      </c>
      <c r="F11" s="15">
        <v>2.37</v>
      </c>
      <c r="G11" s="15">
        <v>2.89</v>
      </c>
      <c r="H11" s="15">
        <v>1.52</v>
      </c>
      <c r="I11" s="15">
        <v>1.47</v>
      </c>
      <c r="J11" s="15">
        <v>1.55</v>
      </c>
      <c r="K11" s="15">
        <v>1.59</v>
      </c>
      <c r="L11" s="15">
        <v>1.52</v>
      </c>
      <c r="M11" s="15">
        <v>1.2</v>
      </c>
      <c r="N11" s="15">
        <v>1.05</v>
      </c>
      <c r="O11" s="16">
        <f t="shared" si="3"/>
        <v>1.794</v>
      </c>
      <c r="P11" s="4">
        <f t="shared" ca="1" si="4"/>
        <v>217</v>
      </c>
      <c r="Q11" s="4">
        <f t="shared" ca="1" si="1"/>
        <v>143</v>
      </c>
      <c r="R11" s="16">
        <f t="shared" ca="1" si="5"/>
        <v>3.2572777777777779</v>
      </c>
      <c r="S11" s="5">
        <f t="shared" ca="1" si="6"/>
        <v>0.81565093521615273</v>
      </c>
      <c r="T11" s="18">
        <f t="shared" si="7"/>
        <v>0.17299578059071719</v>
      </c>
      <c r="U11" s="18">
        <f t="shared" si="8"/>
        <v>-0.17993079584775085</v>
      </c>
      <c r="V11" s="18">
        <f t="shared" si="9"/>
        <v>0.90131578947368429</v>
      </c>
      <c r="W11" s="18">
        <f t="shared" si="10"/>
        <v>3.4013605442176909E-2</v>
      </c>
      <c r="X11" s="18">
        <f t="shared" si="11"/>
        <v>-5.1612903225806472E-2</v>
      </c>
      <c r="Y11" s="18">
        <f t="shared" si="12"/>
        <v>-2.515723270440251E-2</v>
      </c>
      <c r="Z11" s="18">
        <f t="shared" si="13"/>
        <v>4.6052631578947345E-2</v>
      </c>
      <c r="AA11" s="18">
        <f t="shared" si="14"/>
        <v>0.26666666666666683</v>
      </c>
      <c r="AB11" s="18">
        <f t="shared" si="15"/>
        <v>0.14285714285714279</v>
      </c>
      <c r="AC11" s="5">
        <f t="shared" si="16"/>
        <v>-0.17993079584775085</v>
      </c>
    </row>
    <row r="12" spans="1:29" x14ac:dyDescent="0.25">
      <c r="A12" t="s">
        <v>18</v>
      </c>
      <c r="B12" t="s">
        <v>19</v>
      </c>
      <c r="C12" s="14">
        <v>7.33</v>
      </c>
      <c r="D12" s="14">
        <v>6.37</v>
      </c>
      <c r="E12" s="15">
        <v>5.03</v>
      </c>
      <c r="F12" s="15">
        <v>5.04</v>
      </c>
      <c r="G12" s="15">
        <v>6.96</v>
      </c>
      <c r="H12" s="15">
        <v>4.4400000000000004</v>
      </c>
      <c r="I12" s="15">
        <v>2.63</v>
      </c>
      <c r="J12" s="15">
        <v>6.39</v>
      </c>
      <c r="K12" s="15">
        <v>4.0999999999999996</v>
      </c>
      <c r="L12" s="15">
        <v>3.26</v>
      </c>
      <c r="M12" s="15">
        <v>2.42</v>
      </c>
      <c r="N12" s="15">
        <v>3.66</v>
      </c>
      <c r="O12" s="16">
        <f t="shared" si="3"/>
        <v>4.3930000000000007</v>
      </c>
      <c r="P12" s="4">
        <f t="shared" ca="1" si="4"/>
        <v>217</v>
      </c>
      <c r="Q12" s="4">
        <f t="shared" ca="1" si="1"/>
        <v>143</v>
      </c>
      <c r="R12" s="16">
        <f t="shared" ca="1" si="5"/>
        <v>6.948666666666667</v>
      </c>
      <c r="S12" s="5">
        <f t="shared" ca="1" si="6"/>
        <v>0.58175885879049982</v>
      </c>
      <c r="T12" s="18">
        <f t="shared" si="7"/>
        <v>-1.9841269841269771E-3</v>
      </c>
      <c r="U12" s="18">
        <f t="shared" si="8"/>
        <v>-0.27586206896551724</v>
      </c>
      <c r="V12" s="18">
        <f t="shared" si="9"/>
        <v>0.56756756756756732</v>
      </c>
      <c r="W12" s="18">
        <f t="shared" si="10"/>
        <v>0.68821292775665421</v>
      </c>
      <c r="X12" s="18">
        <f t="shared" si="11"/>
        <v>-0.58841940532081383</v>
      </c>
      <c r="Y12" s="18">
        <f t="shared" si="12"/>
        <v>0.55853658536585371</v>
      </c>
      <c r="Z12" s="18">
        <f t="shared" si="13"/>
        <v>0.25766871165644178</v>
      </c>
      <c r="AA12" s="18">
        <f t="shared" si="14"/>
        <v>0.34710743801652888</v>
      </c>
      <c r="AB12" s="18">
        <f t="shared" si="15"/>
        <v>-0.33879781420765032</v>
      </c>
      <c r="AC12" s="5">
        <f t="shared" si="16"/>
        <v>-0.58841940532081383</v>
      </c>
    </row>
    <row r="13" spans="1:29" x14ac:dyDescent="0.25">
      <c r="A13" t="s">
        <v>20</v>
      </c>
      <c r="B13" t="s">
        <v>21</v>
      </c>
      <c r="C13" s="14">
        <v>13.8</v>
      </c>
      <c r="D13" s="14">
        <v>13.6</v>
      </c>
      <c r="E13" s="15">
        <v>13.05</v>
      </c>
      <c r="F13" s="15">
        <v>11.34</v>
      </c>
      <c r="G13" s="15">
        <v>5.48</v>
      </c>
      <c r="H13" s="15">
        <v>11.12</v>
      </c>
      <c r="I13" s="15">
        <v>9.5</v>
      </c>
      <c r="J13" s="15">
        <v>-5.47</v>
      </c>
      <c r="K13" s="15">
        <v>17.71</v>
      </c>
      <c r="L13" s="15">
        <v>16.78</v>
      </c>
      <c r="M13" s="15">
        <v>11.24</v>
      </c>
      <c r="N13" s="15">
        <v>5.98</v>
      </c>
      <c r="O13" s="16">
        <f t="shared" si="3"/>
        <v>9.673</v>
      </c>
      <c r="P13" s="4">
        <f t="shared" ca="1" si="4"/>
        <v>217</v>
      </c>
      <c r="Q13" s="4">
        <f t="shared" ca="1" si="1"/>
        <v>143</v>
      </c>
      <c r="R13" s="16">
        <f t="shared" ca="1" si="5"/>
        <v>13.720555555555556</v>
      </c>
      <c r="S13" s="5">
        <f t="shared" ca="1" si="6"/>
        <v>0.41843849431981361</v>
      </c>
      <c r="T13" s="18">
        <f t="shared" si="7"/>
        <v>0.15079365079365092</v>
      </c>
      <c r="U13" s="18">
        <f t="shared" si="8"/>
        <v>1.0693430656934306</v>
      </c>
      <c r="V13" s="18">
        <f t="shared" si="9"/>
        <v>-0.5071942446043165</v>
      </c>
      <c r="W13" s="18">
        <f t="shared" si="10"/>
        <v>0.17052631578947364</v>
      </c>
      <c r="X13" s="18">
        <f t="shared" si="11"/>
        <v>-2.7367458866544792</v>
      </c>
      <c r="Y13" s="18">
        <f t="shared" si="12"/>
        <v>-1.3088650479954826</v>
      </c>
      <c r="Z13" s="18">
        <f t="shared" si="13"/>
        <v>5.5423122765196675E-2</v>
      </c>
      <c r="AA13" s="18">
        <f t="shared" si="14"/>
        <v>0.49288256227758009</v>
      </c>
      <c r="AB13" s="18">
        <f t="shared" si="15"/>
        <v>0.87959866220735772</v>
      </c>
      <c r="AC13" s="5">
        <f t="shared" si="16"/>
        <v>-2.7367458866544792</v>
      </c>
    </row>
    <row r="14" spans="1:29" x14ac:dyDescent="0.25">
      <c r="A14" t="s">
        <v>22</v>
      </c>
      <c r="B14" t="s">
        <v>23</v>
      </c>
      <c r="C14" s="14">
        <v>17.399999999999999</v>
      </c>
      <c r="D14" s="14">
        <v>17.3</v>
      </c>
      <c r="E14" s="15">
        <v>18.5</v>
      </c>
      <c r="F14" s="15">
        <v>17.98</v>
      </c>
      <c r="G14" s="15">
        <v>3.94</v>
      </c>
      <c r="H14" s="15">
        <v>13.06</v>
      </c>
      <c r="I14" s="15">
        <v>12.95</v>
      </c>
      <c r="J14" s="15">
        <v>7.48</v>
      </c>
      <c r="K14" s="15">
        <v>17.899999999999999</v>
      </c>
      <c r="L14" s="15">
        <v>15.12</v>
      </c>
      <c r="M14" s="15">
        <v>11.7</v>
      </c>
      <c r="N14" s="15">
        <v>8.01</v>
      </c>
      <c r="O14" s="16">
        <f t="shared" si="3"/>
        <v>12.664000000000001</v>
      </c>
      <c r="P14" s="4">
        <f t="shared" ca="1" si="4"/>
        <v>217</v>
      </c>
      <c r="Q14" s="4">
        <f t="shared" ca="1" si="1"/>
        <v>143</v>
      </c>
      <c r="R14" s="16">
        <f t="shared" ca="1" si="5"/>
        <v>17.360277777777778</v>
      </c>
      <c r="S14" s="5">
        <f t="shared" ca="1" si="6"/>
        <v>0.37083684284410734</v>
      </c>
      <c r="T14" s="18">
        <f t="shared" si="7"/>
        <v>2.8921023359288034E-2</v>
      </c>
      <c r="U14" s="18">
        <f t="shared" si="8"/>
        <v>3.563451776649746</v>
      </c>
      <c r="V14" s="18">
        <f t="shared" si="9"/>
        <v>-0.69831546707503822</v>
      </c>
      <c r="W14" s="18">
        <f t="shared" si="10"/>
        <v>8.4942084942085661E-3</v>
      </c>
      <c r="X14" s="18">
        <f t="shared" si="11"/>
        <v>0.73128342245989275</v>
      </c>
      <c r="Y14" s="18">
        <f t="shared" si="12"/>
        <v>-0.58212290502793285</v>
      </c>
      <c r="Z14" s="18">
        <f t="shared" si="13"/>
        <v>0.18386243386243373</v>
      </c>
      <c r="AA14" s="18">
        <f t="shared" si="14"/>
        <v>0.29230769230769238</v>
      </c>
      <c r="AB14" s="18">
        <f t="shared" si="15"/>
        <v>0.4606741573033708</v>
      </c>
      <c r="AC14" s="5">
        <f t="shared" si="16"/>
        <v>-0.69831546707503822</v>
      </c>
    </row>
    <row r="15" spans="1:29" x14ac:dyDescent="0.25">
      <c r="A15" t="s">
        <v>24</v>
      </c>
      <c r="B15" t="s">
        <v>25</v>
      </c>
      <c r="C15" s="14">
        <v>6.14</v>
      </c>
      <c r="D15" s="14">
        <v>5.7</v>
      </c>
      <c r="E15" s="15">
        <v>5.27</v>
      </c>
      <c r="F15" s="15">
        <v>5.31</v>
      </c>
      <c r="G15" s="15">
        <v>6.73</v>
      </c>
      <c r="H15" s="15">
        <v>4.96</v>
      </c>
      <c r="I15" s="15">
        <v>1.54</v>
      </c>
      <c r="J15" s="15">
        <v>3.13</v>
      </c>
      <c r="K15" s="15">
        <v>4.16</v>
      </c>
      <c r="L15" s="15">
        <v>3.19</v>
      </c>
      <c r="M15" s="15">
        <v>2.87</v>
      </c>
      <c r="N15" s="15">
        <v>1.72</v>
      </c>
      <c r="O15" s="16">
        <f t="shared" si="3"/>
        <v>3.8879999999999995</v>
      </c>
      <c r="P15" s="4">
        <f t="shared" ca="1" si="4"/>
        <v>217</v>
      </c>
      <c r="Q15" s="4">
        <f t="shared" ca="1" si="1"/>
        <v>143</v>
      </c>
      <c r="R15" s="16">
        <f t="shared" ca="1" si="5"/>
        <v>5.9652222222222218</v>
      </c>
      <c r="S15" s="5">
        <f t="shared" ca="1" si="6"/>
        <v>0.53426497485139479</v>
      </c>
      <c r="T15" s="18">
        <f t="shared" si="7"/>
        <v>-7.532956685499026E-3</v>
      </c>
      <c r="U15" s="18">
        <f t="shared" si="8"/>
        <v>-0.21099554234769702</v>
      </c>
      <c r="V15" s="18">
        <f t="shared" si="9"/>
        <v>0.35685483870967749</v>
      </c>
      <c r="W15" s="18">
        <f t="shared" si="10"/>
        <v>2.2207792207792205</v>
      </c>
      <c r="X15" s="18">
        <f t="shared" si="11"/>
        <v>-0.50798722044728439</v>
      </c>
      <c r="Y15" s="18">
        <f t="shared" si="12"/>
        <v>-0.24759615384615385</v>
      </c>
      <c r="Z15" s="18">
        <f t="shared" si="13"/>
        <v>0.30407523510971801</v>
      </c>
      <c r="AA15" s="18">
        <f t="shared" si="14"/>
        <v>0.11149825783972123</v>
      </c>
      <c r="AB15" s="18">
        <f t="shared" si="15"/>
        <v>0.66860465116279078</v>
      </c>
      <c r="AC15" s="5">
        <f t="shared" si="16"/>
        <v>-0.50798722044728439</v>
      </c>
    </row>
    <row r="16" spans="1:29" x14ac:dyDescent="0.25">
      <c r="A16" t="s">
        <v>26</v>
      </c>
      <c r="B16" t="s">
        <v>27</v>
      </c>
      <c r="C16" s="14">
        <v>5.62</v>
      </c>
      <c r="D16" s="14">
        <v>4.87</v>
      </c>
      <c r="E16" s="15">
        <v>3.86</v>
      </c>
      <c r="F16" s="15">
        <v>2.96</v>
      </c>
      <c r="G16" s="15">
        <v>2.99</v>
      </c>
      <c r="H16" s="15">
        <v>1.57</v>
      </c>
      <c r="I16" s="15">
        <v>1.7</v>
      </c>
      <c r="J16" s="15">
        <v>2.2200000000000002</v>
      </c>
      <c r="K16" s="41">
        <v>3.8</v>
      </c>
      <c r="L16" s="15">
        <v>2.2200000000000002</v>
      </c>
      <c r="M16" s="15">
        <v>2.19</v>
      </c>
      <c r="N16" s="15">
        <v>0.83</v>
      </c>
      <c r="O16" s="16">
        <f t="shared" si="3"/>
        <v>2.4340000000000002</v>
      </c>
      <c r="P16" s="4">
        <f t="shared" ca="1" si="4"/>
        <v>217</v>
      </c>
      <c r="Q16" s="4">
        <f t="shared" ca="1" si="1"/>
        <v>143</v>
      </c>
      <c r="R16" s="16">
        <f t="shared" ca="1" si="5"/>
        <v>5.3220833333333335</v>
      </c>
      <c r="S16" s="5">
        <f t="shared" ca="1" si="6"/>
        <v>1.1865584771295534</v>
      </c>
      <c r="T16" s="18">
        <f t="shared" si="7"/>
        <v>0.30405405405405395</v>
      </c>
      <c r="U16" s="18">
        <f t="shared" si="8"/>
        <v>-1.0033444816053616E-2</v>
      </c>
      <c r="V16" s="18">
        <f t="shared" si="9"/>
        <v>0.90445859872611467</v>
      </c>
      <c r="W16" s="18">
        <f t="shared" si="10"/>
        <v>-7.6470588235294068E-2</v>
      </c>
      <c r="X16" s="18">
        <f t="shared" si="11"/>
        <v>-0.23423423423423428</v>
      </c>
      <c r="Y16" s="18">
        <f t="shared" si="12"/>
        <v>-0.41578947368421049</v>
      </c>
      <c r="Z16" s="18">
        <f t="shared" si="13"/>
        <v>0.71171171171171155</v>
      </c>
      <c r="AA16" s="18">
        <f t="shared" si="14"/>
        <v>1.3698630136986356E-2</v>
      </c>
      <c r="AB16" s="18">
        <f t="shared" si="15"/>
        <v>1.6385542168674698</v>
      </c>
      <c r="AC16" s="5">
        <f t="shared" si="16"/>
        <v>-0.41578947368421049</v>
      </c>
    </row>
    <row r="17" spans="1:29" x14ac:dyDescent="0.25">
      <c r="A17" t="s">
        <v>28</v>
      </c>
      <c r="B17" t="s">
        <v>29</v>
      </c>
      <c r="C17" s="14">
        <v>0.57999999999999996</v>
      </c>
      <c r="D17" s="14">
        <v>0.48</v>
      </c>
      <c r="E17" s="15">
        <v>0.4</v>
      </c>
      <c r="F17" s="15">
        <v>0.22</v>
      </c>
      <c r="G17" s="15">
        <v>0.6</v>
      </c>
      <c r="H17" s="15">
        <v>0.94</v>
      </c>
      <c r="I17" s="15">
        <v>1.04</v>
      </c>
      <c r="J17" s="15">
        <v>1.21</v>
      </c>
      <c r="K17" s="15">
        <v>1.41</v>
      </c>
      <c r="L17" s="15">
        <v>1.21</v>
      </c>
      <c r="M17" s="15">
        <v>1</v>
      </c>
      <c r="N17" s="15">
        <v>0.63</v>
      </c>
      <c r="O17" s="16">
        <f t="shared" si="3"/>
        <v>0.86600000000000021</v>
      </c>
      <c r="P17" s="4">
        <f t="shared" ca="1" si="4"/>
        <v>217</v>
      </c>
      <c r="Q17" s="4">
        <f t="shared" ca="1" si="1"/>
        <v>143</v>
      </c>
      <c r="R17" s="16">
        <f t="shared" ca="1" si="5"/>
        <v>0.54027777777777763</v>
      </c>
      <c r="S17" s="5">
        <f t="shared" ca="1" si="6"/>
        <v>-0.3761226584552223</v>
      </c>
      <c r="T17" s="18">
        <f t="shared" si="7"/>
        <v>0.81818181818181834</v>
      </c>
      <c r="U17" s="18">
        <f t="shared" si="8"/>
        <v>-0.6333333333333333</v>
      </c>
      <c r="V17" s="18">
        <f t="shared" si="9"/>
        <v>-0.36170212765957444</v>
      </c>
      <c r="W17" s="18">
        <f t="shared" si="10"/>
        <v>-9.6153846153846256E-2</v>
      </c>
      <c r="X17" s="18">
        <f t="shared" si="11"/>
        <v>-0.14049586776859502</v>
      </c>
      <c r="Y17" s="18">
        <f t="shared" si="12"/>
        <v>-0.14184397163120566</v>
      </c>
      <c r="Z17" s="18">
        <f t="shared" si="13"/>
        <v>0.165289256198347</v>
      </c>
      <c r="AA17" s="18">
        <f t="shared" si="14"/>
        <v>0.20999999999999996</v>
      </c>
      <c r="AB17" s="18">
        <f t="shared" si="15"/>
        <v>0.58730158730158721</v>
      </c>
      <c r="AC17" s="5">
        <f t="shared" si="16"/>
        <v>-0.6333333333333333</v>
      </c>
    </row>
    <row r="18" spans="1:29" x14ac:dyDescent="0.25">
      <c r="A18" t="s">
        <v>30</v>
      </c>
      <c r="B18" t="s">
        <v>31</v>
      </c>
      <c r="C18" s="14">
        <v>0.94</v>
      </c>
      <c r="D18" s="14">
        <v>0.87</v>
      </c>
      <c r="E18" s="15">
        <v>1.01</v>
      </c>
      <c r="F18" s="15">
        <v>0.87</v>
      </c>
      <c r="G18" s="15">
        <v>1.2</v>
      </c>
      <c r="H18" s="15">
        <v>2.25</v>
      </c>
      <c r="I18" s="15">
        <v>1.71</v>
      </c>
      <c r="J18" s="15">
        <v>1.63</v>
      </c>
      <c r="K18" s="15">
        <v>1.87</v>
      </c>
      <c r="L18" s="15">
        <v>1.3</v>
      </c>
      <c r="M18" s="15">
        <v>0.91</v>
      </c>
      <c r="N18" s="15">
        <v>0.6</v>
      </c>
      <c r="O18" s="16">
        <f t="shared" si="3"/>
        <v>1.335</v>
      </c>
      <c r="P18" s="4">
        <f t="shared" ca="1" si="4"/>
        <v>217</v>
      </c>
      <c r="Q18" s="4">
        <f t="shared" ca="1" si="1"/>
        <v>143</v>
      </c>
      <c r="R18" s="16">
        <f t="shared" ca="1" si="5"/>
        <v>0.91219444444444442</v>
      </c>
      <c r="S18" s="5">
        <f t="shared" ca="1" si="6"/>
        <v>-0.31670828131502293</v>
      </c>
      <c r="T18" s="18">
        <f t="shared" si="7"/>
        <v>0.16091954022988508</v>
      </c>
      <c r="U18" s="18">
        <f t="shared" si="8"/>
        <v>-0.27500000000000002</v>
      </c>
      <c r="V18" s="18">
        <f t="shared" si="9"/>
        <v>-0.46666666666666667</v>
      </c>
      <c r="W18" s="18">
        <f t="shared" si="10"/>
        <v>0.31578947368421062</v>
      </c>
      <c r="X18" s="18">
        <f t="shared" si="11"/>
        <v>4.9079754601226933E-2</v>
      </c>
      <c r="Y18" s="18">
        <f t="shared" si="12"/>
        <v>-0.12834224598930488</v>
      </c>
      <c r="Z18" s="18">
        <f t="shared" si="13"/>
        <v>0.43846153846153846</v>
      </c>
      <c r="AA18" s="18">
        <f t="shared" si="14"/>
        <v>0.4285714285714286</v>
      </c>
      <c r="AB18" s="18">
        <f t="shared" si="15"/>
        <v>0.51666666666666683</v>
      </c>
      <c r="AC18" s="5">
        <f t="shared" si="16"/>
        <v>-0.46666666666666667</v>
      </c>
    </row>
    <row r="19" spans="1:29" x14ac:dyDescent="0.25">
      <c r="A19" t="s">
        <v>32</v>
      </c>
      <c r="B19" t="s">
        <v>33</v>
      </c>
      <c r="C19" s="14">
        <v>5.14</v>
      </c>
      <c r="D19" s="14">
        <v>4.82</v>
      </c>
      <c r="E19" s="15">
        <v>3.72</v>
      </c>
      <c r="F19" s="15">
        <v>4.72</v>
      </c>
      <c r="G19" s="15">
        <v>5.44</v>
      </c>
      <c r="H19" s="15">
        <v>4.71</v>
      </c>
      <c r="I19" s="15">
        <v>3.78</v>
      </c>
      <c r="J19" s="15">
        <v>4.71</v>
      </c>
      <c r="K19" s="15">
        <v>5.8</v>
      </c>
      <c r="L19" s="15">
        <v>5.09</v>
      </c>
      <c r="M19" s="15">
        <v>5.2</v>
      </c>
      <c r="N19" s="15">
        <v>3.67</v>
      </c>
      <c r="O19" s="16">
        <f t="shared" si="3"/>
        <v>4.6840000000000002</v>
      </c>
      <c r="P19" s="4">
        <f t="shared" ca="1" si="4"/>
        <v>217</v>
      </c>
      <c r="Q19" s="4">
        <f t="shared" ca="1" si="1"/>
        <v>143</v>
      </c>
      <c r="R19" s="16">
        <f t="shared" ca="1" si="5"/>
        <v>5.0128888888888889</v>
      </c>
      <c r="S19" s="5">
        <f t="shared" ca="1" si="6"/>
        <v>7.0215390454502202E-2</v>
      </c>
      <c r="T19" s="18">
        <f t="shared" si="7"/>
        <v>-0.2118644067796609</v>
      </c>
      <c r="U19" s="18">
        <f t="shared" si="8"/>
        <v>-0.13235294117647067</v>
      </c>
      <c r="V19" s="18">
        <f t="shared" si="9"/>
        <v>0.15498938428874753</v>
      </c>
      <c r="W19" s="18">
        <f t="shared" si="10"/>
        <v>0.24603174603174605</v>
      </c>
      <c r="X19" s="18">
        <f t="shared" si="11"/>
        <v>-0.19745222929936312</v>
      </c>
      <c r="Y19" s="18">
        <f t="shared" si="12"/>
        <v>-0.18793103448275861</v>
      </c>
      <c r="Z19" s="18">
        <f t="shared" si="13"/>
        <v>0.13948919449901775</v>
      </c>
      <c r="AA19" s="18">
        <f t="shared" si="14"/>
        <v>-2.115384615384619E-2</v>
      </c>
      <c r="AB19" s="18">
        <f t="shared" si="15"/>
        <v>0.4168937329700273</v>
      </c>
      <c r="AC19" s="5">
        <f t="shared" si="16"/>
        <v>-0.2118644067796609</v>
      </c>
    </row>
    <row r="20" spans="1:29" x14ac:dyDescent="0.25">
      <c r="A20" t="s">
        <v>34</v>
      </c>
      <c r="B20" t="s">
        <v>35</v>
      </c>
      <c r="C20" s="14">
        <v>3.01</v>
      </c>
      <c r="D20" s="14">
        <v>2.6</v>
      </c>
      <c r="E20" s="15">
        <v>2.42</v>
      </c>
      <c r="F20" s="15">
        <v>2.77</v>
      </c>
      <c r="G20" s="15">
        <v>2.77</v>
      </c>
      <c r="H20" s="15">
        <v>3.04</v>
      </c>
      <c r="I20" s="15">
        <v>2.57</v>
      </c>
      <c r="J20" s="15">
        <v>2.74</v>
      </c>
      <c r="K20" s="41">
        <v>1.83</v>
      </c>
      <c r="L20" s="15">
        <v>2.77</v>
      </c>
      <c r="M20" s="15">
        <v>2.94</v>
      </c>
      <c r="N20" s="15">
        <v>0.63</v>
      </c>
      <c r="O20" s="16">
        <f t="shared" si="3"/>
        <v>2.448</v>
      </c>
      <c r="P20" s="4">
        <f t="shared" ca="1" si="4"/>
        <v>217</v>
      </c>
      <c r="Q20" s="4">
        <f t="shared" ca="1" si="1"/>
        <v>143</v>
      </c>
      <c r="R20" s="16">
        <f t="shared" ca="1" si="5"/>
        <v>2.8471388888888889</v>
      </c>
      <c r="S20" s="5">
        <f t="shared" ca="1" si="6"/>
        <v>0.16304693173565732</v>
      </c>
      <c r="T20" s="18">
        <f t="shared" si="7"/>
        <v>-0.12635379061371843</v>
      </c>
      <c r="U20" s="18">
        <f t="shared" si="8"/>
        <v>0</v>
      </c>
      <c r="V20" s="18">
        <f t="shared" si="9"/>
        <v>-8.8815789473684181E-2</v>
      </c>
      <c r="W20" s="18">
        <f t="shared" si="10"/>
        <v>0.18287937743190663</v>
      </c>
      <c r="X20" s="18">
        <f t="shared" si="11"/>
        <v>-6.2043795620438047E-2</v>
      </c>
      <c r="Y20" s="18">
        <f t="shared" si="12"/>
        <v>0.49726775956284164</v>
      </c>
      <c r="Z20" s="18">
        <f t="shared" si="13"/>
        <v>-0.3393501805054151</v>
      </c>
      <c r="AA20" s="18">
        <f t="shared" si="14"/>
        <v>-5.7823129251700633E-2</v>
      </c>
      <c r="AB20" s="18">
        <f t="shared" si="15"/>
        <v>3.666666666666667</v>
      </c>
      <c r="AC20" s="5">
        <f t="shared" si="16"/>
        <v>-0.3393501805054151</v>
      </c>
    </row>
    <row r="21" spans="1:29" x14ac:dyDescent="0.25">
      <c r="A21" t="s">
        <v>36</v>
      </c>
      <c r="B21" t="s">
        <v>37</v>
      </c>
      <c r="C21" s="14">
        <v>2.5499999999999998</v>
      </c>
      <c r="D21" s="14">
        <v>2.71</v>
      </c>
      <c r="E21" s="15">
        <v>2.04</v>
      </c>
      <c r="F21" s="15">
        <v>2.88</v>
      </c>
      <c r="G21" s="15">
        <v>4.2699999999999996</v>
      </c>
      <c r="H21" s="15">
        <v>2.2799999999999998</v>
      </c>
      <c r="I21" s="15">
        <v>1.05</v>
      </c>
      <c r="J21" s="15">
        <v>2.75</v>
      </c>
      <c r="K21" s="15">
        <v>2.29</v>
      </c>
      <c r="L21" s="15">
        <v>1.72</v>
      </c>
      <c r="M21" s="15">
        <v>1</v>
      </c>
      <c r="N21" s="15"/>
      <c r="O21" s="16">
        <f t="shared" si="3"/>
        <v>2.253333333333333</v>
      </c>
      <c r="P21" s="4">
        <f t="shared" ca="1" si="4"/>
        <v>217</v>
      </c>
      <c r="Q21" s="4">
        <f t="shared" ca="1" si="1"/>
        <v>143</v>
      </c>
      <c r="R21" s="16">
        <f t="shared" ca="1" si="5"/>
        <v>2.6135555555555552</v>
      </c>
      <c r="S21" s="5">
        <f t="shared" ca="1" si="6"/>
        <v>0.15986193293885598</v>
      </c>
      <c r="T21" s="18">
        <f t="shared" si="7"/>
        <v>-0.29166666666666663</v>
      </c>
      <c r="U21" s="18">
        <f t="shared" si="8"/>
        <v>-0.32552693208430905</v>
      </c>
      <c r="V21" s="18">
        <f t="shared" si="9"/>
        <v>0.87280701754385959</v>
      </c>
      <c r="W21" s="18">
        <f t="shared" si="10"/>
        <v>1.1714285714285713</v>
      </c>
      <c r="X21" s="18">
        <f t="shared" si="11"/>
        <v>-0.61818181818181817</v>
      </c>
      <c r="Y21" s="18">
        <f t="shared" si="12"/>
        <v>0.20087336244541487</v>
      </c>
      <c r="Z21" s="18">
        <f t="shared" si="13"/>
        <v>0.33139534883720945</v>
      </c>
      <c r="AA21" s="18">
        <f t="shared" si="14"/>
        <v>0.72</v>
      </c>
      <c r="AB21" s="18">
        <f t="shared" si="15"/>
        <v>99.999989999999997</v>
      </c>
      <c r="AC21" s="5">
        <f t="shared" si="16"/>
        <v>-0.61818181818181817</v>
      </c>
    </row>
    <row r="22" spans="1:29" x14ac:dyDescent="0.25">
      <c r="A22" t="s">
        <v>38</v>
      </c>
      <c r="B22" t="s">
        <v>39</v>
      </c>
      <c r="C22" s="14">
        <v>2.2799999999999998</v>
      </c>
      <c r="D22" s="14">
        <v>2.09</v>
      </c>
      <c r="E22" s="15">
        <v>2.0499999999999998</v>
      </c>
      <c r="F22" s="15">
        <v>1.97</v>
      </c>
      <c r="G22" s="15">
        <v>1.56</v>
      </c>
      <c r="H22" s="15">
        <v>1.44</v>
      </c>
      <c r="I22" s="15">
        <v>1.36</v>
      </c>
      <c r="J22" s="15">
        <v>1.23</v>
      </c>
      <c r="K22" s="15">
        <v>1.04</v>
      </c>
      <c r="L22" s="15"/>
      <c r="M22" s="15"/>
      <c r="N22" s="15"/>
      <c r="O22" s="16">
        <f t="shared" si="3"/>
        <v>1.5214285714285711</v>
      </c>
      <c r="P22" s="4">
        <f t="shared" ca="1" si="4"/>
        <v>217</v>
      </c>
      <c r="Q22" s="4">
        <f t="shared" ca="1" si="1"/>
        <v>143</v>
      </c>
      <c r="R22" s="16">
        <f t="shared" ca="1" si="5"/>
        <v>2.2045277777777779</v>
      </c>
      <c r="S22" s="5">
        <f t="shared" ca="1" si="6"/>
        <v>0.44898539384454916</v>
      </c>
      <c r="T22" s="18">
        <f t="shared" si="7"/>
        <v>4.0609137055837463E-2</v>
      </c>
      <c r="U22" s="18">
        <f t="shared" si="8"/>
        <v>0.26282051282051277</v>
      </c>
      <c r="V22" s="18">
        <f t="shared" si="9"/>
        <v>8.3333333333333481E-2</v>
      </c>
      <c r="W22" s="18">
        <f t="shared" si="10"/>
        <v>5.8823529411764497E-2</v>
      </c>
      <c r="X22" s="18">
        <f t="shared" si="11"/>
        <v>0.10569105691056913</v>
      </c>
      <c r="Y22" s="18">
        <f t="shared" si="12"/>
        <v>0.18269230769230771</v>
      </c>
      <c r="Z22" s="18">
        <f t="shared" si="13"/>
        <v>99.999989999999997</v>
      </c>
      <c r="AA22" s="18">
        <f t="shared" si="14"/>
        <v>99.999989999999997</v>
      </c>
      <c r="AB22" s="18">
        <f t="shared" si="15"/>
        <v>99.999989999999997</v>
      </c>
      <c r="AC22" s="5">
        <f t="shared" si="16"/>
        <v>4.0609137055837463E-2</v>
      </c>
    </row>
    <row r="23" spans="1:29" x14ac:dyDescent="0.25">
      <c r="A23" t="s">
        <v>40</v>
      </c>
      <c r="B23" t="s">
        <v>41</v>
      </c>
      <c r="C23" s="14">
        <v>1.66</v>
      </c>
      <c r="D23" s="14">
        <v>1.49</v>
      </c>
      <c r="E23" s="15">
        <v>0.96</v>
      </c>
      <c r="F23" s="15">
        <v>0.68</v>
      </c>
      <c r="G23" s="15">
        <v>1.77</v>
      </c>
      <c r="H23" s="15">
        <v>1.48</v>
      </c>
      <c r="I23" s="15">
        <v>0.65</v>
      </c>
      <c r="J23" s="15">
        <v>0.5</v>
      </c>
      <c r="K23" s="15">
        <v>1.1599999999999999</v>
      </c>
      <c r="L23" s="15"/>
      <c r="M23" s="15"/>
      <c r="N23" s="15"/>
      <c r="O23" s="16">
        <f t="shared" si="3"/>
        <v>1.0285714285714287</v>
      </c>
      <c r="P23" s="4">
        <f t="shared" ca="1" si="4"/>
        <v>217</v>
      </c>
      <c r="Q23" s="4">
        <f t="shared" ca="1" si="1"/>
        <v>143</v>
      </c>
      <c r="R23" s="16">
        <f t="shared" ca="1" si="5"/>
        <v>1.5924722222222223</v>
      </c>
      <c r="S23" s="5">
        <f t="shared" ca="1" si="6"/>
        <v>0.54823688271604931</v>
      </c>
      <c r="T23" s="18">
        <f t="shared" si="7"/>
        <v>0.41176470588235281</v>
      </c>
      <c r="U23" s="18">
        <f t="shared" si="8"/>
        <v>-0.61581920903954801</v>
      </c>
      <c r="V23" s="18">
        <f t="shared" si="9"/>
        <v>0.19594594594594605</v>
      </c>
      <c r="W23" s="18">
        <f t="shared" si="10"/>
        <v>1.2769230769230768</v>
      </c>
      <c r="X23" s="18">
        <f t="shared" si="11"/>
        <v>0.30000000000000004</v>
      </c>
      <c r="Y23" s="18">
        <f t="shared" si="12"/>
        <v>-0.56896551724137923</v>
      </c>
      <c r="Z23" s="18">
        <f t="shared" si="13"/>
        <v>99.999989999999997</v>
      </c>
      <c r="AA23" s="18">
        <f t="shared" si="14"/>
        <v>99.999989999999997</v>
      </c>
      <c r="AB23" s="18">
        <f t="shared" si="15"/>
        <v>99.999989999999997</v>
      </c>
      <c r="AC23" s="5">
        <f t="shared" si="16"/>
        <v>-0.61581920903954801</v>
      </c>
    </row>
    <row r="24" spans="1:29" x14ac:dyDescent="0.25">
      <c r="A24" t="s">
        <v>42</v>
      </c>
      <c r="B24" t="s">
        <v>43</v>
      </c>
      <c r="C24" s="14">
        <v>0.98</v>
      </c>
      <c r="D24" s="14">
        <v>0.89</v>
      </c>
      <c r="E24" s="15">
        <v>0.84</v>
      </c>
      <c r="F24" s="15">
        <v>0.74</v>
      </c>
      <c r="G24" s="15">
        <v>0.91</v>
      </c>
      <c r="H24" s="15">
        <v>0.72</v>
      </c>
      <c r="I24" s="15">
        <v>0.34</v>
      </c>
      <c r="J24" s="15">
        <v>0.47</v>
      </c>
      <c r="K24" s="15">
        <v>1.63</v>
      </c>
      <c r="L24" s="15">
        <v>1.39</v>
      </c>
      <c r="M24" s="15">
        <v>1.35</v>
      </c>
      <c r="N24" s="15">
        <v>1.07</v>
      </c>
      <c r="O24" s="16">
        <f t="shared" si="3"/>
        <v>0.94599999999999995</v>
      </c>
      <c r="P24" s="4">
        <f t="shared" ca="1" si="4"/>
        <v>217</v>
      </c>
      <c r="Q24" s="4">
        <f t="shared" ca="1" si="1"/>
        <v>143</v>
      </c>
      <c r="R24" s="16">
        <f t="shared" ca="1" si="5"/>
        <v>0.94425000000000003</v>
      </c>
      <c r="S24" s="5">
        <f t="shared" ca="1" si="6"/>
        <v>-1.849894291754639E-3</v>
      </c>
      <c r="T24" s="18">
        <f t="shared" si="7"/>
        <v>0.13513513513513509</v>
      </c>
      <c r="U24" s="18">
        <f t="shared" si="8"/>
        <v>-0.18681318681318682</v>
      </c>
      <c r="V24" s="18">
        <f t="shared" si="9"/>
        <v>0.26388888888888906</v>
      </c>
      <c r="W24" s="18">
        <f t="shared" si="10"/>
        <v>1.117647058823529</v>
      </c>
      <c r="X24" s="18">
        <f t="shared" si="11"/>
        <v>-0.27659574468085102</v>
      </c>
      <c r="Y24" s="18">
        <f t="shared" si="12"/>
        <v>-0.71165644171779141</v>
      </c>
      <c r="Z24" s="18">
        <f t="shared" si="13"/>
        <v>0.17266187050359716</v>
      </c>
      <c r="AA24" s="18">
        <f t="shared" si="14"/>
        <v>2.962962962962945E-2</v>
      </c>
      <c r="AB24" s="18">
        <f t="shared" si="15"/>
        <v>0.26168224299065423</v>
      </c>
      <c r="AC24" s="5">
        <f t="shared" si="16"/>
        <v>-0.71165644171779141</v>
      </c>
    </row>
    <row r="25" spans="1:29" x14ac:dyDescent="0.25">
      <c r="A25" t="s">
        <v>44</v>
      </c>
      <c r="B25" t="s">
        <v>45</v>
      </c>
      <c r="C25" s="14">
        <v>5.93</v>
      </c>
      <c r="D25" s="14">
        <v>5.19</v>
      </c>
      <c r="E25" s="15">
        <v>1.97</v>
      </c>
      <c r="F25" s="15">
        <v>-1.61</v>
      </c>
      <c r="G25" s="15">
        <v>3.02</v>
      </c>
      <c r="H25" s="15">
        <v>7.26</v>
      </c>
      <c r="I25" s="15">
        <v>2.75</v>
      </c>
      <c r="J25" s="15">
        <v>2.34</v>
      </c>
      <c r="K25" s="15">
        <v>5.66</v>
      </c>
      <c r="L25" s="15">
        <v>5.56</v>
      </c>
      <c r="M25" s="15">
        <v>3.81</v>
      </c>
      <c r="N25" s="15">
        <v>2.0299999999999998</v>
      </c>
      <c r="O25" s="16">
        <f t="shared" si="3"/>
        <v>3.2789999999999999</v>
      </c>
      <c r="P25" s="4">
        <f t="shared" ca="1" si="4"/>
        <v>217</v>
      </c>
      <c r="Q25" s="4">
        <f t="shared" ca="1" si="1"/>
        <v>143</v>
      </c>
      <c r="R25" s="16">
        <f t="shared" ca="1" si="5"/>
        <v>5.636055555555556</v>
      </c>
      <c r="S25" s="5">
        <f t="shared" ca="1" si="6"/>
        <v>0.71883365524719611</v>
      </c>
      <c r="T25" s="18">
        <f t="shared" si="7"/>
        <v>-2.2236024844720497</v>
      </c>
      <c r="U25" s="18">
        <f t="shared" si="8"/>
        <v>-1.5331125827814569</v>
      </c>
      <c r="V25" s="18">
        <f t="shared" si="9"/>
        <v>-0.58402203856749302</v>
      </c>
      <c r="W25" s="18">
        <f t="shared" si="10"/>
        <v>1.6400000000000001</v>
      </c>
      <c r="X25" s="18">
        <f t="shared" si="11"/>
        <v>0.17521367521367526</v>
      </c>
      <c r="Y25" s="18">
        <f t="shared" si="12"/>
        <v>-0.58657243816254423</v>
      </c>
      <c r="Z25" s="18">
        <f t="shared" si="13"/>
        <v>1.7985611510791477E-2</v>
      </c>
      <c r="AA25" s="18">
        <f t="shared" si="14"/>
        <v>0.45931758530183719</v>
      </c>
      <c r="AB25" s="18">
        <f t="shared" si="15"/>
        <v>0.87684729064039435</v>
      </c>
      <c r="AC25" s="5">
        <f t="shared" si="16"/>
        <v>-2.2236024844720497</v>
      </c>
    </row>
    <row r="26" spans="1:29" x14ac:dyDescent="0.25">
      <c r="A26" t="s">
        <v>46</v>
      </c>
      <c r="B26" t="s">
        <v>47</v>
      </c>
      <c r="C26" s="14">
        <v>0.84</v>
      </c>
      <c r="D26" s="14">
        <v>0.79</v>
      </c>
      <c r="E26" s="15">
        <v>1.23</v>
      </c>
      <c r="F26" s="15">
        <v>0.6</v>
      </c>
      <c r="G26" s="15">
        <v>1.34</v>
      </c>
      <c r="H26" s="15">
        <v>-0.2</v>
      </c>
      <c r="I26" s="15">
        <v>0.88</v>
      </c>
      <c r="J26" s="15">
        <v>1.1200000000000001</v>
      </c>
      <c r="K26" s="15">
        <v>1.08</v>
      </c>
      <c r="L26" s="15">
        <v>1.0900000000000001</v>
      </c>
      <c r="M26" s="15">
        <v>1.04</v>
      </c>
      <c r="N26" s="15">
        <v>0.71</v>
      </c>
      <c r="O26" s="16">
        <f t="shared" si="3"/>
        <v>0.88900000000000001</v>
      </c>
      <c r="P26" s="4">
        <f t="shared" ca="1" si="4"/>
        <v>217</v>
      </c>
      <c r="Q26" s="4">
        <f t="shared" ca="1" si="1"/>
        <v>143</v>
      </c>
      <c r="R26" s="16">
        <f t="shared" ca="1" si="5"/>
        <v>0.82013888888888886</v>
      </c>
      <c r="S26" s="5">
        <f t="shared" ca="1" si="6"/>
        <v>-7.7459067616547972E-2</v>
      </c>
      <c r="T26" s="18">
        <f t="shared" si="7"/>
        <v>1.0500000000000003</v>
      </c>
      <c r="U26" s="18">
        <f t="shared" si="8"/>
        <v>-0.55223880597014929</v>
      </c>
      <c r="V26" s="18">
        <f t="shared" si="9"/>
        <v>-7.7</v>
      </c>
      <c r="W26" s="18">
        <f t="shared" si="10"/>
        <v>-1.2272727272727273</v>
      </c>
      <c r="X26" s="18">
        <f t="shared" si="11"/>
        <v>-0.2142857142857143</v>
      </c>
      <c r="Y26" s="18">
        <f t="shared" si="12"/>
        <v>3.7037037037036979E-2</v>
      </c>
      <c r="Z26" s="18">
        <f t="shared" si="13"/>
        <v>-9.1743119266055606E-3</v>
      </c>
      <c r="AA26" s="18">
        <f t="shared" si="14"/>
        <v>4.8076923076923128E-2</v>
      </c>
      <c r="AB26" s="18">
        <f t="shared" si="15"/>
        <v>0.46478873239436624</v>
      </c>
      <c r="AC26" s="5">
        <f t="shared" si="16"/>
        <v>-7.7</v>
      </c>
    </row>
    <row r="27" spans="1:29" x14ac:dyDescent="0.25">
      <c r="A27" t="s">
        <v>48</v>
      </c>
      <c r="B27" t="s">
        <v>49</v>
      </c>
      <c r="C27" s="14">
        <v>3.8</v>
      </c>
      <c r="D27" s="14">
        <v>3.58</v>
      </c>
      <c r="E27" s="15">
        <v>2.6</v>
      </c>
      <c r="F27" s="15">
        <v>4.24</v>
      </c>
      <c r="G27" s="15">
        <v>4.97</v>
      </c>
      <c r="H27" s="15">
        <v>3.28</v>
      </c>
      <c r="I27" s="15">
        <v>2.04</v>
      </c>
      <c r="J27" s="15">
        <v>4.26</v>
      </c>
      <c r="K27" s="15">
        <v>4.99</v>
      </c>
      <c r="L27" s="15">
        <v>3.95</v>
      </c>
      <c r="M27" s="15">
        <v>3.78</v>
      </c>
      <c r="N27" s="15"/>
      <c r="O27" s="16">
        <f t="shared" si="3"/>
        <v>3.79</v>
      </c>
      <c r="P27" s="4">
        <f t="shared" ca="1" si="4"/>
        <v>217</v>
      </c>
      <c r="Q27" s="4">
        <f t="shared" ca="1" si="1"/>
        <v>143</v>
      </c>
      <c r="R27" s="16">
        <f t="shared" ca="1" si="5"/>
        <v>3.7126111111111113</v>
      </c>
      <c r="S27" s="5">
        <f t="shared" ca="1" si="6"/>
        <v>-2.0419231896804391E-2</v>
      </c>
      <c r="T27" s="18">
        <f t="shared" si="7"/>
        <v>-0.3867924528301887</v>
      </c>
      <c r="U27" s="18">
        <f t="shared" si="8"/>
        <v>-0.14688128772635811</v>
      </c>
      <c r="V27" s="18">
        <f t="shared" si="9"/>
        <v>0.51524390243902451</v>
      </c>
      <c r="W27" s="18">
        <f t="shared" si="10"/>
        <v>0.6078431372549018</v>
      </c>
      <c r="X27" s="18">
        <f t="shared" si="11"/>
        <v>-0.52112676056338025</v>
      </c>
      <c r="Y27" s="18">
        <f t="shared" si="12"/>
        <v>-0.14629258517034072</v>
      </c>
      <c r="Z27" s="18">
        <f t="shared" si="13"/>
        <v>0.2632911392405064</v>
      </c>
      <c r="AA27" s="18">
        <f t="shared" si="14"/>
        <v>4.497354497354511E-2</v>
      </c>
      <c r="AB27" s="18">
        <f t="shared" si="15"/>
        <v>99.999989999999997</v>
      </c>
      <c r="AC27" s="5">
        <f t="shared" si="16"/>
        <v>-0.52112676056338025</v>
      </c>
    </row>
    <row r="28" spans="1:29" x14ac:dyDescent="0.25">
      <c r="A28" t="s">
        <v>50</v>
      </c>
      <c r="B28" t="s">
        <v>51</v>
      </c>
      <c r="C28" s="14">
        <v>6.2199999999999998E-2</v>
      </c>
      <c r="D28" s="14">
        <v>2.2200000000000002</v>
      </c>
      <c r="E28" s="15">
        <v>8.6999999999999994E-3</v>
      </c>
      <c r="F28" s="15">
        <v>0.14000000000000001</v>
      </c>
      <c r="G28" s="15">
        <v>0.15</v>
      </c>
      <c r="H28" s="15">
        <v>0.16</v>
      </c>
      <c r="I28" s="15">
        <v>0.06</v>
      </c>
      <c r="J28" s="15">
        <v>0.13</v>
      </c>
      <c r="K28" s="15">
        <v>-0.1</v>
      </c>
      <c r="L28" s="15">
        <v>-0.28000000000000003</v>
      </c>
      <c r="M28" s="15">
        <v>-0.11</v>
      </c>
      <c r="N28" s="15">
        <v>-0.13</v>
      </c>
      <c r="O28" s="16">
        <f t="shared" si="3"/>
        <v>2.869999999999995E-3</v>
      </c>
      <c r="P28" s="4">
        <f t="shared" ca="1" si="4"/>
        <v>217</v>
      </c>
      <c r="Q28" s="4">
        <f t="shared" ca="1" si="1"/>
        <v>143</v>
      </c>
      <c r="R28" s="16">
        <f t="shared" ca="1" si="5"/>
        <v>0.91932611111111129</v>
      </c>
      <c r="S28" s="5">
        <f t="shared" ca="1" si="6"/>
        <v>319.32268679829718</v>
      </c>
      <c r="T28" s="18">
        <f t="shared" si="7"/>
        <v>-0.93785714285714283</v>
      </c>
      <c r="U28" s="18">
        <f t="shared" si="8"/>
        <v>-6.6666666666666541E-2</v>
      </c>
      <c r="V28" s="18">
        <f t="shared" si="9"/>
        <v>-6.25E-2</v>
      </c>
      <c r="W28" s="18">
        <f t="shared" si="10"/>
        <v>1.666666666666667</v>
      </c>
      <c r="X28" s="18">
        <f t="shared" si="11"/>
        <v>-0.53846153846153855</v>
      </c>
      <c r="Y28" s="18">
        <f t="shared" si="12"/>
        <v>-2.2999999999999998</v>
      </c>
      <c r="Z28" s="18">
        <f t="shared" si="13"/>
        <v>-0.64285714285714279</v>
      </c>
      <c r="AA28" s="18">
        <f t="shared" si="14"/>
        <v>1.5454545454545459</v>
      </c>
      <c r="AB28" s="18">
        <f t="shared" si="15"/>
        <v>-0.15384615384615385</v>
      </c>
      <c r="AC28" s="5">
        <f t="shared" si="16"/>
        <v>-2.2999999999999998</v>
      </c>
    </row>
    <row r="29" spans="1:29" x14ac:dyDescent="0.25">
      <c r="A29" t="s">
        <v>52</v>
      </c>
      <c r="B29" t="s">
        <v>53</v>
      </c>
      <c r="C29" s="14">
        <v>1.71</v>
      </c>
      <c r="D29" s="14">
        <v>1.6</v>
      </c>
      <c r="E29" s="15">
        <v>1.66</v>
      </c>
      <c r="F29" s="15">
        <v>1.54</v>
      </c>
      <c r="G29" s="15">
        <v>1.46</v>
      </c>
      <c r="H29" s="15">
        <v>1.46</v>
      </c>
      <c r="I29" s="15">
        <v>1.17</v>
      </c>
      <c r="J29" s="15">
        <v>1.73</v>
      </c>
      <c r="K29" s="15">
        <v>1.31</v>
      </c>
      <c r="L29" s="15">
        <v>1.6</v>
      </c>
      <c r="M29" s="15">
        <v>1.25</v>
      </c>
      <c r="N29" s="15">
        <v>0.62</v>
      </c>
      <c r="O29" s="16">
        <f t="shared" si="3"/>
        <v>1.38</v>
      </c>
      <c r="P29" s="4">
        <f t="shared" ca="1" si="4"/>
        <v>217</v>
      </c>
      <c r="Q29" s="4">
        <f t="shared" ca="1" si="1"/>
        <v>143</v>
      </c>
      <c r="R29" s="16">
        <f t="shared" ca="1" si="5"/>
        <v>1.6663055555555557</v>
      </c>
      <c r="S29" s="5">
        <f t="shared" ca="1" si="6"/>
        <v>0.20746779388083758</v>
      </c>
      <c r="T29" s="18">
        <f t="shared" si="7"/>
        <v>7.7922077922077948E-2</v>
      </c>
      <c r="U29" s="18">
        <f t="shared" si="8"/>
        <v>5.4794520547945202E-2</v>
      </c>
      <c r="V29" s="18">
        <f t="shared" si="9"/>
        <v>0</v>
      </c>
      <c r="W29" s="18">
        <f t="shared" si="10"/>
        <v>0.24786324786324787</v>
      </c>
      <c r="X29" s="18">
        <f t="shared" si="11"/>
        <v>-0.32369942196531798</v>
      </c>
      <c r="Y29" s="18">
        <f t="shared" si="12"/>
        <v>0.32061068702290063</v>
      </c>
      <c r="Z29" s="18">
        <f t="shared" si="13"/>
        <v>-0.18125000000000002</v>
      </c>
      <c r="AA29" s="18">
        <f t="shared" si="14"/>
        <v>0.28000000000000003</v>
      </c>
      <c r="AB29" s="18">
        <f t="shared" si="15"/>
        <v>1.0161290322580645</v>
      </c>
      <c r="AC29" s="5">
        <f t="shared" si="16"/>
        <v>-0.32369942196531798</v>
      </c>
    </row>
    <row r="30" spans="1:29" x14ac:dyDescent="0.25">
      <c r="A30" t="s">
        <v>54</v>
      </c>
      <c r="B30" t="s">
        <v>55</v>
      </c>
      <c r="C30" s="14">
        <v>2.78</v>
      </c>
      <c r="D30" s="14">
        <v>2.66</v>
      </c>
      <c r="E30" s="15">
        <v>3.39</v>
      </c>
      <c r="F30" s="15">
        <v>1.25</v>
      </c>
      <c r="G30" s="15">
        <v>0.66</v>
      </c>
      <c r="H30" s="15">
        <v>3.35</v>
      </c>
      <c r="I30" s="15">
        <v>2.12</v>
      </c>
      <c r="J30" s="15">
        <v>2.16</v>
      </c>
      <c r="K30" s="15">
        <v>1.94</v>
      </c>
      <c r="L30" s="15">
        <v>1.89</v>
      </c>
      <c r="M30" s="15">
        <v>1.42</v>
      </c>
      <c r="N30" s="15">
        <v>1.77</v>
      </c>
      <c r="O30" s="16">
        <f t="shared" si="3"/>
        <v>1.9949999999999999</v>
      </c>
      <c r="P30" s="4">
        <f t="shared" ca="1" si="4"/>
        <v>217</v>
      </c>
      <c r="Q30" s="4">
        <f t="shared" ca="1" si="1"/>
        <v>143</v>
      </c>
      <c r="R30" s="16">
        <f t="shared" ca="1" si="5"/>
        <v>2.7323333333333331</v>
      </c>
      <c r="S30" s="5">
        <f t="shared" ca="1" si="6"/>
        <v>0.36959064327485369</v>
      </c>
      <c r="T30" s="18">
        <f t="shared" si="7"/>
        <v>1.7120000000000002</v>
      </c>
      <c r="U30" s="18">
        <f t="shared" si="8"/>
        <v>0.89393939393939381</v>
      </c>
      <c r="V30" s="18">
        <f t="shared" si="9"/>
        <v>-0.80298507462686564</v>
      </c>
      <c r="W30" s="18">
        <f t="shared" si="10"/>
        <v>0.58018867924528306</v>
      </c>
      <c r="X30" s="18">
        <f t="shared" si="11"/>
        <v>-1.851851851851849E-2</v>
      </c>
      <c r="Y30" s="18">
        <f t="shared" si="12"/>
        <v>0.11340206185567014</v>
      </c>
      <c r="Z30" s="18">
        <f t="shared" si="13"/>
        <v>2.6455026455026509E-2</v>
      </c>
      <c r="AA30" s="18">
        <f t="shared" si="14"/>
        <v>0.33098591549295775</v>
      </c>
      <c r="AB30" s="18">
        <f t="shared" si="15"/>
        <v>-0.19774011299435035</v>
      </c>
      <c r="AC30" s="5">
        <f t="shared" si="16"/>
        <v>-0.80298507462686564</v>
      </c>
    </row>
    <row r="31" spans="1:29" x14ac:dyDescent="0.25">
      <c r="A31" t="s">
        <v>56</v>
      </c>
      <c r="B31" t="s">
        <v>57</v>
      </c>
      <c r="C31" s="14">
        <v>11.4</v>
      </c>
      <c r="D31" s="14">
        <v>10.9</v>
      </c>
      <c r="E31" s="15">
        <v>11.09</v>
      </c>
      <c r="F31" s="15">
        <v>13.32</v>
      </c>
      <c r="G31" s="15">
        <v>13.44</v>
      </c>
      <c r="H31" s="15">
        <v>9.48</v>
      </c>
      <c r="I31" s="15">
        <v>5.24</v>
      </c>
      <c r="J31" s="15">
        <v>11.67</v>
      </c>
      <c r="K31" s="15">
        <v>8.77</v>
      </c>
      <c r="L31" s="15">
        <v>7.8</v>
      </c>
      <c r="M31" s="15">
        <v>6.54</v>
      </c>
      <c r="N31" s="15">
        <v>6.28</v>
      </c>
      <c r="O31" s="16">
        <f t="shared" si="3"/>
        <v>9.3629999999999995</v>
      </c>
      <c r="P31" s="4">
        <f t="shared" ca="1" si="4"/>
        <v>217</v>
      </c>
      <c r="Q31" s="4">
        <f t="shared" ca="1" si="1"/>
        <v>143</v>
      </c>
      <c r="R31" s="16">
        <f t="shared" ca="1" si="5"/>
        <v>11.201388888888889</v>
      </c>
      <c r="S31" s="5">
        <f t="shared" ca="1" si="6"/>
        <v>0.19634613787129007</v>
      </c>
      <c r="T31" s="18">
        <f t="shared" si="7"/>
        <v>-0.16741741741741745</v>
      </c>
      <c r="U31" s="18">
        <f t="shared" si="8"/>
        <v>-8.9285714285713969E-3</v>
      </c>
      <c r="V31" s="18">
        <f t="shared" si="9"/>
        <v>0.41772151898734156</v>
      </c>
      <c r="W31" s="18">
        <f t="shared" si="10"/>
        <v>0.80916030534351147</v>
      </c>
      <c r="X31" s="18">
        <f t="shared" si="11"/>
        <v>-0.55098543273350464</v>
      </c>
      <c r="Y31" s="18">
        <f t="shared" si="12"/>
        <v>0.33067274800456103</v>
      </c>
      <c r="Z31" s="18">
        <f t="shared" si="13"/>
        <v>0.12435897435897436</v>
      </c>
      <c r="AA31" s="18">
        <f t="shared" si="14"/>
        <v>0.19266055045871555</v>
      </c>
      <c r="AB31" s="18">
        <f t="shared" si="15"/>
        <v>4.1401273885350198E-2</v>
      </c>
      <c r="AC31" s="5">
        <f t="shared" si="16"/>
        <v>-0.55098543273350464</v>
      </c>
    </row>
    <row r="32" spans="1:29" x14ac:dyDescent="0.25">
      <c r="A32" t="s">
        <v>58</v>
      </c>
      <c r="B32" t="s">
        <v>59</v>
      </c>
      <c r="C32" s="14">
        <v>2.2400000000000002</v>
      </c>
      <c r="D32" s="14">
        <v>2.0499999999999998</v>
      </c>
      <c r="E32" s="15">
        <v>1.9</v>
      </c>
      <c r="F32" s="15">
        <v>1.97</v>
      </c>
      <c r="G32" s="15">
        <v>1.85</v>
      </c>
      <c r="H32" s="41">
        <v>1.66</v>
      </c>
      <c r="I32" s="15">
        <v>1.47</v>
      </c>
      <c r="J32" s="15">
        <v>1.25</v>
      </c>
      <c r="K32" s="15">
        <v>1.29</v>
      </c>
      <c r="L32" s="15">
        <v>1.08</v>
      </c>
      <c r="M32" s="15">
        <v>1.02</v>
      </c>
      <c r="N32" s="15">
        <v>1</v>
      </c>
      <c r="O32" s="16">
        <f t="shared" si="3"/>
        <v>1.4490000000000001</v>
      </c>
      <c r="P32" s="4">
        <f t="shared" ca="1" si="4"/>
        <v>217</v>
      </c>
      <c r="Q32" s="4">
        <f t="shared" ca="1" si="1"/>
        <v>143</v>
      </c>
      <c r="R32" s="16">
        <f t="shared" ca="1" si="5"/>
        <v>2.1645277777777778</v>
      </c>
      <c r="S32" s="5">
        <f t="shared" ca="1" si="6"/>
        <v>0.49380799018480181</v>
      </c>
      <c r="T32" s="18">
        <f t="shared" si="7"/>
        <v>-3.5532994923857864E-2</v>
      </c>
      <c r="U32" s="18">
        <f t="shared" si="8"/>
        <v>6.4864864864864868E-2</v>
      </c>
      <c r="V32" s="18">
        <f t="shared" si="9"/>
        <v>0.1144578313253013</v>
      </c>
      <c r="W32" s="18">
        <f t="shared" si="10"/>
        <v>0.12925170068027203</v>
      </c>
      <c r="X32" s="18">
        <f t="shared" si="11"/>
        <v>0.17599999999999993</v>
      </c>
      <c r="Y32" s="18">
        <f t="shared" si="12"/>
        <v>-3.1007751937984551E-2</v>
      </c>
      <c r="Z32" s="18">
        <f t="shared" si="13"/>
        <v>0.19444444444444442</v>
      </c>
      <c r="AA32" s="18">
        <f t="shared" si="14"/>
        <v>5.8823529411764719E-2</v>
      </c>
      <c r="AB32" s="18">
        <f t="shared" si="15"/>
        <v>2.0000000000000018E-2</v>
      </c>
      <c r="AC32" s="5">
        <f t="shared" si="16"/>
        <v>-3.5532994923857864E-2</v>
      </c>
    </row>
    <row r="33" spans="1:29" x14ac:dyDescent="0.25">
      <c r="A33" t="s">
        <v>60</v>
      </c>
      <c r="B33" t="s">
        <v>61</v>
      </c>
      <c r="C33" s="14">
        <v>3.21</v>
      </c>
      <c r="D33" s="14">
        <v>2.71</v>
      </c>
      <c r="E33" s="15">
        <v>2.38</v>
      </c>
      <c r="F33" s="15">
        <v>2.58</v>
      </c>
      <c r="G33" s="15">
        <v>2.4700000000000002</v>
      </c>
      <c r="H33" s="15">
        <v>2.15</v>
      </c>
      <c r="I33" s="15">
        <v>2.19</v>
      </c>
      <c r="J33" s="15">
        <v>1.83</v>
      </c>
      <c r="K33" s="15">
        <v>1.6</v>
      </c>
      <c r="L33" s="15">
        <v>1.23</v>
      </c>
      <c r="M33" s="15">
        <v>1.22</v>
      </c>
      <c r="N33" s="15">
        <v>1.17</v>
      </c>
      <c r="O33" s="16">
        <f t="shared" si="3"/>
        <v>1.8820000000000001</v>
      </c>
      <c r="P33" s="4">
        <f t="shared" ca="1" si="4"/>
        <v>217</v>
      </c>
      <c r="Q33" s="4">
        <f t="shared" ca="1" si="1"/>
        <v>143</v>
      </c>
      <c r="R33" s="16">
        <f t="shared" ca="1" si="5"/>
        <v>3.0113888888888889</v>
      </c>
      <c r="S33" s="5">
        <f t="shared" ca="1" si="6"/>
        <v>0.60010036604085482</v>
      </c>
      <c r="T33" s="18">
        <f t="shared" si="7"/>
        <v>-7.7519379844961267E-2</v>
      </c>
      <c r="U33" s="18">
        <f t="shared" si="8"/>
        <v>4.4534412955465452E-2</v>
      </c>
      <c r="V33" s="18">
        <f t="shared" si="9"/>
        <v>0.1488372093023258</v>
      </c>
      <c r="W33" s="18">
        <f t="shared" si="10"/>
        <v>-1.8264840182648401E-2</v>
      </c>
      <c r="X33" s="18">
        <f t="shared" si="11"/>
        <v>0.19672131147540983</v>
      </c>
      <c r="Y33" s="18">
        <f t="shared" si="12"/>
        <v>0.14375000000000004</v>
      </c>
      <c r="Z33" s="18">
        <f t="shared" si="13"/>
        <v>0.30081300813008149</v>
      </c>
      <c r="AA33" s="18">
        <f t="shared" si="14"/>
        <v>8.1967213114753079E-3</v>
      </c>
      <c r="AB33" s="18">
        <f t="shared" si="15"/>
        <v>4.2735042735042805E-2</v>
      </c>
      <c r="AC33" s="5">
        <f t="shared" si="16"/>
        <v>-7.7519379844961267E-2</v>
      </c>
    </row>
    <row r="34" spans="1:29" x14ac:dyDescent="0.25">
      <c r="A34" t="s">
        <v>62</v>
      </c>
      <c r="B34" t="s">
        <v>63</v>
      </c>
      <c r="C34" s="14">
        <v>3.53</v>
      </c>
      <c r="D34" s="14">
        <v>2.93</v>
      </c>
      <c r="E34" s="15">
        <v>3.68</v>
      </c>
      <c r="F34" s="15">
        <v>0.7</v>
      </c>
      <c r="G34" s="15">
        <v>2.0499999999999998</v>
      </c>
      <c r="H34" s="15">
        <v>1.72</v>
      </c>
      <c r="I34" s="15">
        <v>0.32</v>
      </c>
      <c r="J34" s="15">
        <v>0.62</v>
      </c>
      <c r="K34" s="15">
        <v>2.99</v>
      </c>
      <c r="L34" s="15">
        <v>3.82</v>
      </c>
      <c r="M34" s="15">
        <v>4.62</v>
      </c>
      <c r="N34" s="15">
        <v>2.93</v>
      </c>
      <c r="O34" s="16">
        <f t="shared" si="3"/>
        <v>2.3449999999999998</v>
      </c>
      <c r="P34" s="4">
        <f t="shared" ca="1" si="4"/>
        <v>217</v>
      </c>
      <c r="Q34" s="4">
        <f t="shared" ca="1" si="1"/>
        <v>143</v>
      </c>
      <c r="R34" s="16">
        <f t="shared" ca="1" si="5"/>
        <v>3.2916666666666665</v>
      </c>
      <c r="S34" s="5">
        <f t="shared" ca="1" si="6"/>
        <v>0.40369580668088134</v>
      </c>
      <c r="T34" s="18">
        <f t="shared" si="7"/>
        <v>4.257142857142858</v>
      </c>
      <c r="U34" s="18">
        <f t="shared" si="8"/>
        <v>-0.65853658536585358</v>
      </c>
      <c r="V34" s="18">
        <f t="shared" si="9"/>
        <v>0.19186046511627897</v>
      </c>
      <c r="W34" s="18">
        <f t="shared" si="10"/>
        <v>4.375</v>
      </c>
      <c r="X34" s="18">
        <f t="shared" si="11"/>
        <v>-0.4838709677419355</v>
      </c>
      <c r="Y34" s="18">
        <f t="shared" si="12"/>
        <v>-0.79264214046822745</v>
      </c>
      <c r="Z34" s="18">
        <f t="shared" si="13"/>
        <v>-0.21727748691099469</v>
      </c>
      <c r="AA34" s="18">
        <f t="shared" si="14"/>
        <v>-0.17316017316017318</v>
      </c>
      <c r="AB34" s="18">
        <f t="shared" si="15"/>
        <v>0.57679180887372006</v>
      </c>
      <c r="AC34" s="5">
        <f t="shared" si="16"/>
        <v>-0.79264214046822745</v>
      </c>
    </row>
    <row r="35" spans="1:29" x14ac:dyDescent="0.25">
      <c r="A35" t="s">
        <v>64</v>
      </c>
      <c r="B35" t="s">
        <v>65</v>
      </c>
      <c r="C35" s="14">
        <v>7.9</v>
      </c>
      <c r="D35" s="14">
        <v>7.9</v>
      </c>
      <c r="E35" s="15">
        <v>7.37</v>
      </c>
      <c r="F35" s="15">
        <v>9.6999999999999993</v>
      </c>
      <c r="G35" s="15">
        <v>8.42</v>
      </c>
      <c r="H35" s="15">
        <v>6.22</v>
      </c>
      <c r="I35" s="15">
        <v>3.98</v>
      </c>
      <c r="J35" s="15">
        <v>8.69</v>
      </c>
      <c r="K35" s="15">
        <v>7.28</v>
      </c>
      <c r="L35" s="15">
        <v>6.62</v>
      </c>
      <c r="M35" s="15">
        <v>5.71</v>
      </c>
      <c r="N35" s="15">
        <v>3.89</v>
      </c>
      <c r="O35" s="16">
        <f t="shared" si="3"/>
        <v>6.7879999999999994</v>
      </c>
      <c r="P35" s="4">
        <f t="shared" ca="1" si="4"/>
        <v>217</v>
      </c>
      <c r="Q35" s="4">
        <f t="shared" ca="1" si="1"/>
        <v>143</v>
      </c>
      <c r="R35" s="16">
        <f t="shared" ca="1" si="5"/>
        <v>7.9000000000000012</v>
      </c>
      <c r="S35" s="5">
        <f t="shared" ca="1" si="6"/>
        <v>0.16381850324101377</v>
      </c>
      <c r="T35" s="18">
        <f t="shared" si="7"/>
        <v>-0.24020618556701023</v>
      </c>
      <c r="U35" s="18">
        <f t="shared" si="8"/>
        <v>0.15201900237529675</v>
      </c>
      <c r="V35" s="18">
        <f t="shared" si="9"/>
        <v>0.3536977491961415</v>
      </c>
      <c r="W35" s="18">
        <f t="shared" si="10"/>
        <v>0.56281407035175879</v>
      </c>
      <c r="X35" s="18">
        <f t="shared" si="11"/>
        <v>-0.54200230149597228</v>
      </c>
      <c r="Y35" s="18">
        <f t="shared" si="12"/>
        <v>0.19368131868131866</v>
      </c>
      <c r="Z35" s="18">
        <f t="shared" si="13"/>
        <v>9.9697885196374569E-2</v>
      </c>
      <c r="AA35" s="18">
        <f t="shared" si="14"/>
        <v>0.15936952714535901</v>
      </c>
      <c r="AB35" s="18">
        <f t="shared" si="15"/>
        <v>0.46786632390745497</v>
      </c>
      <c r="AC35" s="5">
        <f t="shared" si="16"/>
        <v>-0.54200230149597228</v>
      </c>
    </row>
    <row r="36" spans="1:29" x14ac:dyDescent="0.25">
      <c r="A36" t="s">
        <v>66</v>
      </c>
      <c r="B36" t="s">
        <v>67</v>
      </c>
      <c r="C36" s="14">
        <v>1.76</v>
      </c>
      <c r="D36" s="14">
        <v>1.53</v>
      </c>
      <c r="E36" s="15">
        <v>1.27</v>
      </c>
      <c r="F36" s="15">
        <v>1.29</v>
      </c>
      <c r="G36" s="15">
        <v>1.23</v>
      </c>
      <c r="H36" s="15">
        <v>1.06</v>
      </c>
      <c r="I36" s="15">
        <v>1.01</v>
      </c>
      <c r="J36" s="15">
        <v>1.72</v>
      </c>
      <c r="K36" s="15">
        <v>2.17</v>
      </c>
      <c r="L36" s="15">
        <v>2</v>
      </c>
      <c r="M36" s="15">
        <v>1.54</v>
      </c>
      <c r="N36" s="15">
        <v>1.59</v>
      </c>
      <c r="O36" s="16">
        <f t="shared" si="3"/>
        <v>1.488</v>
      </c>
      <c r="P36" s="4">
        <f t="shared" ca="1" si="4"/>
        <v>217</v>
      </c>
      <c r="Q36" s="4">
        <f t="shared" ref="Q36:Q68" ca="1" si="17">DAYS360(TODAY(),CONCATENATE("31.12.",Q$2))</f>
        <v>143</v>
      </c>
      <c r="R36" s="16">
        <f t="shared" ca="1" si="5"/>
        <v>1.6686388888888888</v>
      </c>
      <c r="S36" s="5">
        <f t="shared" ca="1" si="6"/>
        <v>0.12139710274790905</v>
      </c>
      <c r="T36" s="18">
        <f t="shared" si="7"/>
        <v>-1.5503875968992276E-2</v>
      </c>
      <c r="U36" s="18">
        <f t="shared" si="8"/>
        <v>4.8780487804878092E-2</v>
      </c>
      <c r="V36" s="18">
        <f t="shared" si="9"/>
        <v>0.16037735849056589</v>
      </c>
      <c r="W36" s="18">
        <f t="shared" si="10"/>
        <v>4.9504950495049549E-2</v>
      </c>
      <c r="X36" s="18">
        <f t="shared" si="11"/>
        <v>-0.41279069767441856</v>
      </c>
      <c r="Y36" s="18">
        <f t="shared" si="12"/>
        <v>-0.20737327188940091</v>
      </c>
      <c r="Z36" s="18">
        <f t="shared" si="13"/>
        <v>8.4999999999999964E-2</v>
      </c>
      <c r="AA36" s="18">
        <f t="shared" si="14"/>
        <v>0.29870129870129869</v>
      </c>
      <c r="AB36" s="18">
        <f t="shared" si="15"/>
        <v>-3.1446540880503138E-2</v>
      </c>
      <c r="AC36" s="5">
        <f t="shared" si="16"/>
        <v>-0.41279069767441856</v>
      </c>
    </row>
    <row r="37" spans="1:29" x14ac:dyDescent="0.25">
      <c r="A37" t="s">
        <v>68</v>
      </c>
      <c r="B37" t="s">
        <v>69</v>
      </c>
      <c r="C37" s="14">
        <v>16.8</v>
      </c>
      <c r="D37" s="14">
        <v>16.100000000000001</v>
      </c>
      <c r="E37" s="15">
        <v>15.46</v>
      </c>
      <c r="F37" s="15">
        <v>14.13</v>
      </c>
      <c r="G37" s="15">
        <v>4.51</v>
      </c>
      <c r="H37" s="15">
        <v>13.18</v>
      </c>
      <c r="I37" s="15">
        <v>22.13</v>
      </c>
      <c r="J37" s="15">
        <v>4.47</v>
      </c>
      <c r="K37" s="15">
        <v>24.73</v>
      </c>
      <c r="L37" s="15">
        <v>19.690000000000001</v>
      </c>
      <c r="M37" s="15">
        <v>11.21</v>
      </c>
      <c r="N37" s="15">
        <v>8.92</v>
      </c>
      <c r="O37" s="16">
        <f t="shared" si="3"/>
        <v>13.842999999999998</v>
      </c>
      <c r="P37" s="4">
        <f t="shared" ca="1" si="4"/>
        <v>217</v>
      </c>
      <c r="Q37" s="4">
        <f t="shared" ca="1" si="17"/>
        <v>143</v>
      </c>
      <c r="R37" s="16">
        <f t="shared" ca="1" si="5"/>
        <v>16.521944444444443</v>
      </c>
      <c r="S37" s="5">
        <f t="shared" ca="1" si="6"/>
        <v>0.19352340131795454</v>
      </c>
      <c r="T37" s="18">
        <f t="shared" si="7"/>
        <v>9.412597310686488E-2</v>
      </c>
      <c r="U37" s="18">
        <f t="shared" si="8"/>
        <v>2.133037694013304</v>
      </c>
      <c r="V37" s="18">
        <f t="shared" si="9"/>
        <v>-0.657814871016692</v>
      </c>
      <c r="W37" s="18">
        <f t="shared" si="10"/>
        <v>-0.4044283777677361</v>
      </c>
      <c r="X37" s="18">
        <f t="shared" si="11"/>
        <v>3.9507829977628637</v>
      </c>
      <c r="Y37" s="18">
        <f t="shared" si="12"/>
        <v>-0.81924787707238167</v>
      </c>
      <c r="Z37" s="18">
        <f t="shared" si="13"/>
        <v>0.25596749619095971</v>
      </c>
      <c r="AA37" s="18">
        <f t="shared" si="14"/>
        <v>0.75646743978590547</v>
      </c>
      <c r="AB37" s="18">
        <f t="shared" si="15"/>
        <v>0.25672645739910327</v>
      </c>
      <c r="AC37" s="5">
        <f t="shared" si="16"/>
        <v>-0.81924787707238167</v>
      </c>
    </row>
    <row r="38" spans="1:29" x14ac:dyDescent="0.25">
      <c r="A38" t="s">
        <v>70</v>
      </c>
      <c r="B38" t="s">
        <v>71</v>
      </c>
      <c r="C38" s="14">
        <v>18.899999999999999</v>
      </c>
      <c r="D38" s="14">
        <v>16.899999999999999</v>
      </c>
      <c r="E38" s="15">
        <v>14.94</v>
      </c>
      <c r="F38" s="15">
        <v>14.37</v>
      </c>
      <c r="G38" s="15">
        <v>13.06</v>
      </c>
      <c r="H38" s="15">
        <v>11.52</v>
      </c>
      <c r="I38" s="15">
        <v>10.01</v>
      </c>
      <c r="J38" s="15">
        <v>8.93</v>
      </c>
      <c r="K38" s="15">
        <v>7.18</v>
      </c>
      <c r="L38" s="15">
        <v>6.11</v>
      </c>
      <c r="M38" s="15">
        <v>4.88</v>
      </c>
      <c r="N38" s="15">
        <v>4.93</v>
      </c>
      <c r="O38" s="16">
        <f t="shared" si="3"/>
        <v>9.5929999999999982</v>
      </c>
      <c r="P38" s="4">
        <f t="shared" ca="1" si="4"/>
        <v>217</v>
      </c>
      <c r="Q38" s="4">
        <f t="shared" ca="1" si="17"/>
        <v>143</v>
      </c>
      <c r="R38" s="16">
        <f t="shared" ca="1" si="5"/>
        <v>18.105555555555554</v>
      </c>
      <c r="S38" s="5">
        <f t="shared" ca="1" si="6"/>
        <v>0.88737157881325524</v>
      </c>
      <c r="T38" s="18">
        <f t="shared" si="7"/>
        <v>3.9665970772442716E-2</v>
      </c>
      <c r="U38" s="18">
        <f t="shared" si="8"/>
        <v>0.10030627871362929</v>
      </c>
      <c r="V38" s="18">
        <f t="shared" si="9"/>
        <v>0.13368055555555558</v>
      </c>
      <c r="W38" s="18">
        <f t="shared" si="10"/>
        <v>0.15084915084915074</v>
      </c>
      <c r="X38" s="18">
        <f t="shared" si="11"/>
        <v>0.12094064949608074</v>
      </c>
      <c r="Y38" s="18">
        <f t="shared" si="12"/>
        <v>0.24373259052924801</v>
      </c>
      <c r="Z38" s="18">
        <f t="shared" si="13"/>
        <v>0.17512274959083451</v>
      </c>
      <c r="AA38" s="18">
        <f t="shared" si="14"/>
        <v>0.25204918032786905</v>
      </c>
      <c r="AB38" s="18">
        <f t="shared" si="15"/>
        <v>-1.0141987829614618E-2</v>
      </c>
      <c r="AC38" s="5">
        <f t="shared" si="16"/>
        <v>-1.0141987829614618E-2</v>
      </c>
    </row>
    <row r="39" spans="1:29" x14ac:dyDescent="0.25">
      <c r="A39" t="s">
        <v>72</v>
      </c>
      <c r="B39" t="s">
        <v>73</v>
      </c>
      <c r="C39" s="14">
        <v>5.91</v>
      </c>
      <c r="D39" s="14">
        <v>5.47</v>
      </c>
      <c r="E39" s="15">
        <v>4.3499999999999996</v>
      </c>
      <c r="F39" s="15">
        <v>5.2</v>
      </c>
      <c r="G39" s="15">
        <v>4.4800000000000004</v>
      </c>
      <c r="H39" s="15">
        <v>3.96</v>
      </c>
      <c r="I39" s="15">
        <v>2.2599999999999998</v>
      </c>
      <c r="J39" s="15">
        <v>1.37</v>
      </c>
      <c r="K39" s="15">
        <v>4.38</v>
      </c>
      <c r="L39" s="15">
        <v>4.04</v>
      </c>
      <c r="M39" s="15">
        <v>2.38</v>
      </c>
      <c r="N39" s="15">
        <v>1.55</v>
      </c>
      <c r="O39" s="16">
        <f t="shared" si="3"/>
        <v>3.3969999999999998</v>
      </c>
      <c r="P39" s="4">
        <f t="shared" ca="1" si="4"/>
        <v>217</v>
      </c>
      <c r="Q39" s="4">
        <f t="shared" ca="1" si="17"/>
        <v>143</v>
      </c>
      <c r="R39" s="16">
        <f t="shared" ca="1" si="5"/>
        <v>5.7352222222222222</v>
      </c>
      <c r="S39" s="5">
        <f t="shared" ca="1" si="6"/>
        <v>0.68831975926471078</v>
      </c>
      <c r="T39" s="18">
        <f t="shared" si="7"/>
        <v>-0.16346153846153855</v>
      </c>
      <c r="U39" s="18">
        <f t="shared" si="8"/>
        <v>0.16071428571428559</v>
      </c>
      <c r="V39" s="18">
        <f t="shared" si="9"/>
        <v>0.13131313131313149</v>
      </c>
      <c r="W39" s="18">
        <f t="shared" si="10"/>
        <v>0.75221238938053103</v>
      </c>
      <c r="X39" s="18">
        <f t="shared" si="11"/>
        <v>0.64963503649635013</v>
      </c>
      <c r="Y39" s="18">
        <f t="shared" si="12"/>
        <v>-0.68721461187214605</v>
      </c>
      <c r="Z39" s="18">
        <f t="shared" si="13"/>
        <v>8.4158415841584233E-2</v>
      </c>
      <c r="AA39" s="18">
        <f t="shared" si="14"/>
        <v>0.69747899159663884</v>
      </c>
      <c r="AB39" s="18">
        <f t="shared" si="15"/>
        <v>0.53548387096774186</v>
      </c>
      <c r="AC39" s="5">
        <f t="shared" si="16"/>
        <v>-0.68721461187214605</v>
      </c>
    </row>
    <row r="40" spans="1:29" x14ac:dyDescent="0.25">
      <c r="A40" t="s">
        <v>74</v>
      </c>
      <c r="B40" t="s">
        <v>75</v>
      </c>
      <c r="C40" s="14">
        <v>6.27</v>
      </c>
      <c r="D40" s="14">
        <v>5.73</v>
      </c>
      <c r="E40" s="15">
        <v>4.8099999999999996</v>
      </c>
      <c r="F40" s="15">
        <v>3.86</v>
      </c>
      <c r="G40" s="15">
        <v>3.49</v>
      </c>
      <c r="H40" s="15">
        <v>4.78</v>
      </c>
      <c r="I40" s="15">
        <v>4.4000000000000004</v>
      </c>
      <c r="J40" s="15">
        <v>4.57</v>
      </c>
      <c r="K40" s="15">
        <v>3.63</v>
      </c>
      <c r="L40" s="15">
        <v>3.73</v>
      </c>
      <c r="M40" s="15">
        <v>3.46</v>
      </c>
      <c r="N40" s="15">
        <v>2.84</v>
      </c>
      <c r="O40" s="16">
        <f t="shared" si="3"/>
        <v>3.9570000000000007</v>
      </c>
      <c r="P40" s="4">
        <f t="shared" ca="1" si="4"/>
        <v>217</v>
      </c>
      <c r="Q40" s="4">
        <f t="shared" ca="1" si="17"/>
        <v>143</v>
      </c>
      <c r="R40" s="16">
        <f t="shared" ca="1" si="5"/>
        <v>6.0555000000000003</v>
      </c>
      <c r="S40" s="5">
        <f t="shared" ca="1" si="6"/>
        <v>0.53032600454890044</v>
      </c>
      <c r="T40" s="18">
        <f t="shared" si="7"/>
        <v>0.24611398963730569</v>
      </c>
      <c r="U40" s="18">
        <f t="shared" si="8"/>
        <v>0.10601719197707715</v>
      </c>
      <c r="V40" s="18">
        <f t="shared" si="9"/>
        <v>-0.26987447698744771</v>
      </c>
      <c r="W40" s="18">
        <f t="shared" si="10"/>
        <v>8.636363636363642E-2</v>
      </c>
      <c r="X40" s="18">
        <f t="shared" si="11"/>
        <v>-3.7199124726477018E-2</v>
      </c>
      <c r="Y40" s="18">
        <f t="shared" si="12"/>
        <v>0.25895316804407731</v>
      </c>
      <c r="Z40" s="18">
        <f t="shared" si="13"/>
        <v>-2.6809651474530849E-2</v>
      </c>
      <c r="AA40" s="18">
        <f t="shared" si="14"/>
        <v>7.8034682080924789E-2</v>
      </c>
      <c r="AB40" s="18">
        <f t="shared" si="15"/>
        <v>0.21830985915492973</v>
      </c>
      <c r="AC40" s="5">
        <f t="shared" si="16"/>
        <v>-0.26987447698744771</v>
      </c>
    </row>
    <row r="41" spans="1:29" x14ac:dyDescent="0.25">
      <c r="A41" t="s">
        <v>76</v>
      </c>
      <c r="B41" t="s">
        <v>77</v>
      </c>
      <c r="C41" s="14">
        <v>3.43</v>
      </c>
      <c r="D41" s="14">
        <v>3.17</v>
      </c>
      <c r="E41" s="15">
        <v>4.51</v>
      </c>
      <c r="F41" s="15">
        <v>2.75</v>
      </c>
      <c r="G41" s="15">
        <v>3</v>
      </c>
      <c r="H41" s="15">
        <v>5.98</v>
      </c>
      <c r="I41" s="15"/>
      <c r="J41" s="15"/>
      <c r="K41" s="15"/>
      <c r="L41" s="15"/>
      <c r="M41" s="15"/>
      <c r="N41" s="15"/>
      <c r="O41" s="16">
        <f t="shared" si="3"/>
        <v>4.0600000000000005</v>
      </c>
      <c r="P41" s="4">
        <f t="shared" ca="1" si="4"/>
        <v>217</v>
      </c>
      <c r="Q41" s="4">
        <f t="shared" ca="1" si="17"/>
        <v>143</v>
      </c>
      <c r="R41" s="16">
        <f t="shared" ca="1" si="5"/>
        <v>3.3267222222222221</v>
      </c>
      <c r="S41" s="5">
        <f t="shared" ca="1" si="6"/>
        <v>-0.18061029009304885</v>
      </c>
      <c r="T41" s="18">
        <f t="shared" si="7"/>
        <v>0.6399999999999999</v>
      </c>
      <c r="U41" s="18">
        <f t="shared" si="8"/>
        <v>-8.333333333333337E-2</v>
      </c>
      <c r="V41" s="18">
        <f t="shared" si="9"/>
        <v>-0.49832775919732442</v>
      </c>
      <c r="W41" s="18">
        <f t="shared" si="10"/>
        <v>99.999989999999997</v>
      </c>
      <c r="X41" s="18">
        <f t="shared" si="11"/>
        <v>99.999989999999997</v>
      </c>
      <c r="Y41" s="18">
        <f t="shared" si="12"/>
        <v>99.999989999999997</v>
      </c>
      <c r="Z41" s="18">
        <f t="shared" si="13"/>
        <v>99.999989999999997</v>
      </c>
      <c r="AA41" s="18">
        <f t="shared" si="14"/>
        <v>99.999989999999997</v>
      </c>
      <c r="AB41" s="18">
        <f t="shared" si="15"/>
        <v>99.999989999999997</v>
      </c>
      <c r="AC41" s="5">
        <f t="shared" si="16"/>
        <v>-0.49832775919732442</v>
      </c>
    </row>
    <row r="42" spans="1:29" x14ac:dyDescent="0.25">
      <c r="A42" t="s">
        <v>78</v>
      </c>
      <c r="B42" t="s">
        <v>79</v>
      </c>
      <c r="C42" s="14">
        <v>6.26</v>
      </c>
      <c r="D42" s="14">
        <v>5.74</v>
      </c>
      <c r="E42" s="15">
        <v>5.55</v>
      </c>
      <c r="F42" s="15">
        <v>5.36</v>
      </c>
      <c r="G42" s="15">
        <v>5.27</v>
      </c>
      <c r="H42" s="15">
        <v>4.58</v>
      </c>
      <c r="I42" s="15">
        <v>4.1100000000000003</v>
      </c>
      <c r="J42" s="15">
        <v>3.76</v>
      </c>
      <c r="K42" s="15">
        <v>1.98</v>
      </c>
      <c r="L42" s="15">
        <v>2.83</v>
      </c>
      <c r="M42" s="15">
        <v>2.04</v>
      </c>
      <c r="N42" s="15">
        <v>1.79</v>
      </c>
      <c r="O42" s="16">
        <f t="shared" si="3"/>
        <v>3.7269999999999994</v>
      </c>
      <c r="P42" s="4">
        <f t="shared" ca="1" si="4"/>
        <v>217</v>
      </c>
      <c r="Q42" s="4">
        <f t="shared" ca="1" si="17"/>
        <v>143</v>
      </c>
      <c r="R42" s="16">
        <f t="shared" ca="1" si="5"/>
        <v>6.0534444444444446</v>
      </c>
      <c r="S42" s="5">
        <f t="shared" ca="1" si="6"/>
        <v>0.62421369585308439</v>
      </c>
      <c r="T42" s="18">
        <f t="shared" si="7"/>
        <v>3.5447761194029814E-2</v>
      </c>
      <c r="U42" s="18">
        <f t="shared" si="8"/>
        <v>1.7077798861480309E-2</v>
      </c>
      <c r="V42" s="18">
        <f t="shared" si="9"/>
        <v>0.15065502183406099</v>
      </c>
      <c r="W42" s="18">
        <f t="shared" si="10"/>
        <v>0.11435523114355228</v>
      </c>
      <c r="X42" s="18">
        <f t="shared" si="11"/>
        <v>9.3085106382978955E-2</v>
      </c>
      <c r="Y42" s="18">
        <f t="shared" si="12"/>
        <v>0.89898989898989901</v>
      </c>
      <c r="Z42" s="18">
        <f t="shared" si="13"/>
        <v>-0.30035335689045939</v>
      </c>
      <c r="AA42" s="18">
        <f t="shared" si="14"/>
        <v>0.38725490196078427</v>
      </c>
      <c r="AB42" s="18">
        <f t="shared" si="15"/>
        <v>0.13966480446927365</v>
      </c>
      <c r="AC42" s="5">
        <f t="shared" si="16"/>
        <v>-0.30035335689045939</v>
      </c>
    </row>
    <row r="43" spans="1:29" x14ac:dyDescent="0.25">
      <c r="A43" t="s">
        <v>80</v>
      </c>
      <c r="B43" t="s">
        <v>81</v>
      </c>
      <c r="C43" s="14">
        <v>2.37</v>
      </c>
      <c r="D43" s="14">
        <v>2.19</v>
      </c>
      <c r="E43" s="15">
        <v>1.47</v>
      </c>
      <c r="F43" s="15">
        <v>2</v>
      </c>
      <c r="G43" s="15">
        <v>2.02</v>
      </c>
      <c r="H43" s="41">
        <v>3.42</v>
      </c>
      <c r="I43" s="15">
        <v>5.65</v>
      </c>
      <c r="J43" s="15">
        <v>3.64</v>
      </c>
      <c r="K43" s="15">
        <v>1.49</v>
      </c>
      <c r="L43" s="15">
        <v>2.0299999999999998</v>
      </c>
      <c r="M43" s="15">
        <v>2.1</v>
      </c>
      <c r="N43" s="15">
        <v>2.61</v>
      </c>
      <c r="O43" s="16">
        <f t="shared" si="3"/>
        <v>2.6429999999999998</v>
      </c>
      <c r="P43" s="4">
        <f t="shared" ca="1" si="4"/>
        <v>217</v>
      </c>
      <c r="Q43" s="4">
        <f t="shared" ca="1" si="17"/>
        <v>143</v>
      </c>
      <c r="R43" s="16">
        <f t="shared" ca="1" si="5"/>
        <v>2.2984999999999998</v>
      </c>
      <c r="S43" s="5">
        <f t="shared" ca="1" si="6"/>
        <v>-0.13034430571320477</v>
      </c>
      <c r="T43" s="18">
        <f t="shared" si="7"/>
        <v>-0.26500000000000001</v>
      </c>
      <c r="U43" s="18">
        <f t="shared" si="8"/>
        <v>-9.9009900990099098E-3</v>
      </c>
      <c r="V43" s="18">
        <f t="shared" si="9"/>
        <v>-0.40935672514619881</v>
      </c>
      <c r="W43" s="18">
        <f t="shared" si="10"/>
        <v>-0.3946902654867257</v>
      </c>
      <c r="X43" s="18">
        <f t="shared" si="11"/>
        <v>0.55219780219780223</v>
      </c>
      <c r="Y43" s="18">
        <f t="shared" si="12"/>
        <v>1.4429530201342282</v>
      </c>
      <c r="Z43" s="18">
        <f t="shared" si="13"/>
        <v>-0.26600985221674867</v>
      </c>
      <c r="AA43" s="18">
        <f t="shared" si="14"/>
        <v>-3.3333333333333437E-2</v>
      </c>
      <c r="AB43" s="18">
        <f t="shared" si="15"/>
        <v>-0.19540229885057459</v>
      </c>
      <c r="AC43" s="5">
        <f t="shared" si="16"/>
        <v>-0.40935672514619881</v>
      </c>
    </row>
    <row r="44" spans="1:29" x14ac:dyDescent="0.25">
      <c r="A44" t="s">
        <v>82</v>
      </c>
      <c r="B44" t="s">
        <v>83</v>
      </c>
      <c r="C44" s="14">
        <v>2.87</v>
      </c>
      <c r="D44" s="14">
        <v>2.68</v>
      </c>
      <c r="E44" s="15">
        <v>2.58</v>
      </c>
      <c r="F44" s="15">
        <v>2</v>
      </c>
      <c r="G44" s="15">
        <v>2.69</v>
      </c>
      <c r="H44" s="15">
        <v>2.1</v>
      </c>
      <c r="I44" s="15">
        <v>1.62</v>
      </c>
      <c r="J44" s="15">
        <v>1.87</v>
      </c>
      <c r="K44" s="15">
        <v>1.42</v>
      </c>
      <c r="L44" s="15">
        <v>1.2</v>
      </c>
      <c r="M44" s="15">
        <v>1.1200000000000001</v>
      </c>
      <c r="N44" s="15">
        <v>0.75</v>
      </c>
      <c r="O44" s="16">
        <f t="shared" si="3"/>
        <v>1.7349999999999999</v>
      </c>
      <c r="P44" s="4">
        <f t="shared" ca="1" si="4"/>
        <v>217</v>
      </c>
      <c r="Q44" s="4">
        <f t="shared" ca="1" si="17"/>
        <v>143</v>
      </c>
      <c r="R44" s="16">
        <f t="shared" ca="1" si="5"/>
        <v>2.7945277777777777</v>
      </c>
      <c r="S44" s="5">
        <f t="shared" ca="1" si="6"/>
        <v>0.61067883445405058</v>
      </c>
      <c r="T44" s="18">
        <f t="shared" si="7"/>
        <v>0.29000000000000004</v>
      </c>
      <c r="U44" s="18">
        <f t="shared" si="8"/>
        <v>-0.25650557620817838</v>
      </c>
      <c r="V44" s="18">
        <f t="shared" si="9"/>
        <v>0.28095238095238084</v>
      </c>
      <c r="W44" s="18">
        <f t="shared" si="10"/>
        <v>0.29629629629629628</v>
      </c>
      <c r="X44" s="18">
        <f t="shared" si="11"/>
        <v>-0.13368983957219249</v>
      </c>
      <c r="Y44" s="18">
        <f t="shared" si="12"/>
        <v>0.31690140845070447</v>
      </c>
      <c r="Z44" s="18">
        <f t="shared" si="13"/>
        <v>0.18333333333333335</v>
      </c>
      <c r="AA44" s="18">
        <f t="shared" si="14"/>
        <v>7.1428571428571397E-2</v>
      </c>
      <c r="AB44" s="18">
        <f t="shared" si="15"/>
        <v>0.4933333333333334</v>
      </c>
      <c r="AC44" s="5">
        <f t="shared" si="16"/>
        <v>-0.25650557620817838</v>
      </c>
    </row>
    <row r="45" spans="1:29" x14ac:dyDescent="0.25">
      <c r="A45" t="s">
        <v>84</v>
      </c>
      <c r="B45" t="s">
        <v>85</v>
      </c>
      <c r="C45" s="14">
        <v>1.88</v>
      </c>
      <c r="D45" s="14">
        <v>1.55</v>
      </c>
      <c r="E45" s="15">
        <v>2.19</v>
      </c>
      <c r="F45" s="15">
        <v>1.69</v>
      </c>
      <c r="G45" s="15">
        <v>1.99</v>
      </c>
      <c r="H45" s="15">
        <v>2.39</v>
      </c>
      <c r="I45" s="15">
        <v>2.0299999999999998</v>
      </c>
      <c r="J45" s="15">
        <v>1.92</v>
      </c>
      <c r="K45" s="15">
        <v>1.62</v>
      </c>
      <c r="L45" s="15">
        <v>1.85</v>
      </c>
      <c r="M45" s="15">
        <v>1.55</v>
      </c>
      <c r="N45" s="15"/>
      <c r="O45" s="16">
        <f t="shared" si="3"/>
        <v>1.9144444444444442</v>
      </c>
      <c r="P45" s="4">
        <f t="shared" ca="1" si="4"/>
        <v>217</v>
      </c>
      <c r="Q45" s="4">
        <f t="shared" ca="1" si="17"/>
        <v>143</v>
      </c>
      <c r="R45" s="16">
        <f t="shared" ca="1" si="5"/>
        <v>1.7489166666666667</v>
      </c>
      <c r="S45" s="5">
        <f t="shared" ca="1" si="6"/>
        <v>-8.6462565293093263E-2</v>
      </c>
      <c r="T45" s="18">
        <f t="shared" si="7"/>
        <v>0.29585798816568043</v>
      </c>
      <c r="U45" s="18">
        <f t="shared" si="8"/>
        <v>-0.15075376884422109</v>
      </c>
      <c r="V45" s="18">
        <f t="shared" si="9"/>
        <v>-0.16736401673640167</v>
      </c>
      <c r="W45" s="18">
        <f t="shared" si="10"/>
        <v>0.17733990147783274</v>
      </c>
      <c r="X45" s="18">
        <f t="shared" si="11"/>
        <v>5.7291666666666519E-2</v>
      </c>
      <c r="Y45" s="18">
        <f t="shared" si="12"/>
        <v>0.18518518518518512</v>
      </c>
      <c r="Z45" s="18">
        <f t="shared" si="13"/>
        <v>-0.12432432432432428</v>
      </c>
      <c r="AA45" s="18">
        <f t="shared" si="14"/>
        <v>0.19354838709677424</v>
      </c>
      <c r="AB45" s="18">
        <f t="shared" si="15"/>
        <v>99.999989999999997</v>
      </c>
      <c r="AC45" s="5">
        <f t="shared" si="16"/>
        <v>-0.16736401673640167</v>
      </c>
    </row>
    <row r="46" spans="1:29" x14ac:dyDescent="0.25">
      <c r="A46" t="s">
        <v>86</v>
      </c>
      <c r="B46" t="s">
        <v>87</v>
      </c>
      <c r="C46" s="14">
        <v>6.21</v>
      </c>
      <c r="D46" s="14">
        <v>5.24</v>
      </c>
      <c r="E46" s="15">
        <v>4.5999999999999996</v>
      </c>
      <c r="F46" s="15">
        <v>3.79</v>
      </c>
      <c r="G46" s="15">
        <v>2.96</v>
      </c>
      <c r="H46" s="15">
        <v>2.0099999999999998</v>
      </c>
      <c r="I46" s="15">
        <v>3.8</v>
      </c>
      <c r="J46" s="15">
        <v>3.62</v>
      </c>
      <c r="K46" s="15">
        <v>1.79</v>
      </c>
      <c r="L46" s="15">
        <v>1.25</v>
      </c>
      <c r="M46" s="15">
        <v>0.47</v>
      </c>
      <c r="N46" s="15">
        <v>0.5</v>
      </c>
      <c r="O46" s="16">
        <f t="shared" si="3"/>
        <v>2.4790000000000001</v>
      </c>
      <c r="P46" s="4">
        <f t="shared" ca="1" si="4"/>
        <v>217</v>
      </c>
      <c r="Q46" s="4">
        <f t="shared" ca="1" si="17"/>
        <v>143</v>
      </c>
      <c r="R46" s="16">
        <f t="shared" ca="1" si="5"/>
        <v>5.8246944444444448</v>
      </c>
      <c r="S46" s="5">
        <f t="shared" ca="1" si="6"/>
        <v>1.3496145399130475</v>
      </c>
      <c r="T46" s="18">
        <f t="shared" si="7"/>
        <v>0.21372031662269109</v>
      </c>
      <c r="U46" s="18">
        <f t="shared" si="8"/>
        <v>0.28040540540540548</v>
      </c>
      <c r="V46" s="18">
        <f t="shared" si="9"/>
        <v>0.47263681592039819</v>
      </c>
      <c r="W46" s="18">
        <f t="shared" si="10"/>
        <v>-0.47105263157894739</v>
      </c>
      <c r="X46" s="18">
        <f t="shared" si="11"/>
        <v>4.9723756906077332E-2</v>
      </c>
      <c r="Y46" s="18">
        <f t="shared" si="12"/>
        <v>1.022346368715084</v>
      </c>
      <c r="Z46" s="18">
        <f t="shared" si="13"/>
        <v>0.43199999999999994</v>
      </c>
      <c r="AA46" s="18">
        <f t="shared" si="14"/>
        <v>1.6595744680851063</v>
      </c>
      <c r="AB46" s="18">
        <f t="shared" si="15"/>
        <v>-6.0000000000000053E-2</v>
      </c>
      <c r="AC46" s="5">
        <f t="shared" si="16"/>
        <v>-0.47105263157894739</v>
      </c>
    </row>
    <row r="47" spans="1:29" x14ac:dyDescent="0.25">
      <c r="A47" t="s">
        <v>88</v>
      </c>
      <c r="B47" t="s">
        <v>89</v>
      </c>
      <c r="C47" s="14">
        <v>2.65</v>
      </c>
      <c r="D47" s="14">
        <v>2.38</v>
      </c>
      <c r="E47" s="15">
        <v>2.2599999999999998</v>
      </c>
      <c r="F47" s="15">
        <v>1.96</v>
      </c>
      <c r="G47" s="15">
        <v>1.67</v>
      </c>
      <c r="H47" s="15">
        <v>1.21</v>
      </c>
      <c r="I47" s="15">
        <v>1.0900000000000001</v>
      </c>
      <c r="J47" s="15">
        <v>1.06</v>
      </c>
      <c r="K47" s="15">
        <v>0.81</v>
      </c>
      <c r="L47" s="15">
        <v>0.64</v>
      </c>
      <c r="M47" s="15">
        <v>0.55000000000000004</v>
      </c>
      <c r="N47" s="15">
        <v>0.5</v>
      </c>
      <c r="O47" s="16">
        <f t="shared" si="3"/>
        <v>1.1750000000000003</v>
      </c>
      <c r="P47" s="4">
        <f t="shared" ca="1" si="4"/>
        <v>217</v>
      </c>
      <c r="Q47" s="4">
        <f t="shared" ca="1" si="17"/>
        <v>143</v>
      </c>
      <c r="R47" s="16">
        <f t="shared" ca="1" si="5"/>
        <v>2.5427499999999998</v>
      </c>
      <c r="S47" s="5">
        <f t="shared" ca="1" si="6"/>
        <v>1.1640425531914889</v>
      </c>
      <c r="T47" s="18">
        <f t="shared" si="7"/>
        <v>0.15306122448979576</v>
      </c>
      <c r="U47" s="18">
        <f t="shared" si="8"/>
        <v>0.17365269461077837</v>
      </c>
      <c r="V47" s="18">
        <f t="shared" si="9"/>
        <v>0.38016528925619841</v>
      </c>
      <c r="W47" s="18">
        <f t="shared" si="10"/>
        <v>0.11009174311926584</v>
      </c>
      <c r="X47" s="18">
        <f t="shared" si="11"/>
        <v>2.8301886792452935E-2</v>
      </c>
      <c r="Y47" s="18">
        <f t="shared" si="12"/>
        <v>0.30864197530864201</v>
      </c>
      <c r="Z47" s="18">
        <f t="shared" si="13"/>
        <v>0.265625</v>
      </c>
      <c r="AA47" s="18">
        <f t="shared" si="14"/>
        <v>0.16363636363636358</v>
      </c>
      <c r="AB47" s="18">
        <f t="shared" si="15"/>
        <v>0.10000000000000009</v>
      </c>
      <c r="AC47" s="5">
        <f t="shared" si="16"/>
        <v>2.8301886792452935E-2</v>
      </c>
    </row>
    <row r="48" spans="1:29" x14ac:dyDescent="0.25">
      <c r="A48" t="s">
        <v>90</v>
      </c>
      <c r="B48" t="s">
        <v>91</v>
      </c>
      <c r="C48" s="14">
        <v>4.88</v>
      </c>
      <c r="D48" s="14">
        <v>4.51</v>
      </c>
      <c r="E48" s="15">
        <v>4.32</v>
      </c>
      <c r="F48" s="15">
        <v>3.92</v>
      </c>
      <c r="G48" s="15">
        <v>4.03</v>
      </c>
      <c r="H48" s="15">
        <v>3.91</v>
      </c>
      <c r="I48" s="15">
        <v>3.77</v>
      </c>
      <c r="J48" s="15">
        <v>3.21</v>
      </c>
      <c r="K48" s="15">
        <v>3.41</v>
      </c>
      <c r="L48" s="15">
        <v>3.34</v>
      </c>
      <c r="M48" s="15">
        <v>2.39</v>
      </c>
      <c r="N48" s="15">
        <v>2.4300000000000002</v>
      </c>
      <c r="O48" s="16">
        <f t="shared" si="3"/>
        <v>3.4729999999999999</v>
      </c>
      <c r="P48" s="4">
        <f t="shared" ca="1" si="4"/>
        <v>217</v>
      </c>
      <c r="Q48" s="4">
        <f t="shared" ca="1" si="17"/>
        <v>143</v>
      </c>
      <c r="R48" s="16">
        <f t="shared" ca="1" si="5"/>
        <v>4.7330277777777781</v>
      </c>
      <c r="S48" s="5">
        <f t="shared" ca="1" si="6"/>
        <v>0.36280673129219077</v>
      </c>
      <c r="T48" s="18">
        <f t="shared" si="7"/>
        <v>0.10204081632653073</v>
      </c>
      <c r="U48" s="18">
        <f t="shared" si="8"/>
        <v>-2.7295285359801524E-2</v>
      </c>
      <c r="V48" s="18">
        <f t="shared" si="9"/>
        <v>3.0690537084399061E-2</v>
      </c>
      <c r="W48" s="18">
        <f t="shared" si="10"/>
        <v>3.7135278514588865E-2</v>
      </c>
      <c r="X48" s="18">
        <f t="shared" si="11"/>
        <v>0.17445482866043616</v>
      </c>
      <c r="Y48" s="18">
        <f t="shared" si="12"/>
        <v>-5.8651026392961936E-2</v>
      </c>
      <c r="Z48" s="18">
        <f t="shared" si="13"/>
        <v>2.0958083832335328E-2</v>
      </c>
      <c r="AA48" s="18">
        <f t="shared" si="14"/>
        <v>0.39748953974895374</v>
      </c>
      <c r="AB48" s="18">
        <f t="shared" si="15"/>
        <v>-1.6460905349794275E-2</v>
      </c>
      <c r="AC48" s="5">
        <f t="shared" si="16"/>
        <v>-5.8651026392961936E-2</v>
      </c>
    </row>
    <row r="49" spans="1:29" x14ac:dyDescent="0.25">
      <c r="A49" t="s">
        <v>92</v>
      </c>
      <c r="B49" t="s">
        <v>93</v>
      </c>
      <c r="C49" s="14">
        <v>1.6</v>
      </c>
      <c r="D49" s="14">
        <v>1.48</v>
      </c>
      <c r="E49" s="41">
        <v>1.65</v>
      </c>
      <c r="F49" s="15">
        <v>1.94</v>
      </c>
      <c r="G49" s="15">
        <v>1.27</v>
      </c>
      <c r="H49" s="15">
        <v>1.02</v>
      </c>
      <c r="I49" s="15">
        <v>1.23</v>
      </c>
      <c r="J49" s="15">
        <v>1.2</v>
      </c>
      <c r="K49" s="15">
        <v>1.17</v>
      </c>
      <c r="L49" s="41">
        <v>1.52</v>
      </c>
      <c r="M49" s="15">
        <v>1.0900000000000001</v>
      </c>
      <c r="N49" s="15">
        <v>1.49</v>
      </c>
      <c r="O49" s="16">
        <f t="shared" si="3"/>
        <v>1.3579999999999999</v>
      </c>
      <c r="P49" s="4">
        <f t="shared" ca="1" si="4"/>
        <v>217</v>
      </c>
      <c r="Q49" s="4">
        <f t="shared" ca="1" si="17"/>
        <v>143</v>
      </c>
      <c r="R49" s="16">
        <f t="shared" ca="1" si="5"/>
        <v>1.5523333333333333</v>
      </c>
      <c r="S49" s="5">
        <f t="shared" ca="1" si="6"/>
        <v>0.14310260186548862</v>
      </c>
      <c r="T49" s="18">
        <f t="shared" si="7"/>
        <v>-0.14948453608247425</v>
      </c>
      <c r="U49" s="18">
        <f t="shared" si="8"/>
        <v>0.52755905511811019</v>
      </c>
      <c r="V49" s="18">
        <f t="shared" si="9"/>
        <v>0.24509803921568629</v>
      </c>
      <c r="W49" s="18">
        <f t="shared" si="10"/>
        <v>-0.1707317073170731</v>
      </c>
      <c r="X49" s="18">
        <f t="shared" si="11"/>
        <v>2.5000000000000133E-2</v>
      </c>
      <c r="Y49" s="18">
        <f t="shared" si="12"/>
        <v>2.5641025641025772E-2</v>
      </c>
      <c r="Z49" s="18">
        <f t="shared" si="13"/>
        <v>-0.23026315789473695</v>
      </c>
      <c r="AA49" s="18">
        <f t="shared" si="14"/>
        <v>0.39449541284403655</v>
      </c>
      <c r="AB49" s="18">
        <f t="shared" si="15"/>
        <v>-0.26845637583892612</v>
      </c>
      <c r="AC49" s="5">
        <f t="shared" si="16"/>
        <v>-0.26845637583892612</v>
      </c>
    </row>
    <row r="50" spans="1:29" x14ac:dyDescent="0.25">
      <c r="A50" t="s">
        <v>94</v>
      </c>
      <c r="B50" t="s">
        <v>95</v>
      </c>
      <c r="C50" s="14">
        <v>5.61</v>
      </c>
      <c r="D50" s="14">
        <v>5.05</v>
      </c>
      <c r="E50" s="15">
        <v>5.26</v>
      </c>
      <c r="F50" s="15">
        <v>5.17</v>
      </c>
      <c r="G50" s="15">
        <v>4.8499999999999996</v>
      </c>
      <c r="H50" s="15">
        <v>3.92</v>
      </c>
      <c r="I50" s="15">
        <v>3.24</v>
      </c>
      <c r="J50" s="15">
        <v>3.31</v>
      </c>
      <c r="K50" s="15"/>
      <c r="L50" s="15"/>
      <c r="M50" s="15"/>
      <c r="N50" s="15"/>
      <c r="O50" s="16">
        <f t="shared" si="3"/>
        <v>4.2916666666666661</v>
      </c>
      <c r="P50" s="4">
        <f t="shared" ca="1" si="4"/>
        <v>217</v>
      </c>
      <c r="Q50" s="4">
        <f t="shared" ca="1" si="17"/>
        <v>143</v>
      </c>
      <c r="R50" s="16">
        <f t="shared" ca="1" si="5"/>
        <v>5.3875555555555561</v>
      </c>
      <c r="S50" s="5">
        <f t="shared" ca="1" si="6"/>
        <v>0.25535275080906183</v>
      </c>
      <c r="T50" s="18">
        <f t="shared" si="7"/>
        <v>1.740812379110257E-2</v>
      </c>
      <c r="U50" s="18">
        <f t="shared" si="8"/>
        <v>6.5979381443298957E-2</v>
      </c>
      <c r="V50" s="18">
        <f t="shared" si="9"/>
        <v>0.23724489795918369</v>
      </c>
      <c r="W50" s="18">
        <f t="shared" si="10"/>
        <v>0.20987654320987637</v>
      </c>
      <c r="X50" s="18">
        <f t="shared" si="11"/>
        <v>-2.114803625377637E-2</v>
      </c>
      <c r="Y50" s="18">
        <f t="shared" si="12"/>
        <v>99.999989999999997</v>
      </c>
      <c r="Z50" s="18">
        <f t="shared" si="13"/>
        <v>99.999989999999997</v>
      </c>
      <c r="AA50" s="18">
        <f t="shared" si="14"/>
        <v>99.999989999999997</v>
      </c>
      <c r="AB50" s="18">
        <f t="shared" si="15"/>
        <v>99.999989999999997</v>
      </c>
      <c r="AC50" s="5">
        <f t="shared" si="16"/>
        <v>-2.114803625377637E-2</v>
      </c>
    </row>
    <row r="51" spans="1:29" x14ac:dyDescent="0.25">
      <c r="A51" t="s">
        <v>96</v>
      </c>
      <c r="B51" t="s">
        <v>97</v>
      </c>
      <c r="C51" s="14">
        <v>4.49</v>
      </c>
      <c r="D51" s="14">
        <v>4.05</v>
      </c>
      <c r="E51" s="15">
        <v>3.86</v>
      </c>
      <c r="F51" s="15">
        <v>3.66</v>
      </c>
      <c r="G51" s="15">
        <v>3.93</v>
      </c>
      <c r="H51" s="15">
        <v>4.1100000000000003</v>
      </c>
      <c r="I51" s="15">
        <v>4.26</v>
      </c>
      <c r="J51" s="15">
        <v>3.64</v>
      </c>
      <c r="K51" s="15">
        <v>3.04</v>
      </c>
      <c r="L51" s="15">
        <v>2.64</v>
      </c>
      <c r="M51" s="15">
        <v>2.66</v>
      </c>
      <c r="N51" s="15">
        <v>2.3199999999999998</v>
      </c>
      <c r="O51" s="16">
        <f t="shared" si="3"/>
        <v>3.4119999999999999</v>
      </c>
      <c r="P51" s="4">
        <f t="shared" ca="1" si="4"/>
        <v>217</v>
      </c>
      <c r="Q51" s="4">
        <f t="shared" ca="1" si="17"/>
        <v>143</v>
      </c>
      <c r="R51" s="16">
        <f t="shared" ca="1" si="5"/>
        <v>4.3152222222222223</v>
      </c>
      <c r="S51" s="5">
        <f t="shared" ca="1" si="6"/>
        <v>0.26471929138986594</v>
      </c>
      <c r="T51" s="18">
        <f t="shared" si="7"/>
        <v>5.4644808743169238E-2</v>
      </c>
      <c r="U51" s="18">
        <f t="shared" si="8"/>
        <v>-6.8702290076335881E-2</v>
      </c>
      <c r="V51" s="18">
        <f t="shared" si="9"/>
        <v>-4.3795620437956262E-2</v>
      </c>
      <c r="W51" s="18">
        <f t="shared" si="10"/>
        <v>-3.5211267605633645E-2</v>
      </c>
      <c r="X51" s="18">
        <f t="shared" si="11"/>
        <v>0.17032967032967017</v>
      </c>
      <c r="Y51" s="18">
        <f t="shared" si="12"/>
        <v>0.19736842105263164</v>
      </c>
      <c r="Z51" s="18">
        <f t="shared" si="13"/>
        <v>0.15151515151515138</v>
      </c>
      <c r="AA51" s="18">
        <f t="shared" si="14"/>
        <v>-7.5187969924812581E-3</v>
      </c>
      <c r="AB51" s="18">
        <f t="shared" si="15"/>
        <v>0.14655172413793127</v>
      </c>
      <c r="AC51" s="5">
        <f t="shared" si="16"/>
        <v>-6.8702290076335881E-2</v>
      </c>
    </row>
    <row r="52" spans="1:29" x14ac:dyDescent="0.25">
      <c r="A52" t="s">
        <v>98</v>
      </c>
      <c r="B52" t="s">
        <v>99</v>
      </c>
      <c r="C52" s="14">
        <v>3.87</v>
      </c>
      <c r="D52" s="14">
        <v>3.74</v>
      </c>
      <c r="E52" s="15">
        <v>4</v>
      </c>
      <c r="F52" s="41">
        <v>2.2400000000000002</v>
      </c>
      <c r="G52" s="41">
        <v>2.15</v>
      </c>
      <c r="H52" s="41">
        <v>2.2000000000000002</v>
      </c>
      <c r="I52" s="41">
        <v>2.4</v>
      </c>
      <c r="J52" s="15">
        <v>2.2599999999999998</v>
      </c>
      <c r="K52" s="15">
        <v>1.9</v>
      </c>
      <c r="L52" s="15">
        <v>2.15</v>
      </c>
      <c r="M52" s="15">
        <v>2.65</v>
      </c>
      <c r="N52" s="15">
        <v>2.79</v>
      </c>
      <c r="O52" s="16">
        <f t="shared" si="3"/>
        <v>2.4739999999999993</v>
      </c>
      <c r="P52" s="4">
        <f t="shared" ca="1" si="4"/>
        <v>217</v>
      </c>
      <c r="Q52" s="4">
        <f t="shared" ca="1" si="17"/>
        <v>143</v>
      </c>
      <c r="R52" s="16">
        <f t="shared" ca="1" si="5"/>
        <v>3.8183611111111118</v>
      </c>
      <c r="S52" s="5">
        <f t="shared" ca="1" si="6"/>
        <v>0.54339576035210713</v>
      </c>
      <c r="T52" s="18">
        <f t="shared" si="7"/>
        <v>0.78571428571428559</v>
      </c>
      <c r="U52" s="18">
        <f t="shared" si="8"/>
        <v>4.1860465116279277E-2</v>
      </c>
      <c r="V52" s="18">
        <f t="shared" si="9"/>
        <v>-2.2727272727272818E-2</v>
      </c>
      <c r="W52" s="18">
        <f t="shared" si="10"/>
        <v>-8.3333333333333259E-2</v>
      </c>
      <c r="X52" s="18">
        <f t="shared" si="11"/>
        <v>6.1946902654867353E-2</v>
      </c>
      <c r="Y52" s="18">
        <f t="shared" si="12"/>
        <v>0.18947368421052624</v>
      </c>
      <c r="Z52" s="18">
        <f t="shared" si="13"/>
        <v>-0.11627906976744184</v>
      </c>
      <c r="AA52" s="18">
        <f t="shared" si="14"/>
        <v>-0.18867924528301883</v>
      </c>
      <c r="AB52" s="18">
        <f t="shared" si="15"/>
        <v>-5.017921146953408E-2</v>
      </c>
      <c r="AC52" s="5">
        <f t="shared" si="16"/>
        <v>-0.18867924528301883</v>
      </c>
    </row>
    <row r="53" spans="1:29" x14ac:dyDescent="0.25">
      <c r="A53" t="s">
        <v>100</v>
      </c>
      <c r="B53" t="s">
        <v>101</v>
      </c>
      <c r="C53" s="14">
        <v>5.21</v>
      </c>
      <c r="D53" s="14">
        <v>4.88</v>
      </c>
      <c r="E53" s="15">
        <v>5.0199999999999996</v>
      </c>
      <c r="F53" s="15">
        <v>4.5199999999999996</v>
      </c>
      <c r="G53" s="15">
        <v>4.47</v>
      </c>
      <c r="H53" s="15">
        <v>3.7</v>
      </c>
      <c r="I53" s="15">
        <v>3.39</v>
      </c>
      <c r="J53" s="15">
        <v>3.13</v>
      </c>
      <c r="K53" s="15">
        <v>2.71</v>
      </c>
      <c r="L53" s="15">
        <v>2.68</v>
      </c>
      <c r="M53" s="15">
        <v>2.41</v>
      </c>
      <c r="N53" s="15">
        <v>2.0699999999999998</v>
      </c>
      <c r="O53" s="16">
        <f t="shared" si="3"/>
        <v>3.41</v>
      </c>
      <c r="P53" s="4">
        <f t="shared" ca="1" si="4"/>
        <v>217</v>
      </c>
      <c r="Q53" s="4">
        <f t="shared" ca="1" si="17"/>
        <v>143</v>
      </c>
      <c r="R53" s="16">
        <f t="shared" ca="1" si="5"/>
        <v>5.0789166666666663</v>
      </c>
      <c r="S53" s="5">
        <f t="shared" ca="1" si="6"/>
        <v>0.48941837732160298</v>
      </c>
      <c r="T53" s="18">
        <f t="shared" si="7"/>
        <v>0.11061946902654873</v>
      </c>
      <c r="U53" s="18">
        <f t="shared" si="8"/>
        <v>1.1185682326621871E-2</v>
      </c>
      <c r="V53" s="18">
        <f t="shared" si="9"/>
        <v>0.20810810810810798</v>
      </c>
      <c r="W53" s="18">
        <f t="shared" si="10"/>
        <v>9.1445427728613637E-2</v>
      </c>
      <c r="X53" s="18">
        <f t="shared" si="11"/>
        <v>8.3067092651757157E-2</v>
      </c>
      <c r="Y53" s="18">
        <f t="shared" si="12"/>
        <v>0.15498154981549805</v>
      </c>
      <c r="Z53" s="18">
        <f t="shared" si="13"/>
        <v>1.1194029850746245E-2</v>
      </c>
      <c r="AA53" s="18">
        <f t="shared" si="14"/>
        <v>0.11203319502074693</v>
      </c>
      <c r="AB53" s="18">
        <f t="shared" si="15"/>
        <v>0.16425120772946866</v>
      </c>
      <c r="AC53" s="5">
        <f t="shared" si="16"/>
        <v>1.1185682326621871E-2</v>
      </c>
    </row>
    <row r="54" spans="1:29" x14ac:dyDescent="0.25">
      <c r="A54" t="s">
        <v>102</v>
      </c>
      <c r="B54" t="s">
        <v>103</v>
      </c>
      <c r="C54" s="14">
        <v>5.84</v>
      </c>
      <c r="D54" s="14">
        <v>5.25</v>
      </c>
      <c r="E54" s="41">
        <v>4.91</v>
      </c>
      <c r="F54" s="15">
        <v>4.45</v>
      </c>
      <c r="G54" s="15">
        <v>3.63</v>
      </c>
      <c r="H54" s="15">
        <v>2.5</v>
      </c>
      <c r="I54" s="15">
        <v>2.9</v>
      </c>
      <c r="J54" s="15">
        <v>1.93</v>
      </c>
      <c r="K54" s="15"/>
      <c r="L54" s="15"/>
      <c r="M54" s="15"/>
      <c r="N54" s="15"/>
      <c r="O54" s="16">
        <f t="shared" si="3"/>
        <v>3.3866666666666663</v>
      </c>
      <c r="P54" s="4">
        <f t="shared" ca="1" si="4"/>
        <v>217</v>
      </c>
      <c r="Q54" s="4">
        <f t="shared" ca="1" si="17"/>
        <v>143</v>
      </c>
      <c r="R54" s="16">
        <f t="shared" ca="1" si="5"/>
        <v>5.6056388888888886</v>
      </c>
      <c r="S54" s="5">
        <f t="shared" ca="1" si="6"/>
        <v>0.65520833333333339</v>
      </c>
      <c r="T54" s="18">
        <f t="shared" si="7"/>
        <v>0.10337078651685383</v>
      </c>
      <c r="U54" s="18">
        <f t="shared" si="8"/>
        <v>0.22589531680440778</v>
      </c>
      <c r="V54" s="18">
        <f t="shared" si="9"/>
        <v>0.45199999999999996</v>
      </c>
      <c r="W54" s="18">
        <f t="shared" si="10"/>
        <v>-0.13793103448275856</v>
      </c>
      <c r="X54" s="18">
        <f t="shared" si="11"/>
        <v>0.50259067357512954</v>
      </c>
      <c r="Y54" s="18">
        <f t="shared" si="12"/>
        <v>99.999989999999997</v>
      </c>
      <c r="Z54" s="18">
        <f t="shared" si="13"/>
        <v>99.999989999999997</v>
      </c>
      <c r="AA54" s="18">
        <f t="shared" si="14"/>
        <v>99.999989999999997</v>
      </c>
      <c r="AB54" s="18">
        <f t="shared" si="15"/>
        <v>99.999989999999997</v>
      </c>
      <c r="AC54" s="5">
        <f t="shared" si="16"/>
        <v>-0.13793103448275856</v>
      </c>
    </row>
    <row r="55" spans="1:29" x14ac:dyDescent="0.25">
      <c r="A55" t="s">
        <v>104</v>
      </c>
      <c r="B55" t="s">
        <v>105</v>
      </c>
      <c r="C55" s="14">
        <v>1669</v>
      </c>
      <c r="D55" s="14">
        <v>1453</v>
      </c>
      <c r="E55" s="15">
        <v>1314</v>
      </c>
      <c r="F55" s="15">
        <v>1187</v>
      </c>
      <c r="G55" s="15">
        <v>1078</v>
      </c>
      <c r="H55" s="15">
        <v>1055</v>
      </c>
      <c r="I55" s="15">
        <v>850.9</v>
      </c>
      <c r="J55" s="15">
        <v>1140</v>
      </c>
      <c r="K55" s="15">
        <v>1091</v>
      </c>
      <c r="L55" s="15">
        <v>921.2</v>
      </c>
      <c r="M55" s="15">
        <v>768.2</v>
      </c>
      <c r="N55" s="15">
        <v>693</v>
      </c>
      <c r="O55" s="16">
        <f t="shared" si="3"/>
        <v>1009.8300000000002</v>
      </c>
      <c r="P55" s="4">
        <f t="shared" ca="1" si="4"/>
        <v>217</v>
      </c>
      <c r="Q55" s="4">
        <f t="shared" ca="1" si="17"/>
        <v>143</v>
      </c>
      <c r="R55" s="16">
        <f t="shared" ca="1" si="5"/>
        <v>1583.2</v>
      </c>
      <c r="S55" s="5">
        <f t="shared" ca="1" si="6"/>
        <v>0.56778863769149246</v>
      </c>
      <c r="T55" s="18">
        <f t="shared" si="7"/>
        <v>0.10699241786015157</v>
      </c>
      <c r="U55" s="18">
        <f t="shared" si="8"/>
        <v>0.10111317254174401</v>
      </c>
      <c r="V55" s="18">
        <f t="shared" si="9"/>
        <v>2.180094786729847E-2</v>
      </c>
      <c r="W55" s="18">
        <f t="shared" si="10"/>
        <v>0.23986367375719819</v>
      </c>
      <c r="X55" s="18">
        <f t="shared" si="11"/>
        <v>-0.25359649122807015</v>
      </c>
      <c r="Y55" s="18">
        <f t="shared" si="12"/>
        <v>4.4912923923006387E-2</v>
      </c>
      <c r="Z55" s="18">
        <f t="shared" si="13"/>
        <v>0.18432479374728605</v>
      </c>
      <c r="AA55" s="18">
        <f t="shared" si="14"/>
        <v>0.19916688362405632</v>
      </c>
      <c r="AB55" s="18">
        <f t="shared" si="15"/>
        <v>0.10851370851370867</v>
      </c>
      <c r="AC55" s="5">
        <f t="shared" si="16"/>
        <v>-0.25359649122807015</v>
      </c>
    </row>
    <row r="56" spans="1:29" x14ac:dyDescent="0.25">
      <c r="A56" t="s">
        <v>106</v>
      </c>
      <c r="B56" t="s">
        <v>107</v>
      </c>
      <c r="C56" s="14">
        <v>22.6</v>
      </c>
      <c r="D56" s="14">
        <v>19.3</v>
      </c>
      <c r="E56" s="15">
        <v>17.78</v>
      </c>
      <c r="F56" s="15">
        <v>20.32</v>
      </c>
      <c r="G56" s="15">
        <v>17.309999999999999</v>
      </c>
      <c r="H56" s="15">
        <v>14.99</v>
      </c>
      <c r="I56" s="15">
        <v>14.62</v>
      </c>
      <c r="J56" s="15">
        <v>14.63</v>
      </c>
      <c r="K56" s="15">
        <v>11.42</v>
      </c>
      <c r="L56" s="15">
        <v>6.35</v>
      </c>
      <c r="M56" s="15">
        <v>6.13</v>
      </c>
      <c r="N56" s="15">
        <v>4.34</v>
      </c>
      <c r="O56" s="16">
        <f t="shared" si="3"/>
        <v>12.788999999999998</v>
      </c>
      <c r="P56" s="4">
        <f t="shared" ca="1" si="4"/>
        <v>217</v>
      </c>
      <c r="Q56" s="4">
        <f t="shared" ca="1" si="17"/>
        <v>143</v>
      </c>
      <c r="R56" s="16">
        <f t="shared" ca="1" si="5"/>
        <v>21.289166666666667</v>
      </c>
      <c r="S56" s="5">
        <f t="shared" ca="1" si="6"/>
        <v>0.6646467015925146</v>
      </c>
      <c r="T56" s="18">
        <f t="shared" si="7"/>
        <v>-0.125</v>
      </c>
      <c r="U56" s="18">
        <f t="shared" si="8"/>
        <v>0.17388792605430403</v>
      </c>
      <c r="V56" s="18">
        <f t="shared" si="9"/>
        <v>0.15476984656437609</v>
      </c>
      <c r="W56" s="18">
        <f t="shared" si="10"/>
        <v>2.5307797537619692E-2</v>
      </c>
      <c r="X56" s="18">
        <f t="shared" si="11"/>
        <v>-6.8352699931661931E-4</v>
      </c>
      <c r="Y56" s="18">
        <f t="shared" si="12"/>
        <v>0.28108581436077062</v>
      </c>
      <c r="Z56" s="18">
        <f t="shared" si="13"/>
        <v>0.7984251968503937</v>
      </c>
      <c r="AA56" s="18">
        <f t="shared" si="14"/>
        <v>3.5889070146818858E-2</v>
      </c>
      <c r="AB56" s="18">
        <f t="shared" si="15"/>
        <v>0.4124423963133641</v>
      </c>
      <c r="AC56" s="5">
        <f t="shared" si="16"/>
        <v>-0.125</v>
      </c>
    </row>
    <row r="57" spans="1:29" x14ac:dyDescent="0.25">
      <c r="A57" t="s">
        <v>108</v>
      </c>
      <c r="B57" t="s">
        <v>109</v>
      </c>
      <c r="C57" s="14">
        <v>4.53</v>
      </c>
      <c r="D57" s="14">
        <v>4.1500000000000004</v>
      </c>
      <c r="E57" s="15">
        <v>3.67</v>
      </c>
      <c r="F57" s="15">
        <v>3.49</v>
      </c>
      <c r="G57" s="15">
        <v>2.89</v>
      </c>
      <c r="H57" s="15">
        <v>2.58</v>
      </c>
      <c r="I57" s="15">
        <v>1.4</v>
      </c>
      <c r="J57" s="15">
        <v>2.83</v>
      </c>
      <c r="K57" s="15">
        <v>2.14</v>
      </c>
      <c r="L57" s="15">
        <v>1.99</v>
      </c>
      <c r="M57" s="15">
        <v>1.77</v>
      </c>
      <c r="N57" s="41">
        <v>1.6</v>
      </c>
      <c r="O57" s="16">
        <f t="shared" si="3"/>
        <v>2.4359999999999999</v>
      </c>
      <c r="P57" s="4">
        <f t="shared" ca="1" si="4"/>
        <v>217</v>
      </c>
      <c r="Q57" s="4">
        <f t="shared" ca="1" si="17"/>
        <v>143</v>
      </c>
      <c r="R57" s="16">
        <f t="shared" ca="1" si="5"/>
        <v>4.3790555555555564</v>
      </c>
      <c r="S57" s="5">
        <f t="shared" ca="1" si="6"/>
        <v>0.79764185367633678</v>
      </c>
      <c r="T57" s="18">
        <f t="shared" si="7"/>
        <v>5.1575931232091587E-2</v>
      </c>
      <c r="U57" s="18">
        <f t="shared" si="8"/>
        <v>0.20761245674740492</v>
      </c>
      <c r="V57" s="18">
        <f t="shared" si="9"/>
        <v>0.12015503875968991</v>
      </c>
      <c r="W57" s="18">
        <f t="shared" si="10"/>
        <v>0.84285714285714297</v>
      </c>
      <c r="X57" s="18">
        <f t="shared" si="11"/>
        <v>-0.5053003533568905</v>
      </c>
      <c r="Y57" s="18">
        <f t="shared" si="12"/>
        <v>0.32242990654205594</v>
      </c>
      <c r="Z57" s="18">
        <f t="shared" si="13"/>
        <v>7.5376884422110546E-2</v>
      </c>
      <c r="AA57" s="18">
        <f t="shared" si="14"/>
        <v>0.12429378531073443</v>
      </c>
      <c r="AB57" s="18">
        <f t="shared" si="15"/>
        <v>0.10624999999999996</v>
      </c>
      <c r="AC57" s="5">
        <f t="shared" si="16"/>
        <v>-0.5053003533568905</v>
      </c>
    </row>
    <row r="58" spans="1:29" x14ac:dyDescent="0.25">
      <c r="A58" t="s">
        <v>110</v>
      </c>
      <c r="B58" t="s">
        <v>111</v>
      </c>
      <c r="C58" s="14">
        <v>5.91</v>
      </c>
      <c r="D58" s="14">
        <v>6.64</v>
      </c>
      <c r="E58" s="15">
        <v>5.13</v>
      </c>
      <c r="F58" s="15">
        <v>4.91</v>
      </c>
      <c r="G58" s="15">
        <v>4.32</v>
      </c>
      <c r="H58" s="15">
        <v>4.01</v>
      </c>
      <c r="I58" s="15">
        <v>3.42</v>
      </c>
      <c r="J58" s="15">
        <v>3.49</v>
      </c>
      <c r="K58" s="15">
        <v>3.36</v>
      </c>
      <c r="L58" s="15">
        <v>2.98</v>
      </c>
      <c r="M58" s="15">
        <v>2.6</v>
      </c>
      <c r="N58" s="15">
        <v>2.46</v>
      </c>
      <c r="O58" s="16">
        <f t="shared" si="3"/>
        <v>3.6680000000000001</v>
      </c>
      <c r="P58" s="4">
        <f t="shared" ca="1" si="4"/>
        <v>217</v>
      </c>
      <c r="Q58" s="4">
        <f t="shared" ca="1" si="17"/>
        <v>143</v>
      </c>
      <c r="R58" s="16">
        <f t="shared" ca="1" si="5"/>
        <v>6.1999722222222218</v>
      </c>
      <c r="S58" s="5">
        <f t="shared" ca="1" si="6"/>
        <v>0.69028686538228512</v>
      </c>
      <c r="T58" s="18">
        <f t="shared" si="7"/>
        <v>4.4806517311609007E-2</v>
      </c>
      <c r="U58" s="18">
        <f t="shared" si="8"/>
        <v>0.13657407407407396</v>
      </c>
      <c r="V58" s="18">
        <f t="shared" si="9"/>
        <v>7.7306733167082475E-2</v>
      </c>
      <c r="W58" s="18">
        <f t="shared" si="10"/>
        <v>0.17251461988304095</v>
      </c>
      <c r="X58" s="18">
        <f t="shared" si="11"/>
        <v>-2.0057306590257951E-2</v>
      </c>
      <c r="Y58" s="18">
        <f t="shared" si="12"/>
        <v>3.8690476190476275E-2</v>
      </c>
      <c r="Z58" s="18">
        <f t="shared" si="13"/>
        <v>0.12751677852348986</v>
      </c>
      <c r="AA58" s="18">
        <f t="shared" si="14"/>
        <v>0.14615384615384608</v>
      </c>
      <c r="AB58" s="18">
        <f t="shared" si="15"/>
        <v>5.6910569105691033E-2</v>
      </c>
      <c r="AC58" s="5">
        <f t="shared" si="16"/>
        <v>-2.0057306590257951E-2</v>
      </c>
    </row>
    <row r="59" spans="1:29" x14ac:dyDescent="0.25">
      <c r="A59" t="s">
        <v>112</v>
      </c>
      <c r="B59" t="s">
        <v>113</v>
      </c>
      <c r="C59" s="14">
        <v>4.45</v>
      </c>
      <c r="D59" s="14">
        <v>3.8</v>
      </c>
      <c r="E59" s="15">
        <v>2.78</v>
      </c>
      <c r="F59" s="15">
        <v>3.74</v>
      </c>
      <c r="G59" s="15">
        <v>4.29</v>
      </c>
      <c r="H59" s="15">
        <v>4.18</v>
      </c>
      <c r="I59" s="15">
        <v>4.03</v>
      </c>
      <c r="J59" s="15">
        <v>2.94</v>
      </c>
      <c r="K59" s="15">
        <v>3.89</v>
      </c>
      <c r="L59" s="15">
        <v>2.95</v>
      </c>
      <c r="M59" s="15">
        <v>1.68</v>
      </c>
      <c r="N59" s="15">
        <v>-3.91</v>
      </c>
      <c r="O59" s="16">
        <f t="shared" si="3"/>
        <v>2.657</v>
      </c>
      <c r="P59" s="4">
        <f t="shared" ca="1" si="4"/>
        <v>217</v>
      </c>
      <c r="Q59" s="4">
        <f t="shared" ca="1" si="17"/>
        <v>143</v>
      </c>
      <c r="R59" s="16">
        <f t="shared" ca="1" si="5"/>
        <v>4.1918055555555558</v>
      </c>
      <c r="S59" s="5">
        <f t="shared" ca="1" si="6"/>
        <v>0.57764605026554605</v>
      </c>
      <c r="T59" s="18">
        <f t="shared" si="7"/>
        <v>-0.25668449197860976</v>
      </c>
      <c r="U59" s="18">
        <f t="shared" si="8"/>
        <v>-0.12820512820512819</v>
      </c>
      <c r="V59" s="18">
        <f t="shared" si="9"/>
        <v>2.6315789473684292E-2</v>
      </c>
      <c r="W59" s="18">
        <f t="shared" si="10"/>
        <v>3.7220843672456372E-2</v>
      </c>
      <c r="X59" s="18">
        <f t="shared" si="11"/>
        <v>0.37074829931972797</v>
      </c>
      <c r="Y59" s="18">
        <f t="shared" si="12"/>
        <v>-0.24421593830334198</v>
      </c>
      <c r="Z59" s="18">
        <f t="shared" si="13"/>
        <v>0.31864406779661003</v>
      </c>
      <c r="AA59" s="18">
        <f t="shared" si="14"/>
        <v>0.75595238095238115</v>
      </c>
      <c r="AB59" s="18">
        <f t="shared" si="15"/>
        <v>-1.4296675191815855</v>
      </c>
      <c r="AC59" s="5">
        <f t="shared" si="16"/>
        <v>-1.4296675191815855</v>
      </c>
    </row>
    <row r="60" spans="1:29" x14ac:dyDescent="0.25">
      <c r="A60" t="s">
        <v>114</v>
      </c>
      <c r="B60" t="s">
        <v>115</v>
      </c>
      <c r="C60" s="14">
        <v>1.05</v>
      </c>
      <c r="D60" s="14">
        <v>0.98299999999999998</v>
      </c>
      <c r="E60" s="15">
        <v>0.99</v>
      </c>
      <c r="F60" s="15">
        <v>0.77</v>
      </c>
      <c r="G60" s="15">
        <v>0.76</v>
      </c>
      <c r="H60" s="15">
        <v>0.66</v>
      </c>
      <c r="I60" s="15">
        <v>0.65</v>
      </c>
      <c r="J60" s="15">
        <v>0.59</v>
      </c>
      <c r="K60" s="15">
        <v>0.55000000000000004</v>
      </c>
      <c r="L60" s="15">
        <v>0.67</v>
      </c>
      <c r="M60" s="15">
        <v>0.46</v>
      </c>
      <c r="N60" s="15">
        <v>0.46</v>
      </c>
      <c r="O60" s="16">
        <f t="shared" si="3"/>
        <v>0.65599999999999992</v>
      </c>
      <c r="P60" s="4">
        <f t="shared" ca="1" si="4"/>
        <v>217</v>
      </c>
      <c r="Q60" s="4">
        <f t="shared" ca="1" si="17"/>
        <v>143</v>
      </c>
      <c r="R60" s="16">
        <f t="shared" ca="1" si="5"/>
        <v>1.0233861111111111</v>
      </c>
      <c r="S60" s="5">
        <f t="shared" ca="1" si="6"/>
        <v>0.5600398035230354</v>
      </c>
      <c r="T60" s="18">
        <f t="shared" si="7"/>
        <v>0.28571428571428559</v>
      </c>
      <c r="U60" s="18">
        <f t="shared" si="8"/>
        <v>1.3157894736842035E-2</v>
      </c>
      <c r="V60" s="18">
        <f t="shared" si="9"/>
        <v>0.15151515151515138</v>
      </c>
      <c r="W60" s="18">
        <f t="shared" si="10"/>
        <v>1.538461538461533E-2</v>
      </c>
      <c r="X60" s="18">
        <f t="shared" si="11"/>
        <v>0.10169491525423746</v>
      </c>
      <c r="Y60" s="18">
        <f t="shared" si="12"/>
        <v>7.2727272727272529E-2</v>
      </c>
      <c r="Z60" s="18">
        <f t="shared" si="13"/>
        <v>-0.17910447761194026</v>
      </c>
      <c r="AA60" s="18">
        <f t="shared" si="14"/>
        <v>0.45652173913043481</v>
      </c>
      <c r="AB60" s="18">
        <f t="shared" si="15"/>
        <v>0</v>
      </c>
      <c r="AC60" s="5">
        <f t="shared" si="16"/>
        <v>-0.17910447761194026</v>
      </c>
    </row>
    <row r="61" spans="1:29" x14ac:dyDescent="0.25">
      <c r="A61" t="s">
        <v>116</v>
      </c>
      <c r="B61" t="s">
        <v>117</v>
      </c>
      <c r="C61" s="14">
        <v>2.39</v>
      </c>
      <c r="D61" s="14">
        <v>2.09</v>
      </c>
      <c r="E61" s="15">
        <v>2.04</v>
      </c>
      <c r="F61" s="15">
        <v>2.64</v>
      </c>
      <c r="G61" s="15">
        <v>1.52</v>
      </c>
      <c r="H61" s="15">
        <v>1.22</v>
      </c>
      <c r="I61" s="15">
        <v>1.25</v>
      </c>
      <c r="J61" s="15">
        <v>1.34</v>
      </c>
      <c r="K61" s="15">
        <v>1.1000000000000001</v>
      </c>
      <c r="L61" s="15"/>
      <c r="M61" s="15"/>
      <c r="N61" s="15"/>
      <c r="O61" s="16">
        <f t="shared" si="3"/>
        <v>1.5871428571428567</v>
      </c>
      <c r="P61" s="4">
        <f t="shared" ca="1" si="4"/>
        <v>217</v>
      </c>
      <c r="Q61" s="4">
        <f t="shared" ca="1" si="17"/>
        <v>143</v>
      </c>
      <c r="R61" s="16">
        <f t="shared" ca="1" si="5"/>
        <v>2.2708333333333335</v>
      </c>
      <c r="S61" s="5">
        <f t="shared" ca="1" si="6"/>
        <v>0.43076807680768114</v>
      </c>
      <c r="T61" s="18">
        <f t="shared" si="7"/>
        <v>-0.22727272727272729</v>
      </c>
      <c r="U61" s="18">
        <f t="shared" si="8"/>
        <v>0.73684210526315796</v>
      </c>
      <c r="V61" s="18">
        <f t="shared" si="9"/>
        <v>0.24590163934426235</v>
      </c>
      <c r="W61" s="18">
        <f t="shared" si="10"/>
        <v>-2.4000000000000021E-2</v>
      </c>
      <c r="X61" s="18">
        <f t="shared" si="11"/>
        <v>-6.7164179104477695E-2</v>
      </c>
      <c r="Y61" s="18">
        <f t="shared" si="12"/>
        <v>0.21818181818181825</v>
      </c>
      <c r="Z61" s="18">
        <f t="shared" si="13"/>
        <v>99.999989999999997</v>
      </c>
      <c r="AA61" s="18">
        <f t="shared" si="14"/>
        <v>99.999989999999997</v>
      </c>
      <c r="AB61" s="18">
        <f t="shared" si="15"/>
        <v>99.999989999999997</v>
      </c>
      <c r="AC61" s="5">
        <f t="shared" si="16"/>
        <v>-0.22727272727272729</v>
      </c>
    </row>
    <row r="62" spans="1:29" x14ac:dyDescent="0.25">
      <c r="A62" t="s">
        <v>118</v>
      </c>
      <c r="B62" t="s">
        <v>119</v>
      </c>
      <c r="C62" s="14">
        <v>0.96</v>
      </c>
      <c r="D62" s="14">
        <v>0.86299999999999999</v>
      </c>
      <c r="E62" s="15">
        <v>1.1100000000000001</v>
      </c>
      <c r="F62" s="15">
        <v>0.92</v>
      </c>
      <c r="G62" s="15">
        <v>1.03</v>
      </c>
      <c r="H62" s="15">
        <v>0.32</v>
      </c>
      <c r="I62" s="15">
        <v>1.08</v>
      </c>
      <c r="J62" s="15">
        <v>0.88</v>
      </c>
      <c r="K62" s="15">
        <v>0.94</v>
      </c>
      <c r="L62" s="15">
        <v>0.95</v>
      </c>
      <c r="M62" s="15">
        <v>0.82</v>
      </c>
      <c r="N62" s="15">
        <v>0.75</v>
      </c>
      <c r="O62" s="16">
        <f t="shared" si="3"/>
        <v>0.88000000000000012</v>
      </c>
      <c r="P62" s="4">
        <f t="shared" ca="1" si="4"/>
        <v>217</v>
      </c>
      <c r="Q62" s="4">
        <f t="shared" ca="1" si="17"/>
        <v>143</v>
      </c>
      <c r="R62" s="16">
        <f t="shared" ca="1" si="5"/>
        <v>0.92146944444444445</v>
      </c>
      <c r="S62" s="5">
        <f t="shared" ca="1" si="6"/>
        <v>4.7124368686868534E-2</v>
      </c>
      <c r="T62" s="18">
        <f t="shared" si="7"/>
        <v>0.20652173913043481</v>
      </c>
      <c r="U62" s="18">
        <f t="shared" si="8"/>
        <v>-0.10679611650485432</v>
      </c>
      <c r="V62" s="18">
        <f t="shared" si="9"/>
        <v>2.21875</v>
      </c>
      <c r="W62" s="18">
        <f t="shared" si="10"/>
        <v>-0.70370370370370372</v>
      </c>
      <c r="X62" s="18">
        <f t="shared" si="11"/>
        <v>0.22727272727272729</v>
      </c>
      <c r="Y62" s="18">
        <f t="shared" si="12"/>
        <v>-6.3829787234042534E-2</v>
      </c>
      <c r="Z62" s="18">
        <f t="shared" si="13"/>
        <v>-1.0526315789473717E-2</v>
      </c>
      <c r="AA62" s="18">
        <f t="shared" si="14"/>
        <v>0.15853658536585358</v>
      </c>
      <c r="AB62" s="18">
        <f t="shared" si="15"/>
        <v>9.3333333333333268E-2</v>
      </c>
      <c r="AC62" s="5">
        <f t="shared" si="16"/>
        <v>-0.70370370370370372</v>
      </c>
    </row>
    <row r="63" spans="1:29" x14ac:dyDescent="0.25">
      <c r="A63" t="s">
        <v>120</v>
      </c>
      <c r="B63" t="s">
        <v>121</v>
      </c>
      <c r="C63" s="14">
        <v>2.71</v>
      </c>
      <c r="D63" s="14">
        <v>2.57</v>
      </c>
      <c r="E63" s="15">
        <v>2.39</v>
      </c>
      <c r="F63" s="15">
        <v>2.5</v>
      </c>
      <c r="G63" s="15">
        <v>2.37</v>
      </c>
      <c r="H63" s="15">
        <v>2.14</v>
      </c>
      <c r="I63" s="15">
        <v>1.95</v>
      </c>
      <c r="J63" s="15">
        <v>1.55</v>
      </c>
      <c r="K63" s="15">
        <v>1.28</v>
      </c>
      <c r="L63" s="15"/>
      <c r="M63" s="15"/>
      <c r="N63" s="15"/>
      <c r="O63" s="16">
        <f t="shared" si="3"/>
        <v>2.0257142857142858</v>
      </c>
      <c r="P63" s="4">
        <f t="shared" ca="1" si="4"/>
        <v>217</v>
      </c>
      <c r="Q63" s="4">
        <f t="shared" ca="1" si="17"/>
        <v>143</v>
      </c>
      <c r="R63" s="16">
        <f t="shared" ca="1" si="5"/>
        <v>2.6543888888888887</v>
      </c>
      <c r="S63" s="5">
        <f t="shared" ca="1" si="6"/>
        <v>0.31034712427519184</v>
      </c>
      <c r="T63" s="18">
        <f t="shared" si="7"/>
        <v>-4.3999999999999928E-2</v>
      </c>
      <c r="U63" s="18">
        <f t="shared" si="8"/>
        <v>5.4852320675105481E-2</v>
      </c>
      <c r="V63" s="18">
        <f t="shared" si="9"/>
        <v>0.10747663551401865</v>
      </c>
      <c r="W63" s="18">
        <f t="shared" si="10"/>
        <v>9.7435897435897534E-2</v>
      </c>
      <c r="X63" s="18">
        <f t="shared" si="11"/>
        <v>0.25806451612903225</v>
      </c>
      <c r="Y63" s="18">
        <f t="shared" si="12"/>
        <v>0.2109375</v>
      </c>
      <c r="Z63" s="18">
        <f t="shared" si="13"/>
        <v>99.999989999999997</v>
      </c>
      <c r="AA63" s="18">
        <f t="shared" si="14"/>
        <v>99.999989999999997</v>
      </c>
      <c r="AB63" s="18">
        <f t="shared" si="15"/>
        <v>99.999989999999997</v>
      </c>
      <c r="AC63" s="5">
        <f t="shared" si="16"/>
        <v>-4.3999999999999928E-2</v>
      </c>
    </row>
    <row r="64" spans="1:29" x14ac:dyDescent="0.25">
      <c r="A64" t="s">
        <v>122</v>
      </c>
      <c r="B64" t="s">
        <v>123</v>
      </c>
      <c r="C64" s="14">
        <v>2.73</v>
      </c>
      <c r="D64" s="14">
        <v>2.56</v>
      </c>
      <c r="E64" s="15">
        <v>2.2599999999999998</v>
      </c>
      <c r="F64" s="15">
        <v>2.06</v>
      </c>
      <c r="G64" s="15">
        <v>1.64</v>
      </c>
      <c r="H64" s="15">
        <v>1.87</v>
      </c>
      <c r="I64" s="15">
        <v>1.54</v>
      </c>
      <c r="J64" s="41">
        <v>1.48</v>
      </c>
      <c r="K64" s="41">
        <v>1.48</v>
      </c>
      <c r="L64" s="41">
        <v>1.51</v>
      </c>
      <c r="M64" s="41">
        <v>1.22</v>
      </c>
      <c r="N64" s="41">
        <v>1.25</v>
      </c>
      <c r="O64" s="16">
        <f t="shared" si="3"/>
        <v>1.6310000000000002</v>
      </c>
      <c r="P64" s="4">
        <f t="shared" ca="1" si="4"/>
        <v>217</v>
      </c>
      <c r="Q64" s="4">
        <f t="shared" ca="1" si="17"/>
        <v>143</v>
      </c>
      <c r="R64" s="16">
        <f t="shared" ca="1" si="5"/>
        <v>2.6624722222222221</v>
      </c>
      <c r="S64" s="5">
        <f t="shared" ca="1" si="6"/>
        <v>0.63241705838272333</v>
      </c>
      <c r="T64" s="18">
        <f t="shared" si="7"/>
        <v>9.7087378640776656E-2</v>
      </c>
      <c r="U64" s="18">
        <f t="shared" si="8"/>
        <v>0.25609756097560976</v>
      </c>
      <c r="V64" s="18">
        <f t="shared" si="9"/>
        <v>-0.12299465240641716</v>
      </c>
      <c r="W64" s="18">
        <f t="shared" si="10"/>
        <v>0.21428571428571441</v>
      </c>
      <c r="X64" s="18">
        <f t="shared" si="11"/>
        <v>4.0540540540540571E-2</v>
      </c>
      <c r="Y64" s="18">
        <f t="shared" si="12"/>
        <v>0</v>
      </c>
      <c r="Z64" s="18">
        <f t="shared" si="13"/>
        <v>-1.9867549668874163E-2</v>
      </c>
      <c r="AA64" s="18">
        <f t="shared" si="14"/>
        <v>0.23770491803278682</v>
      </c>
      <c r="AB64" s="18">
        <f t="shared" si="15"/>
        <v>-2.4000000000000021E-2</v>
      </c>
      <c r="AC64" s="5">
        <f t="shared" si="16"/>
        <v>-0.12299465240641716</v>
      </c>
    </row>
    <row r="65" spans="1:29" x14ac:dyDescent="0.25">
      <c r="A65" t="s">
        <v>124</v>
      </c>
      <c r="B65" t="s">
        <v>125</v>
      </c>
      <c r="C65" s="14">
        <v>5.17</v>
      </c>
      <c r="D65" s="14">
        <v>4.6399999999999997</v>
      </c>
      <c r="E65" s="15">
        <v>6.13</v>
      </c>
      <c r="F65" s="15">
        <v>2.04</v>
      </c>
      <c r="G65" s="15">
        <v>9.44</v>
      </c>
      <c r="H65" s="15">
        <v>11.6</v>
      </c>
      <c r="I65" s="15">
        <v>-90.48</v>
      </c>
      <c r="J65" s="15">
        <v>-756.8</v>
      </c>
      <c r="K65" s="15">
        <v>47.8</v>
      </c>
      <c r="L65" s="15">
        <v>107.2</v>
      </c>
      <c r="M65" s="15">
        <v>79.8</v>
      </c>
      <c r="N65" s="15">
        <v>73.8</v>
      </c>
      <c r="O65" s="16">
        <f t="shared" si="3"/>
        <v>-50.946999999999996</v>
      </c>
      <c r="P65" s="4">
        <f t="shared" ca="1" si="4"/>
        <v>217</v>
      </c>
      <c r="Q65" s="4">
        <f t="shared" ca="1" si="17"/>
        <v>143</v>
      </c>
      <c r="R65" s="16">
        <f t="shared" ca="1" si="5"/>
        <v>4.9594722222222218</v>
      </c>
      <c r="S65" s="5">
        <f t="shared" ca="1" si="6"/>
        <v>-1.0973457165725602</v>
      </c>
      <c r="T65" s="18">
        <f t="shared" si="7"/>
        <v>2.0049019607843137</v>
      </c>
      <c r="U65" s="18">
        <f t="shared" si="8"/>
        <v>-0.78389830508474578</v>
      </c>
      <c r="V65" s="18">
        <f t="shared" si="9"/>
        <v>-0.18620689655172418</v>
      </c>
      <c r="W65" s="18">
        <f t="shared" si="10"/>
        <v>-1.1282051282051282</v>
      </c>
      <c r="X65" s="18">
        <f t="shared" si="11"/>
        <v>-0.88044397463002111</v>
      </c>
      <c r="Y65" s="18">
        <f t="shared" si="12"/>
        <v>-16.8326359832636</v>
      </c>
      <c r="Z65" s="18">
        <f t="shared" si="13"/>
        <v>-0.55410447761194037</v>
      </c>
      <c r="AA65" s="18">
        <f t="shared" si="14"/>
        <v>0.34335839598997508</v>
      </c>
      <c r="AB65" s="18">
        <f t="shared" si="15"/>
        <v>8.1300813008130079E-2</v>
      </c>
      <c r="AC65" s="5">
        <f t="shared" si="16"/>
        <v>-16.8326359832636</v>
      </c>
    </row>
    <row r="66" spans="1:29" x14ac:dyDescent="0.25">
      <c r="A66" t="s">
        <v>126</v>
      </c>
      <c r="B66" t="s">
        <v>127</v>
      </c>
      <c r="C66" s="14">
        <v>21.2</v>
      </c>
      <c r="D66" s="14">
        <v>18.8</v>
      </c>
      <c r="E66" s="15">
        <v>16.87</v>
      </c>
      <c r="F66" s="15">
        <v>13.79</v>
      </c>
      <c r="G66" s="15">
        <v>12.37</v>
      </c>
      <c r="H66" s="15">
        <v>10.55</v>
      </c>
      <c r="I66" s="15">
        <v>6.11</v>
      </c>
      <c r="J66" s="15">
        <v>5.78</v>
      </c>
      <c r="K66" s="15"/>
      <c r="L66" s="15"/>
      <c r="M66" s="15"/>
      <c r="N66" s="15"/>
      <c r="O66" s="16">
        <f t="shared" si="3"/>
        <v>10.911666666666667</v>
      </c>
      <c r="P66" s="4">
        <f t="shared" ca="1" si="4"/>
        <v>217</v>
      </c>
      <c r="Q66" s="4">
        <f t="shared" ca="1" si="17"/>
        <v>143</v>
      </c>
      <c r="R66" s="16">
        <f t="shared" ca="1" si="5"/>
        <v>20.246666666666666</v>
      </c>
      <c r="S66" s="5">
        <f t="shared" ca="1" si="6"/>
        <v>0.85550633878112103</v>
      </c>
      <c r="T66" s="18">
        <f t="shared" si="7"/>
        <v>0.22335025380710682</v>
      </c>
      <c r="U66" s="18">
        <f t="shared" si="8"/>
        <v>0.11479385610347626</v>
      </c>
      <c r="V66" s="18">
        <f t="shared" si="9"/>
        <v>0.17251184834123201</v>
      </c>
      <c r="W66" s="18">
        <f t="shared" si="10"/>
        <v>0.72667757774140762</v>
      </c>
      <c r="X66" s="18">
        <f t="shared" si="11"/>
        <v>5.709342560553643E-2</v>
      </c>
      <c r="Y66" s="18">
        <f t="shared" si="12"/>
        <v>99.999989999999997</v>
      </c>
      <c r="Z66" s="18">
        <f t="shared" si="13"/>
        <v>99.999989999999997</v>
      </c>
      <c r="AA66" s="18">
        <f t="shared" si="14"/>
        <v>99.999989999999997</v>
      </c>
      <c r="AB66" s="18">
        <f t="shared" si="15"/>
        <v>99.999989999999997</v>
      </c>
      <c r="AC66" s="5">
        <f t="shared" si="16"/>
        <v>5.709342560553643E-2</v>
      </c>
    </row>
    <row r="67" spans="1:29" x14ac:dyDescent="0.25">
      <c r="A67" t="s">
        <v>128</v>
      </c>
      <c r="B67" t="s">
        <v>129</v>
      </c>
      <c r="C67" s="14">
        <v>3.01</v>
      </c>
      <c r="D67" s="14">
        <v>2.83</v>
      </c>
      <c r="E67" s="15">
        <v>2.79</v>
      </c>
      <c r="F67" s="15">
        <v>2.35</v>
      </c>
      <c r="G67" s="15">
        <v>2.7</v>
      </c>
      <c r="H67" s="15">
        <v>2.2400000000000002</v>
      </c>
      <c r="I67" s="15">
        <v>1.9</v>
      </c>
      <c r="J67" s="15">
        <v>1.86</v>
      </c>
      <c r="K67" s="15">
        <v>1.59</v>
      </c>
      <c r="L67" s="15">
        <v>1.45</v>
      </c>
      <c r="M67" s="15">
        <v>1.54</v>
      </c>
      <c r="N67" s="15">
        <v>1.38</v>
      </c>
      <c r="O67" s="16">
        <f t="shared" si="3"/>
        <v>1.98</v>
      </c>
      <c r="P67" s="4">
        <f t="shared" ca="1" si="4"/>
        <v>217</v>
      </c>
      <c r="Q67" s="4">
        <f t="shared" ca="1" si="17"/>
        <v>143</v>
      </c>
      <c r="R67" s="16">
        <f t="shared" ca="1" si="5"/>
        <v>2.9385000000000003</v>
      </c>
      <c r="S67" s="5">
        <f t="shared" ca="1" si="6"/>
        <v>0.48409090909090935</v>
      </c>
      <c r="T67" s="18">
        <f t="shared" si="7"/>
        <v>0.18723404255319154</v>
      </c>
      <c r="U67" s="18">
        <f t="shared" si="8"/>
        <v>-0.12962962962962965</v>
      </c>
      <c r="V67" s="18">
        <f t="shared" si="9"/>
        <v>0.20535714285714279</v>
      </c>
      <c r="W67" s="18">
        <f t="shared" si="10"/>
        <v>0.17894736842105274</v>
      </c>
      <c r="X67" s="18">
        <f t="shared" si="11"/>
        <v>2.1505376344086002E-2</v>
      </c>
      <c r="Y67" s="18">
        <f t="shared" si="12"/>
        <v>0.16981132075471694</v>
      </c>
      <c r="Z67" s="18">
        <f t="shared" si="13"/>
        <v>9.6551724137931227E-2</v>
      </c>
      <c r="AA67" s="18">
        <f t="shared" si="14"/>
        <v>-5.8441558441558517E-2</v>
      </c>
      <c r="AB67" s="18">
        <f t="shared" si="15"/>
        <v>0.11594202898550732</v>
      </c>
      <c r="AC67" s="5">
        <f t="shared" si="16"/>
        <v>-0.12962962962962965</v>
      </c>
    </row>
    <row r="68" spans="1:29" x14ac:dyDescent="0.25">
      <c r="A68" t="s">
        <v>130</v>
      </c>
      <c r="B68" t="s">
        <v>131</v>
      </c>
      <c r="C68" s="14">
        <v>6.57</v>
      </c>
      <c r="D68" s="14">
        <v>6.02</v>
      </c>
      <c r="E68" s="15">
        <v>5.53</v>
      </c>
      <c r="F68" s="15">
        <v>4.42</v>
      </c>
      <c r="G68" s="15">
        <v>3.99</v>
      </c>
      <c r="H68" s="15">
        <v>4.45</v>
      </c>
      <c r="I68" s="15">
        <v>4.5199999999999996</v>
      </c>
      <c r="J68" s="15">
        <v>4.04</v>
      </c>
      <c r="K68" s="15">
        <v>4.09</v>
      </c>
      <c r="L68" s="15">
        <v>3.25</v>
      </c>
      <c r="M68" s="15">
        <v>3.28</v>
      </c>
      <c r="N68" s="15">
        <v>3.61</v>
      </c>
      <c r="O68" s="16">
        <f t="shared" si="3"/>
        <v>4.1180000000000003</v>
      </c>
      <c r="P68" s="4">
        <f t="shared" ca="1" si="4"/>
        <v>217</v>
      </c>
      <c r="Q68" s="4">
        <f t="shared" ca="1" si="17"/>
        <v>143</v>
      </c>
      <c r="R68" s="16">
        <f t="shared" ca="1" si="5"/>
        <v>6.351527777777779</v>
      </c>
      <c r="S68" s="5">
        <f t="shared" ca="1" si="6"/>
        <v>0.54238168474448245</v>
      </c>
      <c r="T68" s="18">
        <f t="shared" si="7"/>
        <v>0.25113122171945701</v>
      </c>
      <c r="U68" s="18">
        <f t="shared" si="8"/>
        <v>0.10776942355889707</v>
      </c>
      <c r="V68" s="18">
        <f t="shared" si="9"/>
        <v>-0.10337078651685394</v>
      </c>
      <c r="W68" s="18">
        <f t="shared" si="10"/>
        <v>-1.5486725663716672E-2</v>
      </c>
      <c r="X68" s="18">
        <f t="shared" si="11"/>
        <v>0.1188118811881187</v>
      </c>
      <c r="Y68" s="18">
        <f t="shared" si="12"/>
        <v>-1.2224938875305624E-2</v>
      </c>
      <c r="Z68" s="18">
        <f t="shared" si="13"/>
        <v>0.25846153846153852</v>
      </c>
      <c r="AA68" s="18">
        <f t="shared" si="14"/>
        <v>-9.1463414634145312E-3</v>
      </c>
      <c r="AB68" s="18">
        <f t="shared" si="15"/>
        <v>-9.1412742382271484E-2</v>
      </c>
      <c r="AC68" s="5">
        <f t="shared" si="16"/>
        <v>-0.10337078651685394</v>
      </c>
    </row>
  </sheetData>
  <mergeCells count="2">
    <mergeCell ref="P1:Q1"/>
    <mergeCell ref="T1:AB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"/>
  <sheetViews>
    <sheetView zoomScale="60" zoomScaleNormal="60" workbookViewId="0"/>
  </sheetViews>
  <sheetFormatPr baseColWidth="10" defaultRowHeight="15" x14ac:dyDescent="0.25"/>
  <cols>
    <col min="1" max="1" width="28" bestFit="1" customWidth="1"/>
    <col min="2" max="2" width="20.85546875" bestFit="1" customWidth="1"/>
    <col min="3" max="3" width="10.85546875" bestFit="1" customWidth="1"/>
    <col min="4" max="4" width="11.28515625" bestFit="1" customWidth="1"/>
    <col min="5" max="5" width="10.5703125" bestFit="1" customWidth="1"/>
    <col min="6" max="13" width="11.140625" bestFit="1" customWidth="1"/>
    <col min="14" max="14" width="12" bestFit="1" customWidth="1"/>
    <col min="15" max="15" width="14.140625" bestFit="1" customWidth="1"/>
    <col min="16" max="16" width="10.85546875" bestFit="1" customWidth="1"/>
    <col min="17" max="17" width="11.28515625" bestFit="1" customWidth="1"/>
    <col min="18" max="18" width="21.140625" bestFit="1" customWidth="1"/>
    <col min="19" max="19" width="29.7109375" bestFit="1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60" t="s">
        <v>145</v>
      </c>
      <c r="Q1" s="60"/>
      <c r="R1" s="1"/>
      <c r="S1" s="1"/>
    </row>
    <row r="2" spans="1:19" x14ac:dyDescent="0.25">
      <c r="A2" s="1"/>
      <c r="B2" s="1"/>
      <c r="C2" s="1">
        <v>2015</v>
      </c>
      <c r="D2" s="1">
        <v>2014</v>
      </c>
      <c r="E2" s="1">
        <v>2013</v>
      </c>
      <c r="F2" s="1">
        <v>2012</v>
      </c>
      <c r="G2" s="1">
        <v>2011</v>
      </c>
      <c r="H2" s="1">
        <v>2010</v>
      </c>
      <c r="I2" s="1">
        <v>2009</v>
      </c>
      <c r="J2" s="1">
        <v>2008</v>
      </c>
      <c r="K2" s="1">
        <v>2007</v>
      </c>
      <c r="L2" s="1">
        <v>2006</v>
      </c>
      <c r="M2" s="1">
        <v>2005</v>
      </c>
      <c r="N2" s="1">
        <v>2004</v>
      </c>
      <c r="O2" s="1"/>
      <c r="P2" s="1">
        <f>C2</f>
        <v>2015</v>
      </c>
      <c r="Q2" s="1">
        <f>D2</f>
        <v>2014</v>
      </c>
      <c r="R2" s="1"/>
      <c r="S2" s="1"/>
    </row>
    <row r="3" spans="1:19" x14ac:dyDescent="0.25">
      <c r="A3" s="1" t="s">
        <v>0</v>
      </c>
      <c r="B3" s="1" t="s">
        <v>1</v>
      </c>
      <c r="C3" s="1" t="s">
        <v>142</v>
      </c>
      <c r="D3" s="1" t="s">
        <v>143</v>
      </c>
      <c r="E3" s="1" t="s">
        <v>132</v>
      </c>
      <c r="F3" s="1" t="s">
        <v>133</v>
      </c>
      <c r="G3" s="1" t="s">
        <v>134</v>
      </c>
      <c r="H3" s="1" t="s">
        <v>135</v>
      </c>
      <c r="I3" s="1" t="s">
        <v>136</v>
      </c>
      <c r="J3" s="1" t="s">
        <v>137</v>
      </c>
      <c r="K3" s="1" t="s">
        <v>138</v>
      </c>
      <c r="L3" s="1" t="s">
        <v>139</v>
      </c>
      <c r="M3" s="1" t="s">
        <v>140</v>
      </c>
      <c r="N3" s="1" t="s">
        <v>141</v>
      </c>
      <c r="O3" s="1" t="s">
        <v>156</v>
      </c>
      <c r="P3" s="1" t="s">
        <v>142</v>
      </c>
      <c r="Q3" s="1" t="s">
        <v>143</v>
      </c>
      <c r="R3" s="1" t="s">
        <v>215</v>
      </c>
      <c r="S3" s="1" t="s">
        <v>157</v>
      </c>
    </row>
    <row r="4" spans="1:19" x14ac:dyDescent="0.25">
      <c r="A4" t="s">
        <v>2</v>
      </c>
      <c r="B4" t="s">
        <v>3</v>
      </c>
      <c r="C4" s="14">
        <v>2.93</v>
      </c>
      <c r="D4" s="14">
        <v>2.77</v>
      </c>
      <c r="E4" s="15">
        <v>2.44</v>
      </c>
      <c r="F4" s="15">
        <v>2.4700000000000002</v>
      </c>
      <c r="G4" s="15">
        <v>2.42</v>
      </c>
      <c r="H4" s="15">
        <v>2.34</v>
      </c>
      <c r="I4" s="15">
        <v>2.02</v>
      </c>
      <c r="J4" s="15">
        <v>1.89</v>
      </c>
      <c r="K4" s="15">
        <v>1.42</v>
      </c>
      <c r="L4" s="15">
        <v>1.1100000000000001</v>
      </c>
      <c r="M4" s="15">
        <v>0.88</v>
      </c>
      <c r="N4" s="15">
        <v>0.92</v>
      </c>
      <c r="O4" s="16">
        <f>AVERAGE(E4:N4)</f>
        <v>1.7909999999999999</v>
      </c>
      <c r="P4" s="4">
        <f ca="1">360-Q4</f>
        <v>217</v>
      </c>
      <c r="Q4" s="4">
        <f t="shared" ref="Q4:Q35" ca="1" si="0">DAYS360(TODAY(),CONCATENATE("31.12.",Q$2))</f>
        <v>143</v>
      </c>
      <c r="R4" s="16">
        <f ca="1">(C4/360*P4)+(D4/360*Q4)</f>
        <v>2.8664444444444448</v>
      </c>
      <c r="S4" s="5">
        <f ca="1">(R4/O4)-1</f>
        <v>0.60047149326881355</v>
      </c>
    </row>
    <row r="5" spans="1:19" x14ac:dyDescent="0.25">
      <c r="A5" t="s">
        <v>4</v>
      </c>
      <c r="B5" t="s">
        <v>5</v>
      </c>
      <c r="C5" s="14">
        <v>8.8800000000000008</v>
      </c>
      <c r="D5" s="14">
        <v>8.24</v>
      </c>
      <c r="E5" s="15">
        <v>7.8</v>
      </c>
      <c r="F5" s="15">
        <v>7.35</v>
      </c>
      <c r="G5" s="15">
        <v>6.8</v>
      </c>
      <c r="H5" s="15">
        <v>6.6</v>
      </c>
      <c r="I5" s="15">
        <v>6</v>
      </c>
      <c r="J5" s="15">
        <v>5</v>
      </c>
      <c r="K5" s="15">
        <v>4.5999999999999996</v>
      </c>
      <c r="L5" s="15">
        <v>3.4</v>
      </c>
      <c r="M5" s="15">
        <v>2.5</v>
      </c>
      <c r="N5" s="15">
        <v>2</v>
      </c>
      <c r="O5" s="16">
        <f t="shared" ref="O5:O68" si="1">AVERAGE(E5:N5)</f>
        <v>5.2050000000000001</v>
      </c>
      <c r="P5" s="4">
        <f t="shared" ref="P5:P68" ca="1" si="2">360-Q5</f>
        <v>217</v>
      </c>
      <c r="Q5" s="4">
        <f t="shared" ca="1" si="0"/>
        <v>143</v>
      </c>
      <c r="R5" s="16">
        <f t="shared" ref="R5:R68" ca="1" si="3">(C5/360*P5)+(D5/360*Q5)</f>
        <v>8.6257777777777793</v>
      </c>
      <c r="S5" s="5">
        <f t="shared" ref="S5:S68" ca="1" si="4">(R5/O5)-1</f>
        <v>0.65720994769986141</v>
      </c>
    </row>
    <row r="6" spans="1:19" x14ac:dyDescent="0.25">
      <c r="A6" t="s">
        <v>6</v>
      </c>
      <c r="B6" t="s">
        <v>7</v>
      </c>
      <c r="C6" s="14">
        <v>2.35</v>
      </c>
      <c r="D6" s="14">
        <v>2.2200000000000002</v>
      </c>
      <c r="E6" s="15">
        <v>2.15</v>
      </c>
      <c r="F6" s="15">
        <v>2.0499999999999998</v>
      </c>
      <c r="G6" s="15">
        <v>1.95</v>
      </c>
      <c r="H6" s="15">
        <v>1.85</v>
      </c>
      <c r="I6" s="15">
        <v>1.6</v>
      </c>
      <c r="J6" s="15">
        <v>1.4</v>
      </c>
      <c r="K6" s="15">
        <v>1.22</v>
      </c>
      <c r="L6" s="15">
        <v>1.04</v>
      </c>
      <c r="M6" s="15">
        <v>0.9</v>
      </c>
      <c r="N6" s="15">
        <v>0.8</v>
      </c>
      <c r="O6" s="16">
        <f t="shared" si="1"/>
        <v>1.4960000000000002</v>
      </c>
      <c r="P6" s="4">
        <f t="shared" ca="1" si="2"/>
        <v>217</v>
      </c>
      <c r="Q6" s="4">
        <f t="shared" ca="1" si="0"/>
        <v>143</v>
      </c>
      <c r="R6" s="16">
        <f t="shared" ca="1" si="3"/>
        <v>2.2983611111111113</v>
      </c>
      <c r="S6" s="5">
        <f t="shared" ca="1" si="4"/>
        <v>0.53633764111705284</v>
      </c>
    </row>
    <row r="7" spans="1:19" x14ac:dyDescent="0.25">
      <c r="A7" t="s">
        <v>8</v>
      </c>
      <c r="B7" t="s">
        <v>9</v>
      </c>
      <c r="C7" s="14">
        <v>1.01</v>
      </c>
      <c r="D7" s="14">
        <v>0.74</v>
      </c>
      <c r="E7" s="15">
        <v>0.75</v>
      </c>
      <c r="F7" s="15">
        <v>0.75</v>
      </c>
      <c r="G7" s="15">
        <v>0.75</v>
      </c>
      <c r="H7" s="15">
        <v>0.75</v>
      </c>
      <c r="I7" s="15">
        <v>0.75</v>
      </c>
      <c r="J7" s="15">
        <v>0.5</v>
      </c>
      <c r="K7" s="15">
        <v>4.5</v>
      </c>
      <c r="L7" s="15">
        <v>4</v>
      </c>
      <c r="M7" s="15">
        <v>2.5</v>
      </c>
      <c r="N7" s="15">
        <v>1.7</v>
      </c>
      <c r="O7" s="16">
        <f t="shared" si="1"/>
        <v>1.6949999999999998</v>
      </c>
      <c r="P7" s="4">
        <f t="shared" ca="1" si="2"/>
        <v>217</v>
      </c>
      <c r="Q7" s="4">
        <f t="shared" ca="1" si="0"/>
        <v>143</v>
      </c>
      <c r="R7" s="16">
        <f t="shared" ca="1" si="3"/>
        <v>0.90274999999999994</v>
      </c>
      <c r="S7" s="5">
        <f t="shared" ca="1" si="4"/>
        <v>-0.46740412979351031</v>
      </c>
    </row>
    <row r="8" spans="1:19" x14ac:dyDescent="0.25">
      <c r="A8" t="s">
        <v>10</v>
      </c>
      <c r="B8" t="s">
        <v>11</v>
      </c>
      <c r="C8" s="14">
        <v>0.85</v>
      </c>
      <c r="D8" s="14">
        <v>0.78</v>
      </c>
      <c r="E8" s="15">
        <v>0.7</v>
      </c>
      <c r="F8" s="15">
        <v>0.7</v>
      </c>
      <c r="G8" s="15">
        <v>0.7</v>
      </c>
      <c r="H8" s="15">
        <v>0.7</v>
      </c>
      <c r="I8" s="15">
        <v>0.7</v>
      </c>
      <c r="J8" s="15">
        <v>0.9</v>
      </c>
      <c r="K8" s="15">
        <v>0.7</v>
      </c>
      <c r="L8" s="15">
        <v>0.6</v>
      </c>
      <c r="M8" s="15">
        <v>0.56999999999999995</v>
      </c>
      <c r="N8" s="15">
        <v>0.53</v>
      </c>
      <c r="O8" s="16">
        <f t="shared" si="1"/>
        <v>0.68</v>
      </c>
      <c r="P8" s="4">
        <f t="shared" ca="1" si="2"/>
        <v>217</v>
      </c>
      <c r="Q8" s="4">
        <f t="shared" ca="1" si="0"/>
        <v>143</v>
      </c>
      <c r="R8" s="16">
        <f t="shared" ca="1" si="3"/>
        <v>0.82219444444444445</v>
      </c>
      <c r="S8" s="5">
        <f t="shared" ca="1" si="4"/>
        <v>0.20910947712418282</v>
      </c>
    </row>
    <row r="9" spans="1:19" x14ac:dyDescent="0.25">
      <c r="A9" t="s">
        <v>12</v>
      </c>
      <c r="B9" t="s">
        <v>13</v>
      </c>
      <c r="C9" s="14">
        <v>0.95</v>
      </c>
      <c r="D9" s="14">
        <v>0.86</v>
      </c>
      <c r="E9" s="15">
        <v>0.8</v>
      </c>
      <c r="F9" s="15">
        <v>0.7</v>
      </c>
      <c r="G9" s="15">
        <v>0.7</v>
      </c>
      <c r="H9" s="15">
        <v>0.65</v>
      </c>
      <c r="I9" s="15">
        <v>0.6</v>
      </c>
      <c r="J9" s="15">
        <v>0.6</v>
      </c>
      <c r="K9" s="15">
        <v>0.9</v>
      </c>
      <c r="L9" s="15">
        <v>0.75</v>
      </c>
      <c r="M9" s="15">
        <v>0.7</v>
      </c>
      <c r="N9" s="15">
        <v>0.5</v>
      </c>
      <c r="O9" s="16">
        <f t="shared" si="1"/>
        <v>0.69000000000000006</v>
      </c>
      <c r="P9" s="4">
        <f t="shared" ca="1" si="2"/>
        <v>217</v>
      </c>
      <c r="Q9" s="4">
        <f t="shared" ca="1" si="0"/>
        <v>143</v>
      </c>
      <c r="R9" s="16">
        <f t="shared" ca="1" si="3"/>
        <v>0.91425000000000001</v>
      </c>
      <c r="S9" s="5">
        <f t="shared" ca="1" si="4"/>
        <v>0.32499999999999996</v>
      </c>
    </row>
    <row r="10" spans="1:19" x14ac:dyDescent="0.25">
      <c r="A10" t="s">
        <v>14</v>
      </c>
      <c r="B10" t="s">
        <v>15</v>
      </c>
      <c r="C10" s="14">
        <v>0.52</v>
      </c>
      <c r="D10" s="14">
        <v>0.51</v>
      </c>
      <c r="E10" s="15">
        <v>0.5</v>
      </c>
      <c r="F10" s="15">
        <v>0.7</v>
      </c>
      <c r="G10" s="15">
        <v>0.7</v>
      </c>
      <c r="H10" s="15">
        <v>0.7</v>
      </c>
      <c r="I10" s="15">
        <v>0.78</v>
      </c>
      <c r="J10" s="15">
        <v>0.78</v>
      </c>
      <c r="K10" s="15">
        <v>0.78</v>
      </c>
      <c r="L10" s="15">
        <v>0.72</v>
      </c>
      <c r="M10" s="15">
        <v>0.72</v>
      </c>
      <c r="N10" s="15">
        <v>0.62</v>
      </c>
      <c r="O10" s="16">
        <f t="shared" si="1"/>
        <v>0.7</v>
      </c>
      <c r="P10" s="4">
        <f t="shared" ca="1" si="2"/>
        <v>217</v>
      </c>
      <c r="Q10" s="4">
        <f t="shared" ca="1" si="0"/>
        <v>143</v>
      </c>
      <c r="R10" s="16">
        <f t="shared" ca="1" si="3"/>
        <v>0.51602777777777775</v>
      </c>
      <c r="S10" s="5">
        <f t="shared" ca="1" si="4"/>
        <v>-0.26281746031746034</v>
      </c>
    </row>
    <row r="11" spans="1:19" x14ac:dyDescent="0.25">
      <c r="A11" t="s">
        <v>16</v>
      </c>
      <c r="B11" t="s">
        <v>17</v>
      </c>
      <c r="C11" s="14">
        <v>1.1299999999999999</v>
      </c>
      <c r="D11" s="14">
        <v>1.03</v>
      </c>
      <c r="E11" s="15">
        <v>1</v>
      </c>
      <c r="F11" s="15">
        <v>0.85</v>
      </c>
      <c r="G11" s="15">
        <v>1.1000000000000001</v>
      </c>
      <c r="H11" s="15">
        <v>0.6</v>
      </c>
      <c r="I11" s="15">
        <v>0.5</v>
      </c>
      <c r="J11" s="15">
        <v>0.5</v>
      </c>
      <c r="K11" s="15">
        <v>0.5</v>
      </c>
      <c r="L11" s="15">
        <v>0.46</v>
      </c>
      <c r="M11" s="15">
        <v>0.36</v>
      </c>
      <c r="N11" s="15">
        <v>0.28000000000000003</v>
      </c>
      <c r="O11" s="16">
        <f t="shared" si="1"/>
        <v>0.6150000000000001</v>
      </c>
      <c r="P11" s="4">
        <f t="shared" ca="1" si="2"/>
        <v>217</v>
      </c>
      <c r="Q11" s="4">
        <f t="shared" ca="1" si="0"/>
        <v>143</v>
      </c>
      <c r="R11" s="16">
        <f t="shared" ca="1" si="3"/>
        <v>1.0902777777777777</v>
      </c>
      <c r="S11" s="5">
        <f t="shared" ca="1" si="4"/>
        <v>0.77280939476061383</v>
      </c>
    </row>
    <row r="12" spans="1:19" x14ac:dyDescent="0.25">
      <c r="A12" t="s">
        <v>18</v>
      </c>
      <c r="B12" t="s">
        <v>19</v>
      </c>
      <c r="C12" s="14">
        <v>3.49</v>
      </c>
      <c r="D12" s="14">
        <v>3.23</v>
      </c>
      <c r="E12" s="15">
        <v>3</v>
      </c>
      <c r="F12" s="15">
        <v>3</v>
      </c>
      <c r="G12" s="15">
        <v>3</v>
      </c>
      <c r="H12" s="15">
        <v>2.7</v>
      </c>
      <c r="I12" s="15">
        <v>1.6</v>
      </c>
      <c r="J12" s="15">
        <v>1.6</v>
      </c>
      <c r="K12" s="15">
        <v>1.6</v>
      </c>
      <c r="L12" s="15">
        <v>1.45</v>
      </c>
      <c r="M12" s="15">
        <v>1.35</v>
      </c>
      <c r="N12" s="15">
        <v>1.25</v>
      </c>
      <c r="O12" s="16">
        <f t="shared" si="1"/>
        <v>2.0550000000000002</v>
      </c>
      <c r="P12" s="4">
        <f t="shared" ca="1" si="2"/>
        <v>217</v>
      </c>
      <c r="Q12" s="4">
        <f t="shared" ca="1" si="0"/>
        <v>143</v>
      </c>
      <c r="R12" s="16">
        <f t="shared" ca="1" si="3"/>
        <v>3.3867222222222217</v>
      </c>
      <c r="S12" s="5">
        <f t="shared" ca="1" si="4"/>
        <v>0.64804001081373319</v>
      </c>
    </row>
    <row r="13" spans="1:19" x14ac:dyDescent="0.25">
      <c r="A13" t="s">
        <v>20</v>
      </c>
      <c r="B13" t="s">
        <v>21</v>
      </c>
      <c r="C13" s="14">
        <v>6.15</v>
      </c>
      <c r="D13" s="14">
        <v>5.96</v>
      </c>
      <c r="E13" s="15">
        <v>5.3</v>
      </c>
      <c r="F13" s="15">
        <v>4.5</v>
      </c>
      <c r="G13" s="15">
        <v>4.5</v>
      </c>
      <c r="H13" s="15">
        <v>4.5</v>
      </c>
      <c r="I13" s="15">
        <v>4.0999999999999996</v>
      </c>
      <c r="J13" s="15">
        <v>3.5</v>
      </c>
      <c r="K13" s="15">
        <v>5.5</v>
      </c>
      <c r="L13" s="15">
        <v>3.8</v>
      </c>
      <c r="M13" s="15">
        <v>2</v>
      </c>
      <c r="N13" s="15">
        <v>1.75</v>
      </c>
      <c r="O13" s="16">
        <f t="shared" si="1"/>
        <v>3.9449999999999994</v>
      </c>
      <c r="P13" s="4">
        <f t="shared" ca="1" si="2"/>
        <v>217</v>
      </c>
      <c r="Q13" s="4">
        <f t="shared" ca="1" si="0"/>
        <v>143</v>
      </c>
      <c r="R13" s="16">
        <f t="shared" ca="1" si="3"/>
        <v>6.074527777777778</v>
      </c>
      <c r="S13" s="5">
        <f t="shared" ca="1" si="4"/>
        <v>0.53980425292212386</v>
      </c>
    </row>
    <row r="14" spans="1:19" x14ac:dyDescent="0.25">
      <c r="A14" t="s">
        <v>22</v>
      </c>
      <c r="B14" t="s">
        <v>23</v>
      </c>
      <c r="C14" s="14">
        <v>7.69</v>
      </c>
      <c r="D14" s="14">
        <v>7.46</v>
      </c>
      <c r="E14" s="15">
        <v>7.25</v>
      </c>
      <c r="F14" s="15">
        <v>7</v>
      </c>
      <c r="G14" s="15">
        <v>6.25</v>
      </c>
      <c r="H14" s="15">
        <v>6.25</v>
      </c>
      <c r="I14" s="15">
        <v>5.75</v>
      </c>
      <c r="J14" s="15">
        <v>5.5</v>
      </c>
      <c r="K14" s="15">
        <v>5.5</v>
      </c>
      <c r="L14" s="15">
        <v>4.5</v>
      </c>
      <c r="M14" s="15">
        <v>3.1</v>
      </c>
      <c r="N14" s="15">
        <v>2</v>
      </c>
      <c r="O14" s="16">
        <f t="shared" si="1"/>
        <v>5.3100000000000005</v>
      </c>
      <c r="P14" s="4">
        <f t="shared" ca="1" si="2"/>
        <v>217</v>
      </c>
      <c r="Q14" s="4">
        <f t="shared" ca="1" si="0"/>
        <v>143</v>
      </c>
      <c r="R14" s="16">
        <f t="shared" ca="1" si="3"/>
        <v>7.5986388888888889</v>
      </c>
      <c r="S14" s="5">
        <f t="shared" ca="1" si="4"/>
        <v>0.43100544046871714</v>
      </c>
    </row>
    <row r="15" spans="1:19" x14ac:dyDescent="0.25">
      <c r="A15" t="s">
        <v>24</v>
      </c>
      <c r="B15" t="s">
        <v>25</v>
      </c>
      <c r="C15" s="14">
        <v>3.03</v>
      </c>
      <c r="D15" s="14">
        <v>2.85</v>
      </c>
      <c r="E15" s="15">
        <v>2.7</v>
      </c>
      <c r="F15" s="15">
        <v>2.6</v>
      </c>
      <c r="G15" s="15">
        <v>2.5</v>
      </c>
      <c r="H15" s="15">
        <v>2.2000000000000002</v>
      </c>
      <c r="I15" s="15">
        <v>1.7</v>
      </c>
      <c r="J15" s="15">
        <v>1.95</v>
      </c>
      <c r="K15" s="15">
        <v>1.95</v>
      </c>
      <c r="L15" s="15">
        <v>1.5</v>
      </c>
      <c r="M15" s="15">
        <v>1</v>
      </c>
      <c r="N15" s="15">
        <v>0.85</v>
      </c>
      <c r="O15" s="16">
        <f t="shared" si="1"/>
        <v>1.895</v>
      </c>
      <c r="P15" s="4">
        <f t="shared" ca="1" si="2"/>
        <v>217</v>
      </c>
      <c r="Q15" s="4">
        <f t="shared" ca="1" si="0"/>
        <v>143</v>
      </c>
      <c r="R15" s="16">
        <f t="shared" ca="1" si="3"/>
        <v>2.9584999999999999</v>
      </c>
      <c r="S15" s="5">
        <f t="shared" ca="1" si="4"/>
        <v>0.56121372031662253</v>
      </c>
    </row>
    <row r="16" spans="1:19" x14ac:dyDescent="0.25">
      <c r="A16" t="s">
        <v>26</v>
      </c>
      <c r="B16" t="s">
        <v>27</v>
      </c>
      <c r="C16" s="14">
        <v>2.5</v>
      </c>
      <c r="D16" s="14">
        <v>2.2599999999999998</v>
      </c>
      <c r="E16" s="15">
        <v>2.1</v>
      </c>
      <c r="F16" s="15">
        <v>1.9</v>
      </c>
      <c r="G16" s="15">
        <v>1.65</v>
      </c>
      <c r="H16" s="15">
        <v>1.5</v>
      </c>
      <c r="I16" s="15">
        <v>1.4</v>
      </c>
      <c r="J16" s="15">
        <v>1.4</v>
      </c>
      <c r="K16" s="15">
        <v>1.35</v>
      </c>
      <c r="L16" s="15">
        <v>1</v>
      </c>
      <c r="M16" s="15">
        <v>0.95</v>
      </c>
      <c r="N16" s="15">
        <v>0.55000000000000004</v>
      </c>
      <c r="O16" s="16">
        <f t="shared" si="1"/>
        <v>1.3800000000000001</v>
      </c>
      <c r="P16" s="4">
        <f t="shared" ca="1" si="2"/>
        <v>217</v>
      </c>
      <c r="Q16" s="4">
        <f t="shared" ca="1" si="0"/>
        <v>143</v>
      </c>
      <c r="R16" s="16">
        <f t="shared" ca="1" si="3"/>
        <v>2.4046666666666665</v>
      </c>
      <c r="S16" s="5">
        <f t="shared" ca="1" si="4"/>
        <v>0.74251207729468582</v>
      </c>
    </row>
    <row r="17" spans="1:19" x14ac:dyDescent="0.25">
      <c r="A17" t="s">
        <v>28</v>
      </c>
      <c r="B17" t="s">
        <v>29</v>
      </c>
      <c r="C17" s="14">
        <v>0.49</v>
      </c>
      <c r="D17" s="14">
        <v>0.54</v>
      </c>
      <c r="E17" s="15">
        <v>0.6</v>
      </c>
      <c r="F17" s="15">
        <v>0.6</v>
      </c>
      <c r="G17" s="15">
        <v>0.78</v>
      </c>
      <c r="H17" s="15">
        <v>0.6</v>
      </c>
      <c r="I17" s="15">
        <v>0.6</v>
      </c>
      <c r="J17" s="15">
        <v>0.65</v>
      </c>
      <c r="K17" s="15">
        <v>0.65</v>
      </c>
      <c r="L17" s="15">
        <v>0.52</v>
      </c>
      <c r="M17" s="15">
        <v>0.42</v>
      </c>
      <c r="N17" s="15">
        <v>0.33</v>
      </c>
      <c r="O17" s="16">
        <f t="shared" si="1"/>
        <v>0.57499999999999996</v>
      </c>
      <c r="P17" s="4">
        <f t="shared" ca="1" si="2"/>
        <v>217</v>
      </c>
      <c r="Q17" s="4">
        <f t="shared" ca="1" si="0"/>
        <v>143</v>
      </c>
      <c r="R17" s="16">
        <f t="shared" ca="1" si="3"/>
        <v>0.5098611111111111</v>
      </c>
      <c r="S17" s="5">
        <f t="shared" ca="1" si="4"/>
        <v>-0.1132850241545893</v>
      </c>
    </row>
    <row r="18" spans="1:19" x14ac:dyDescent="0.25">
      <c r="A18" t="s">
        <v>30</v>
      </c>
      <c r="B18" t="s">
        <v>31</v>
      </c>
      <c r="C18" s="14">
        <v>0.73</v>
      </c>
      <c r="D18" s="14">
        <v>0.72</v>
      </c>
      <c r="E18" s="15">
        <v>0.75</v>
      </c>
      <c r="F18" s="15">
        <v>0.82</v>
      </c>
      <c r="G18" s="15">
        <v>1.52</v>
      </c>
      <c r="H18" s="15">
        <v>1.3</v>
      </c>
      <c r="I18" s="15">
        <v>1</v>
      </c>
      <c r="J18" s="15">
        <v>0.9</v>
      </c>
      <c r="K18" s="15">
        <v>0.65</v>
      </c>
      <c r="L18" s="15">
        <v>0.55000000000000004</v>
      </c>
      <c r="M18" s="15">
        <v>0.5</v>
      </c>
      <c r="N18" s="15">
        <v>0.4</v>
      </c>
      <c r="O18" s="16">
        <f t="shared" si="1"/>
        <v>0.83900000000000008</v>
      </c>
      <c r="P18" s="4">
        <f t="shared" ca="1" si="2"/>
        <v>217</v>
      </c>
      <c r="Q18" s="4">
        <f t="shared" ca="1" si="0"/>
        <v>143</v>
      </c>
      <c r="R18" s="16">
        <f t="shared" ca="1" si="3"/>
        <v>0.72602777777777772</v>
      </c>
      <c r="S18" s="5">
        <f t="shared" ca="1" si="4"/>
        <v>-0.13465103959740443</v>
      </c>
    </row>
    <row r="19" spans="1:19" x14ac:dyDescent="0.25">
      <c r="A19" t="s">
        <v>32</v>
      </c>
      <c r="B19" t="s">
        <v>33</v>
      </c>
      <c r="C19" s="14">
        <v>2.48</v>
      </c>
      <c r="D19" s="14">
        <v>2.4300000000000002</v>
      </c>
      <c r="E19" s="15">
        <v>2.38</v>
      </c>
      <c r="F19" s="15">
        <v>2.34</v>
      </c>
      <c r="G19" s="15">
        <v>2.2799999999999998</v>
      </c>
      <c r="H19" s="15">
        <v>2.2799999999999998</v>
      </c>
      <c r="I19" s="15">
        <v>2.2799999999999998</v>
      </c>
      <c r="J19" s="15">
        <v>2.2799999999999998</v>
      </c>
      <c r="K19" s="15">
        <v>2.0699999999999998</v>
      </c>
      <c r="L19" s="15">
        <v>1.87</v>
      </c>
      <c r="M19" s="15">
        <v>1.62</v>
      </c>
      <c r="N19" s="15">
        <v>1.35</v>
      </c>
      <c r="O19" s="16">
        <f t="shared" si="1"/>
        <v>2.0750000000000002</v>
      </c>
      <c r="P19" s="4">
        <f t="shared" ca="1" si="2"/>
        <v>217</v>
      </c>
      <c r="Q19" s="4">
        <f t="shared" ca="1" si="0"/>
        <v>143</v>
      </c>
      <c r="R19" s="16">
        <f t="shared" ca="1" si="3"/>
        <v>2.4601388888888893</v>
      </c>
      <c r="S19" s="5">
        <f t="shared" ca="1" si="4"/>
        <v>0.1856091030789826</v>
      </c>
    </row>
    <row r="20" spans="1:19" x14ac:dyDescent="0.25">
      <c r="A20" t="s">
        <v>34</v>
      </c>
      <c r="B20" t="s">
        <v>35</v>
      </c>
      <c r="C20" s="14">
        <v>1.6</v>
      </c>
      <c r="D20" s="14">
        <v>1.49</v>
      </c>
      <c r="E20" s="15">
        <v>1.45</v>
      </c>
      <c r="F20" s="15">
        <v>1.45</v>
      </c>
      <c r="G20" s="15">
        <v>1.39</v>
      </c>
      <c r="H20" s="15">
        <v>1.3</v>
      </c>
      <c r="I20" s="15">
        <v>1.2</v>
      </c>
      <c r="J20" s="15">
        <v>1.2</v>
      </c>
      <c r="K20" s="15">
        <v>1.1000000000000001</v>
      </c>
      <c r="L20" s="15">
        <v>1</v>
      </c>
      <c r="M20" s="15">
        <v>0.85</v>
      </c>
      <c r="N20" s="15">
        <v>0.68</v>
      </c>
      <c r="O20" s="16">
        <f t="shared" si="1"/>
        <v>1.1619999999999999</v>
      </c>
      <c r="P20" s="4">
        <f t="shared" ca="1" si="2"/>
        <v>217</v>
      </c>
      <c r="Q20" s="4">
        <f t="shared" ca="1" si="0"/>
        <v>143</v>
      </c>
      <c r="R20" s="16">
        <f t="shared" ca="1" si="3"/>
        <v>1.5563055555555556</v>
      </c>
      <c r="S20" s="5">
        <f t="shared" ca="1" si="4"/>
        <v>0.33933352457448862</v>
      </c>
    </row>
    <row r="21" spans="1:19" x14ac:dyDescent="0.25">
      <c r="A21" t="s">
        <v>36</v>
      </c>
      <c r="B21" t="s">
        <v>37</v>
      </c>
      <c r="C21" s="14">
        <v>1.3</v>
      </c>
      <c r="D21" s="14">
        <v>1.22</v>
      </c>
      <c r="E21" s="15">
        <v>1.1599999999999999</v>
      </c>
      <c r="F21" s="15">
        <v>1.1200000000000001</v>
      </c>
      <c r="G21" s="15">
        <v>1.01</v>
      </c>
      <c r="H21" s="15">
        <v>0.87</v>
      </c>
      <c r="I21" s="15">
        <v>0.82</v>
      </c>
      <c r="J21" s="15">
        <v>0.56000000000000005</v>
      </c>
      <c r="K21" s="15">
        <v>0.39</v>
      </c>
      <c r="L21" s="15">
        <v>0.32</v>
      </c>
      <c r="M21" s="15">
        <v>0.23</v>
      </c>
      <c r="N21" s="15"/>
      <c r="O21" s="16">
        <f t="shared" si="1"/>
        <v>0.7200000000000002</v>
      </c>
      <c r="P21" s="4">
        <f t="shared" ca="1" si="2"/>
        <v>217</v>
      </c>
      <c r="Q21" s="4">
        <f t="shared" ca="1" si="0"/>
        <v>143</v>
      </c>
      <c r="R21" s="16">
        <f t="shared" ca="1" si="3"/>
        <v>1.2682222222222221</v>
      </c>
      <c r="S21" s="5">
        <f t="shared" ca="1" si="4"/>
        <v>0.76141975308641907</v>
      </c>
    </row>
    <row r="22" spans="1:19" x14ac:dyDescent="0.25">
      <c r="A22" t="s">
        <v>38</v>
      </c>
      <c r="B22" t="s">
        <v>39</v>
      </c>
      <c r="C22" s="14">
        <v>1.56</v>
      </c>
      <c r="D22" s="14">
        <v>1.46</v>
      </c>
      <c r="E22" s="15">
        <v>1.42</v>
      </c>
      <c r="F22" s="15">
        <v>1.35</v>
      </c>
      <c r="G22" s="15">
        <v>1.27</v>
      </c>
      <c r="H22" s="15">
        <v>1.1399999999999999</v>
      </c>
      <c r="I22" s="15">
        <v>1</v>
      </c>
      <c r="J22" s="15">
        <v>0.84</v>
      </c>
      <c r="K22" s="15">
        <v>0.66</v>
      </c>
      <c r="L22" s="15"/>
      <c r="M22" s="15"/>
      <c r="N22" s="15"/>
      <c r="O22" s="16">
        <f t="shared" si="1"/>
        <v>1.0971428571428572</v>
      </c>
      <c r="P22" s="4">
        <f t="shared" ca="1" si="2"/>
        <v>217</v>
      </c>
      <c r="Q22" s="4">
        <f t="shared" ca="1" si="0"/>
        <v>143</v>
      </c>
      <c r="R22" s="16">
        <f t="shared" ca="1" si="3"/>
        <v>1.5202777777777776</v>
      </c>
      <c r="S22" s="5">
        <f t="shared" ca="1" si="4"/>
        <v>0.38566984953703676</v>
      </c>
    </row>
    <row r="23" spans="1:19" x14ac:dyDescent="0.25">
      <c r="A23" t="s">
        <v>40</v>
      </c>
      <c r="B23" t="s">
        <v>41</v>
      </c>
      <c r="C23" s="14">
        <v>1.39</v>
      </c>
      <c r="D23" s="14">
        <v>1.28</v>
      </c>
      <c r="E23" s="15">
        <v>1.1599999999999999</v>
      </c>
      <c r="F23" s="15">
        <v>1.06</v>
      </c>
      <c r="G23" s="15">
        <v>0.95</v>
      </c>
      <c r="H23" s="15">
        <v>0.84</v>
      </c>
      <c r="I23" s="15">
        <v>0.73</v>
      </c>
      <c r="J23" s="15">
        <v>0.63</v>
      </c>
      <c r="K23" s="15">
        <v>0.6</v>
      </c>
      <c r="L23" s="15"/>
      <c r="M23" s="15"/>
      <c r="N23" s="15"/>
      <c r="O23" s="16">
        <f t="shared" si="1"/>
        <v>0.85285714285714287</v>
      </c>
      <c r="P23" s="4">
        <f t="shared" ca="1" si="2"/>
        <v>217</v>
      </c>
      <c r="Q23" s="4">
        <f t="shared" ca="1" si="0"/>
        <v>143</v>
      </c>
      <c r="R23" s="16">
        <f t="shared" ca="1" si="3"/>
        <v>1.3463055555555554</v>
      </c>
      <c r="S23" s="5">
        <f t="shared" ca="1" si="4"/>
        <v>0.57858272845710013</v>
      </c>
    </row>
    <row r="24" spans="1:19" x14ac:dyDescent="0.25">
      <c r="A24" t="s">
        <v>42</v>
      </c>
      <c r="B24" t="s">
        <v>43</v>
      </c>
      <c r="C24" s="14">
        <v>0.56999999999999995</v>
      </c>
      <c r="D24" s="14">
        <v>0.53</v>
      </c>
      <c r="E24" s="15">
        <v>0.49</v>
      </c>
      <c r="F24" s="15">
        <v>0.45</v>
      </c>
      <c r="G24" s="15">
        <v>0.41</v>
      </c>
      <c r="H24" s="15">
        <v>0.36</v>
      </c>
      <c r="I24" s="15">
        <v>0.32</v>
      </c>
      <c r="J24" s="15">
        <v>0.93</v>
      </c>
      <c r="K24" s="15">
        <v>0.87</v>
      </c>
      <c r="L24" s="15">
        <v>0.76</v>
      </c>
      <c r="M24" s="15">
        <v>0.69</v>
      </c>
      <c r="N24" s="15">
        <v>0.66</v>
      </c>
      <c r="O24" s="16">
        <f t="shared" si="1"/>
        <v>0.59399999999999997</v>
      </c>
      <c r="P24" s="4">
        <f t="shared" ca="1" si="2"/>
        <v>217</v>
      </c>
      <c r="Q24" s="4">
        <f t="shared" ca="1" si="0"/>
        <v>143</v>
      </c>
      <c r="R24" s="16">
        <f t="shared" ca="1" si="3"/>
        <v>0.55411111111111111</v>
      </c>
      <c r="S24" s="5">
        <f t="shared" ca="1" si="4"/>
        <v>-6.7153011597456014E-2</v>
      </c>
    </row>
    <row r="25" spans="1:19" x14ac:dyDescent="0.25">
      <c r="A25" t="s">
        <v>44</v>
      </c>
      <c r="B25" t="s">
        <v>45</v>
      </c>
      <c r="C25" s="14">
        <v>2.25</v>
      </c>
      <c r="D25" s="14">
        <v>2.09</v>
      </c>
      <c r="E25" s="15">
        <v>2.87</v>
      </c>
      <c r="F25" s="15">
        <v>2.58</v>
      </c>
      <c r="G25" s="15">
        <v>2.08</v>
      </c>
      <c r="H25" s="15">
        <v>1.53</v>
      </c>
      <c r="I25" s="15">
        <v>1.01</v>
      </c>
      <c r="J25" s="15">
        <v>1.36</v>
      </c>
      <c r="K25" s="15">
        <v>1.36</v>
      </c>
      <c r="L25" s="15">
        <v>1.04</v>
      </c>
      <c r="M25" s="15">
        <v>0.8</v>
      </c>
      <c r="N25" s="15">
        <v>0.77</v>
      </c>
      <c r="O25" s="16">
        <f t="shared" si="1"/>
        <v>1.5399999999999998</v>
      </c>
      <c r="P25" s="4">
        <f t="shared" ca="1" si="2"/>
        <v>217</v>
      </c>
      <c r="Q25" s="4">
        <f t="shared" ca="1" si="0"/>
        <v>143</v>
      </c>
      <c r="R25" s="16">
        <f t="shared" ca="1" si="3"/>
        <v>2.1864444444444446</v>
      </c>
      <c r="S25" s="5">
        <f t="shared" ca="1" si="4"/>
        <v>0.41976911976912001</v>
      </c>
    </row>
    <row r="26" spans="1:19" x14ac:dyDescent="0.25">
      <c r="A26" t="s">
        <v>46</v>
      </c>
      <c r="B26" t="s">
        <v>47</v>
      </c>
      <c r="C26" s="14">
        <v>0.42</v>
      </c>
      <c r="D26" s="14">
        <v>0.4</v>
      </c>
      <c r="E26" s="15">
        <v>0.37</v>
      </c>
      <c r="F26" s="15">
        <v>0.33</v>
      </c>
      <c r="G26" s="15">
        <v>0.28000000000000003</v>
      </c>
      <c r="H26" s="15">
        <v>0.14000000000000001</v>
      </c>
      <c r="I26" s="15">
        <v>0.56000000000000005</v>
      </c>
      <c r="J26" s="15">
        <v>0.55000000000000004</v>
      </c>
      <c r="K26" s="15">
        <v>0.42</v>
      </c>
      <c r="L26" s="15">
        <v>0.38</v>
      </c>
      <c r="M26" s="15">
        <v>0.35</v>
      </c>
      <c r="N26" s="15">
        <v>0.28000000000000003</v>
      </c>
      <c r="O26" s="16">
        <f t="shared" si="1"/>
        <v>0.36599999999999999</v>
      </c>
      <c r="P26" s="4">
        <f t="shared" ca="1" si="2"/>
        <v>217</v>
      </c>
      <c r="Q26" s="4">
        <f t="shared" ca="1" si="0"/>
        <v>143</v>
      </c>
      <c r="R26" s="16">
        <f t="shared" ca="1" si="3"/>
        <v>0.41205555555555551</v>
      </c>
      <c r="S26" s="5">
        <f t="shared" ca="1" si="4"/>
        <v>0.12583485124468718</v>
      </c>
    </row>
    <row r="27" spans="1:19" x14ac:dyDescent="0.25">
      <c r="A27" t="s">
        <v>48</v>
      </c>
      <c r="B27" t="s">
        <v>49</v>
      </c>
      <c r="C27" s="14">
        <v>2</v>
      </c>
      <c r="D27" s="14">
        <v>1.89</v>
      </c>
      <c r="E27" s="15">
        <v>1.8</v>
      </c>
      <c r="F27" s="15">
        <v>1.72</v>
      </c>
      <c r="G27" s="15">
        <v>1.68</v>
      </c>
      <c r="H27" s="15">
        <v>1.68</v>
      </c>
      <c r="I27" s="15">
        <v>1.66</v>
      </c>
      <c r="J27" s="15">
        <v>1.6</v>
      </c>
      <c r="K27" s="15">
        <v>1.44</v>
      </c>
      <c r="L27" s="15">
        <v>1.27</v>
      </c>
      <c r="M27" s="15">
        <v>1.1299999999999999</v>
      </c>
      <c r="N27" s="15"/>
      <c r="O27" s="16">
        <f t="shared" si="1"/>
        <v>1.553333333333333</v>
      </c>
      <c r="P27" s="4">
        <f t="shared" ca="1" si="2"/>
        <v>217</v>
      </c>
      <c r="Q27" s="4">
        <f t="shared" ca="1" si="0"/>
        <v>143</v>
      </c>
      <c r="R27" s="16">
        <f t="shared" ca="1" si="3"/>
        <v>1.9563055555555553</v>
      </c>
      <c r="S27" s="5">
        <f t="shared" ca="1" si="4"/>
        <v>0.25942417739628043</v>
      </c>
    </row>
    <row r="28" spans="1:19" x14ac:dyDescent="0.25">
      <c r="A28" t="s">
        <v>50</v>
      </c>
      <c r="B28" t="s">
        <v>51</v>
      </c>
      <c r="C28" s="14">
        <v>0.114</v>
      </c>
      <c r="D28" s="14">
        <v>0.11</v>
      </c>
      <c r="E28" s="15">
        <v>0.1</v>
      </c>
      <c r="F28" s="15">
        <v>9.5000000000000001E-2</v>
      </c>
      <c r="G28" s="15">
        <v>8.8999999999999996E-2</v>
      </c>
      <c r="H28" s="15">
        <v>8.3000000000000004E-2</v>
      </c>
      <c r="I28" s="15">
        <v>5.6000000000000001E-2</v>
      </c>
      <c r="J28" s="15">
        <v>7.4999999999999997E-2</v>
      </c>
      <c r="K28" s="15">
        <v>6.8000000000000005E-2</v>
      </c>
      <c r="L28" s="15">
        <v>6.0999999999999999E-2</v>
      </c>
      <c r="M28" s="15">
        <v>0.04</v>
      </c>
      <c r="N28" s="15">
        <v>0.02</v>
      </c>
      <c r="O28" s="16">
        <f t="shared" si="1"/>
        <v>6.8700000000000011E-2</v>
      </c>
      <c r="P28" s="4">
        <f t="shared" ca="1" si="2"/>
        <v>217</v>
      </c>
      <c r="Q28" s="4">
        <f t="shared" ca="1" si="0"/>
        <v>143</v>
      </c>
      <c r="R28" s="16">
        <f t="shared" ca="1" si="3"/>
        <v>0.11241111111111113</v>
      </c>
      <c r="S28" s="5">
        <f t="shared" ca="1" si="4"/>
        <v>0.63626071486333502</v>
      </c>
    </row>
    <row r="29" spans="1:19" x14ac:dyDescent="0.25">
      <c r="A29" t="s">
        <v>52</v>
      </c>
      <c r="B29" t="s">
        <v>53</v>
      </c>
      <c r="C29" s="14">
        <v>1.18</v>
      </c>
      <c r="D29" s="14">
        <v>1.1000000000000001</v>
      </c>
      <c r="E29" s="15">
        <v>1.05</v>
      </c>
      <c r="F29" s="15">
        <v>0.97</v>
      </c>
      <c r="G29" s="15">
        <v>0.9</v>
      </c>
      <c r="H29" s="15">
        <v>0.83</v>
      </c>
      <c r="I29" s="15">
        <v>0.46</v>
      </c>
      <c r="J29" s="15">
        <v>0.77</v>
      </c>
      <c r="K29" s="15">
        <v>0.75</v>
      </c>
      <c r="L29" s="15">
        <v>0.96</v>
      </c>
      <c r="M29" s="15">
        <v>0.66</v>
      </c>
      <c r="N29" s="15">
        <v>0.63</v>
      </c>
      <c r="O29" s="16">
        <f t="shared" si="1"/>
        <v>0.79800000000000004</v>
      </c>
      <c r="P29" s="4">
        <f t="shared" ca="1" si="2"/>
        <v>217</v>
      </c>
      <c r="Q29" s="4">
        <f t="shared" ca="1" si="0"/>
        <v>143</v>
      </c>
      <c r="R29" s="16">
        <f t="shared" ca="1" si="3"/>
        <v>1.148222222222222</v>
      </c>
      <c r="S29" s="5">
        <f t="shared" ca="1" si="4"/>
        <v>0.43887496519075442</v>
      </c>
    </row>
    <row r="30" spans="1:19" x14ac:dyDescent="0.25">
      <c r="A30" t="s">
        <v>54</v>
      </c>
      <c r="B30" t="s">
        <v>55</v>
      </c>
      <c r="C30" s="14">
        <v>1.88</v>
      </c>
      <c r="D30" s="14">
        <v>1.85</v>
      </c>
      <c r="E30" s="15">
        <v>1.81</v>
      </c>
      <c r="F30" s="15">
        <v>1.77</v>
      </c>
      <c r="G30" s="15">
        <v>1.72</v>
      </c>
      <c r="H30" s="15">
        <v>1.68</v>
      </c>
      <c r="I30" s="15">
        <v>1.65</v>
      </c>
      <c r="J30" s="15">
        <v>1.61</v>
      </c>
      <c r="K30" s="15">
        <v>1.47</v>
      </c>
      <c r="L30" s="15">
        <v>1.35</v>
      </c>
      <c r="M30" s="15">
        <v>1.3</v>
      </c>
      <c r="N30" s="15">
        <v>1.26</v>
      </c>
      <c r="O30" s="16">
        <f t="shared" si="1"/>
        <v>1.5619999999999998</v>
      </c>
      <c r="P30" s="4">
        <f t="shared" ca="1" si="2"/>
        <v>217</v>
      </c>
      <c r="Q30" s="4">
        <f t="shared" ca="1" si="0"/>
        <v>143</v>
      </c>
      <c r="R30" s="16">
        <f t="shared" ca="1" si="3"/>
        <v>1.8680833333333333</v>
      </c>
      <c r="S30" s="5">
        <f t="shared" ca="1" si="4"/>
        <v>0.19595603926589855</v>
      </c>
    </row>
    <row r="31" spans="1:19" x14ac:dyDescent="0.25">
      <c r="A31" t="s">
        <v>56</v>
      </c>
      <c r="B31" t="s">
        <v>57</v>
      </c>
      <c r="C31" s="14">
        <v>4.4000000000000004</v>
      </c>
      <c r="D31" s="14">
        <v>4.17</v>
      </c>
      <c r="E31" s="15">
        <v>3.9</v>
      </c>
      <c r="F31" s="15">
        <v>3.51</v>
      </c>
      <c r="G31" s="15">
        <v>3.09</v>
      </c>
      <c r="H31" s="15">
        <v>2.84</v>
      </c>
      <c r="I31" s="15">
        <v>2.66</v>
      </c>
      <c r="J31" s="15">
        <v>2.5299999999999998</v>
      </c>
      <c r="K31" s="15">
        <v>2.2599999999999998</v>
      </c>
      <c r="L31" s="15">
        <v>2.0099999999999998</v>
      </c>
      <c r="M31" s="15">
        <v>1.75</v>
      </c>
      <c r="N31" s="15">
        <v>1.53</v>
      </c>
      <c r="O31" s="16">
        <f t="shared" si="1"/>
        <v>2.6079999999999997</v>
      </c>
      <c r="P31" s="4">
        <f t="shared" ca="1" si="2"/>
        <v>217</v>
      </c>
      <c r="Q31" s="4">
        <f t="shared" ca="1" si="0"/>
        <v>143</v>
      </c>
      <c r="R31" s="16">
        <f t="shared" ca="1" si="3"/>
        <v>4.3086388888888889</v>
      </c>
      <c r="S31" s="5">
        <f t="shared" ca="1" si="4"/>
        <v>0.65208546353101582</v>
      </c>
    </row>
    <row r="32" spans="1:19" x14ac:dyDescent="0.25">
      <c r="A32" t="s">
        <v>58</v>
      </c>
      <c r="B32" t="s">
        <v>59</v>
      </c>
      <c r="C32" s="14">
        <v>1.28</v>
      </c>
      <c r="D32" s="14">
        <v>1.22</v>
      </c>
      <c r="E32" s="15">
        <v>1.1200000000000001</v>
      </c>
      <c r="F32" s="15">
        <v>1.02</v>
      </c>
      <c r="G32" s="15">
        <v>0.94</v>
      </c>
      <c r="H32" s="15">
        <v>0.88</v>
      </c>
      <c r="I32" s="15">
        <v>0.82</v>
      </c>
      <c r="J32" s="15">
        <v>0.76</v>
      </c>
      <c r="K32" s="15">
        <v>0.68</v>
      </c>
      <c r="L32" s="15">
        <v>0.62</v>
      </c>
      <c r="M32" s="15">
        <v>0.56000000000000005</v>
      </c>
      <c r="N32" s="15">
        <v>0.5</v>
      </c>
      <c r="O32" s="16">
        <f t="shared" si="1"/>
        <v>0.79</v>
      </c>
      <c r="P32" s="4">
        <f t="shared" ca="1" si="2"/>
        <v>217</v>
      </c>
      <c r="Q32" s="4">
        <f t="shared" ca="1" si="0"/>
        <v>143</v>
      </c>
      <c r="R32" s="16">
        <f t="shared" ca="1" si="3"/>
        <v>1.2561666666666667</v>
      </c>
      <c r="S32" s="5">
        <f t="shared" ca="1" si="4"/>
        <v>0.5900843881856539</v>
      </c>
    </row>
    <row r="33" spans="1:19" x14ac:dyDescent="0.25">
      <c r="A33" t="s">
        <v>60</v>
      </c>
      <c r="B33" t="s">
        <v>61</v>
      </c>
      <c r="C33" s="14">
        <v>1.58</v>
      </c>
      <c r="D33" s="14">
        <v>1.46</v>
      </c>
      <c r="E33" s="15">
        <v>1.33</v>
      </c>
      <c r="F33" s="15">
        <v>1.22</v>
      </c>
      <c r="G33" s="15">
        <v>1.1399999999999999</v>
      </c>
      <c r="H33" s="15">
        <v>1.01</v>
      </c>
      <c r="I33" s="15">
        <v>0.86</v>
      </c>
      <c r="J33" s="15">
        <v>0.78</v>
      </c>
      <c r="K33" s="15">
        <v>0.7</v>
      </c>
      <c r="L33" s="15">
        <v>0.63</v>
      </c>
      <c r="M33" s="15">
        <v>0.56000000000000005</v>
      </c>
      <c r="N33" s="15">
        <v>0.48</v>
      </c>
      <c r="O33" s="16">
        <f t="shared" si="1"/>
        <v>0.87100000000000011</v>
      </c>
      <c r="P33" s="4">
        <f t="shared" ca="1" si="2"/>
        <v>217</v>
      </c>
      <c r="Q33" s="4">
        <f t="shared" ca="1" si="0"/>
        <v>143</v>
      </c>
      <c r="R33" s="16">
        <f t="shared" ca="1" si="3"/>
        <v>1.5323333333333333</v>
      </c>
      <c r="S33" s="5">
        <f t="shared" ca="1" si="4"/>
        <v>0.75928052047455008</v>
      </c>
    </row>
    <row r="34" spans="1:19" x14ac:dyDescent="0.25">
      <c r="A34" t="s">
        <v>62</v>
      </c>
      <c r="B34" t="s">
        <v>63</v>
      </c>
      <c r="C34" s="14">
        <v>1.51</v>
      </c>
      <c r="D34" s="14">
        <v>1.41</v>
      </c>
      <c r="E34" s="15">
        <v>1.28</v>
      </c>
      <c r="F34" s="15">
        <v>1.21</v>
      </c>
      <c r="G34" s="15">
        <v>0.9</v>
      </c>
      <c r="H34" s="15">
        <v>0.6</v>
      </c>
      <c r="I34" s="15">
        <v>0.6</v>
      </c>
      <c r="J34" s="15">
        <v>1.68</v>
      </c>
      <c r="K34" s="15">
        <v>1.59</v>
      </c>
      <c r="L34" s="15">
        <v>1.46</v>
      </c>
      <c r="M34" s="15">
        <v>1.34</v>
      </c>
      <c r="N34" s="15">
        <v>1.34</v>
      </c>
      <c r="O34" s="16">
        <f t="shared" si="1"/>
        <v>1.2</v>
      </c>
      <c r="P34" s="4">
        <f t="shared" ca="1" si="2"/>
        <v>217</v>
      </c>
      <c r="Q34" s="4">
        <f t="shared" ca="1" si="0"/>
        <v>143</v>
      </c>
      <c r="R34" s="16">
        <f t="shared" ca="1" si="3"/>
        <v>1.4702777777777776</v>
      </c>
      <c r="S34" s="5">
        <f t="shared" ca="1" si="4"/>
        <v>0.22523148148148131</v>
      </c>
    </row>
    <row r="35" spans="1:19" x14ac:dyDescent="0.25">
      <c r="A35" t="s">
        <v>64</v>
      </c>
      <c r="B35" t="s">
        <v>65</v>
      </c>
      <c r="C35" s="14">
        <v>2.87</v>
      </c>
      <c r="D35" s="14">
        <v>2.68</v>
      </c>
      <c r="E35" s="15">
        <v>2.46</v>
      </c>
      <c r="F35" s="15">
        <v>2.1800000000000002</v>
      </c>
      <c r="G35" s="15">
        <v>1.85</v>
      </c>
      <c r="H35" s="15">
        <v>1.74</v>
      </c>
      <c r="I35" s="15">
        <v>1.66</v>
      </c>
      <c r="J35" s="15">
        <v>1.55</v>
      </c>
      <c r="K35" s="15">
        <v>1.37</v>
      </c>
      <c r="L35" s="15">
        <v>1.28</v>
      </c>
      <c r="M35" s="15">
        <v>1.1399999999999999</v>
      </c>
      <c r="N35" s="15">
        <v>1.06</v>
      </c>
      <c r="O35" s="16">
        <f t="shared" si="1"/>
        <v>1.6290000000000002</v>
      </c>
      <c r="P35" s="4">
        <f t="shared" ca="1" si="2"/>
        <v>217</v>
      </c>
      <c r="Q35" s="4">
        <f t="shared" ca="1" si="0"/>
        <v>143</v>
      </c>
      <c r="R35" s="16">
        <f t="shared" ca="1" si="3"/>
        <v>2.7945277777777777</v>
      </c>
      <c r="S35" s="5">
        <f t="shared" ca="1" si="4"/>
        <v>0.71548666530250293</v>
      </c>
    </row>
    <row r="36" spans="1:19" x14ac:dyDescent="0.25">
      <c r="A36" t="s">
        <v>66</v>
      </c>
      <c r="B36" t="s">
        <v>67</v>
      </c>
      <c r="C36" s="14">
        <v>0.86</v>
      </c>
      <c r="D36" s="14">
        <v>0.89</v>
      </c>
      <c r="E36" s="15">
        <v>0.79</v>
      </c>
      <c r="F36" s="15">
        <v>0.7</v>
      </c>
      <c r="G36" s="15">
        <v>0.61</v>
      </c>
      <c r="H36" s="15">
        <v>0.46</v>
      </c>
      <c r="I36" s="15">
        <v>0.61</v>
      </c>
      <c r="J36" s="15">
        <v>1.24</v>
      </c>
      <c r="K36" s="15">
        <v>1.1499999999999999</v>
      </c>
      <c r="L36" s="15">
        <v>1.03</v>
      </c>
      <c r="M36" s="15">
        <v>0.91</v>
      </c>
      <c r="N36" s="15">
        <v>0.82</v>
      </c>
      <c r="O36" s="16">
        <f t="shared" si="1"/>
        <v>0.83200000000000007</v>
      </c>
      <c r="P36" s="4">
        <f t="shared" ca="1" si="2"/>
        <v>217</v>
      </c>
      <c r="Q36" s="4">
        <f t="shared" ref="Q36:Q68" ca="1" si="5">DAYS360(TODAY(),CONCATENATE("31.12.",Q$2))</f>
        <v>143</v>
      </c>
      <c r="R36" s="16">
        <f t="shared" ca="1" si="3"/>
        <v>0.87191666666666667</v>
      </c>
      <c r="S36" s="5">
        <f t="shared" ca="1" si="4"/>
        <v>4.7976762820512775E-2</v>
      </c>
    </row>
    <row r="37" spans="1:19" x14ac:dyDescent="0.25">
      <c r="A37" t="s">
        <v>68</v>
      </c>
      <c r="B37" t="s">
        <v>69</v>
      </c>
      <c r="C37" s="14">
        <v>2.39</v>
      </c>
      <c r="D37" s="14">
        <v>2.2400000000000002</v>
      </c>
      <c r="E37" s="15">
        <v>2.0499999999999998</v>
      </c>
      <c r="F37" s="15">
        <v>1.77</v>
      </c>
      <c r="G37" s="15">
        <v>1.4</v>
      </c>
      <c r="H37" s="15">
        <v>1.4</v>
      </c>
      <c r="I37" s="15">
        <v>1.05</v>
      </c>
      <c r="J37" s="15">
        <v>1.4</v>
      </c>
      <c r="K37" s="15">
        <v>1.4</v>
      </c>
      <c r="L37" s="15">
        <v>1.3</v>
      </c>
      <c r="M37" s="15">
        <v>1</v>
      </c>
      <c r="N37" s="15">
        <v>1</v>
      </c>
      <c r="O37" s="16">
        <f t="shared" si="1"/>
        <v>1.377</v>
      </c>
      <c r="P37" s="4">
        <f t="shared" ca="1" si="2"/>
        <v>217</v>
      </c>
      <c r="Q37" s="4">
        <f t="shared" ca="1" si="5"/>
        <v>143</v>
      </c>
      <c r="R37" s="16">
        <f t="shared" ca="1" si="3"/>
        <v>2.3304166666666668</v>
      </c>
      <c r="S37" s="5">
        <f t="shared" ca="1" si="4"/>
        <v>0.6923868312757202</v>
      </c>
    </row>
    <row r="38" spans="1:19" x14ac:dyDescent="0.25">
      <c r="A38" t="s">
        <v>70</v>
      </c>
      <c r="B38" t="s">
        <v>71</v>
      </c>
      <c r="C38" s="14">
        <v>4.59</v>
      </c>
      <c r="D38" s="14">
        <v>4.18</v>
      </c>
      <c r="E38" s="15">
        <v>3.7</v>
      </c>
      <c r="F38" s="15">
        <v>3.3</v>
      </c>
      <c r="G38" s="15">
        <v>2.9</v>
      </c>
      <c r="H38" s="15">
        <v>2.5</v>
      </c>
      <c r="I38" s="15">
        <v>2.15</v>
      </c>
      <c r="J38" s="15">
        <v>1.9</v>
      </c>
      <c r="K38" s="15">
        <v>1.5</v>
      </c>
      <c r="L38" s="15">
        <v>1.1000000000000001</v>
      </c>
      <c r="M38" s="15">
        <v>0.78</v>
      </c>
      <c r="N38" s="15">
        <v>0.7</v>
      </c>
      <c r="O38" s="16">
        <f t="shared" si="1"/>
        <v>2.0529999999999999</v>
      </c>
      <c r="P38" s="4">
        <f t="shared" ca="1" si="2"/>
        <v>217</v>
      </c>
      <c r="Q38" s="4">
        <f t="shared" ca="1" si="5"/>
        <v>143</v>
      </c>
      <c r="R38" s="16">
        <f t="shared" ca="1" si="3"/>
        <v>4.427138888888889</v>
      </c>
      <c r="S38" s="5">
        <f t="shared" ca="1" si="4"/>
        <v>1.1564242030632679</v>
      </c>
    </row>
    <row r="39" spans="1:19" x14ac:dyDescent="0.25">
      <c r="A39" t="s">
        <v>72</v>
      </c>
      <c r="B39" t="s">
        <v>73</v>
      </c>
      <c r="C39" s="14">
        <v>1.7</v>
      </c>
      <c r="D39" s="14">
        <v>1.57</v>
      </c>
      <c r="E39" s="15">
        <v>1.44</v>
      </c>
      <c r="F39" s="15">
        <v>1.2</v>
      </c>
      <c r="G39" s="15">
        <v>1</v>
      </c>
      <c r="H39" s="15">
        <v>0.2</v>
      </c>
      <c r="I39" s="15">
        <v>0.2</v>
      </c>
      <c r="J39" s="15">
        <v>1.52</v>
      </c>
      <c r="K39" s="15">
        <v>1.48</v>
      </c>
      <c r="L39" s="15">
        <v>1.36</v>
      </c>
      <c r="M39" s="15">
        <v>1.36</v>
      </c>
      <c r="N39" s="15">
        <v>1.36</v>
      </c>
      <c r="O39" s="16">
        <f t="shared" si="1"/>
        <v>1.1119999999999999</v>
      </c>
      <c r="P39" s="4">
        <f t="shared" ca="1" si="2"/>
        <v>217</v>
      </c>
      <c r="Q39" s="4">
        <f t="shared" ca="1" si="5"/>
        <v>143</v>
      </c>
      <c r="R39" s="16">
        <f t="shared" ca="1" si="3"/>
        <v>1.6483611111111114</v>
      </c>
      <c r="S39" s="5">
        <f t="shared" ca="1" si="4"/>
        <v>0.48233912869704287</v>
      </c>
    </row>
    <row r="40" spans="1:19" x14ac:dyDescent="0.25">
      <c r="A40" t="s">
        <v>74</v>
      </c>
      <c r="B40" t="s">
        <v>75</v>
      </c>
      <c r="C40" s="14">
        <v>2.86</v>
      </c>
      <c r="D40" s="14">
        <v>2.69</v>
      </c>
      <c r="E40" s="15">
        <v>2.59</v>
      </c>
      <c r="F40" s="15">
        <v>2.4</v>
      </c>
      <c r="G40" s="15">
        <v>2.25</v>
      </c>
      <c r="H40" s="15">
        <v>2.11</v>
      </c>
      <c r="I40" s="15">
        <v>1.93</v>
      </c>
      <c r="J40" s="15">
        <v>1.79</v>
      </c>
      <c r="K40" s="15">
        <v>1.62</v>
      </c>
      <c r="L40" s="15">
        <v>1.46</v>
      </c>
      <c r="M40" s="15">
        <v>1.27</v>
      </c>
      <c r="N40" s="15">
        <v>1.0900000000000001</v>
      </c>
      <c r="O40" s="16">
        <f t="shared" si="1"/>
        <v>1.8510000000000002</v>
      </c>
      <c r="P40" s="4">
        <f t="shared" ca="1" si="2"/>
        <v>217</v>
      </c>
      <c r="Q40" s="4">
        <f t="shared" ca="1" si="5"/>
        <v>143</v>
      </c>
      <c r="R40" s="16">
        <f t="shared" ca="1" si="3"/>
        <v>2.792472222222222</v>
      </c>
      <c r="S40" s="5">
        <f t="shared" ca="1" si="4"/>
        <v>0.50862896932588963</v>
      </c>
    </row>
    <row r="41" spans="1:19" x14ac:dyDescent="0.25">
      <c r="A41" t="s">
        <v>76</v>
      </c>
      <c r="B41" t="s">
        <v>77</v>
      </c>
      <c r="C41" s="14">
        <v>2.25</v>
      </c>
      <c r="D41" s="14">
        <v>2.13</v>
      </c>
      <c r="E41" s="15">
        <v>2.0499999999999998</v>
      </c>
      <c r="F41" s="15">
        <v>0.5</v>
      </c>
      <c r="G41" s="15">
        <v>0</v>
      </c>
      <c r="H41" s="15">
        <v>0</v>
      </c>
      <c r="I41" s="15"/>
      <c r="J41" s="15"/>
      <c r="K41" s="15"/>
      <c r="L41" s="15"/>
      <c r="M41" s="15"/>
      <c r="N41" s="15"/>
      <c r="O41" s="16">
        <f t="shared" si="1"/>
        <v>0.63749999999999996</v>
      </c>
      <c r="P41" s="4">
        <f t="shared" ca="1" si="2"/>
        <v>217</v>
      </c>
      <c r="Q41" s="4">
        <f t="shared" ca="1" si="5"/>
        <v>143</v>
      </c>
      <c r="R41" s="16">
        <f t="shared" ca="1" si="3"/>
        <v>2.2023333333333337</v>
      </c>
      <c r="S41" s="5">
        <f t="shared" ca="1" si="4"/>
        <v>2.4546405228758177</v>
      </c>
    </row>
    <row r="42" spans="1:19" x14ac:dyDescent="0.25">
      <c r="A42" t="s">
        <v>78</v>
      </c>
      <c r="B42" t="s">
        <v>79</v>
      </c>
      <c r="C42" s="14">
        <v>3.55</v>
      </c>
      <c r="D42" s="14">
        <v>3.3</v>
      </c>
      <c r="E42" s="15">
        <v>3.12</v>
      </c>
      <c r="F42" s="15">
        <v>2.87</v>
      </c>
      <c r="G42" s="15">
        <v>2.5299999999999998</v>
      </c>
      <c r="H42" s="15">
        <v>2.2599999999999998</v>
      </c>
      <c r="I42" s="15">
        <v>2.0499999999999998</v>
      </c>
      <c r="J42" s="15">
        <v>1.63</v>
      </c>
      <c r="K42" s="15">
        <v>1.5</v>
      </c>
      <c r="L42" s="15">
        <v>1</v>
      </c>
      <c r="M42" s="15">
        <v>0.67</v>
      </c>
      <c r="N42" s="15">
        <v>0.55000000000000004</v>
      </c>
      <c r="O42" s="16">
        <f t="shared" si="1"/>
        <v>1.8180000000000001</v>
      </c>
      <c r="P42" s="4">
        <f t="shared" ca="1" si="2"/>
        <v>217</v>
      </c>
      <c r="Q42" s="4">
        <f t="shared" ca="1" si="5"/>
        <v>143</v>
      </c>
      <c r="R42" s="16">
        <f t="shared" ca="1" si="3"/>
        <v>3.4506944444444443</v>
      </c>
      <c r="S42" s="5">
        <f t="shared" ca="1" si="4"/>
        <v>0.89807175161960617</v>
      </c>
    </row>
    <row r="43" spans="1:19" x14ac:dyDescent="0.25">
      <c r="A43" t="s">
        <v>80</v>
      </c>
      <c r="B43" t="s">
        <v>81</v>
      </c>
      <c r="C43" s="14">
        <v>1.8</v>
      </c>
      <c r="D43" s="14">
        <v>1.75</v>
      </c>
      <c r="E43" s="15">
        <v>1.73</v>
      </c>
      <c r="F43" s="15">
        <v>1.68</v>
      </c>
      <c r="G43" s="15">
        <v>1.52</v>
      </c>
      <c r="H43" s="15">
        <v>1.52</v>
      </c>
      <c r="I43" s="15">
        <v>1.52</v>
      </c>
      <c r="J43" s="15">
        <v>1.52</v>
      </c>
      <c r="K43" s="15">
        <v>1.52</v>
      </c>
      <c r="L43" s="15">
        <v>1.52</v>
      </c>
      <c r="M43" s="15">
        <v>1.52</v>
      </c>
      <c r="N43" s="15">
        <v>1.49</v>
      </c>
      <c r="O43" s="16">
        <f t="shared" si="1"/>
        <v>1.5539999999999998</v>
      </c>
      <c r="P43" s="4">
        <f t="shared" ca="1" si="2"/>
        <v>217</v>
      </c>
      <c r="Q43" s="4">
        <f t="shared" ca="1" si="5"/>
        <v>143</v>
      </c>
      <c r="R43" s="16">
        <f t="shared" ca="1" si="3"/>
        <v>1.7801388888888887</v>
      </c>
      <c r="S43" s="5">
        <f t="shared" ca="1" si="4"/>
        <v>0.14552052052052056</v>
      </c>
    </row>
    <row r="44" spans="1:19" x14ac:dyDescent="0.25">
      <c r="A44" t="s">
        <v>82</v>
      </c>
      <c r="B44" t="s">
        <v>83</v>
      </c>
      <c r="C44" s="14">
        <v>1.08</v>
      </c>
      <c r="D44" s="14">
        <v>1.05</v>
      </c>
      <c r="E44" s="15">
        <v>0.92</v>
      </c>
      <c r="F44" s="15">
        <v>0.8</v>
      </c>
      <c r="G44" s="15">
        <v>0.64</v>
      </c>
      <c r="H44" s="15">
        <v>0.52</v>
      </c>
      <c r="I44" s="15">
        <v>0.52</v>
      </c>
      <c r="J44" s="15">
        <v>0.44</v>
      </c>
      <c r="K44" s="15">
        <v>0.4</v>
      </c>
      <c r="L44" s="15">
        <v>0.35</v>
      </c>
      <c r="M44" s="15">
        <v>3.4</v>
      </c>
      <c r="N44" s="15">
        <v>0.16</v>
      </c>
      <c r="O44" s="16">
        <f t="shared" si="1"/>
        <v>0.81500000000000006</v>
      </c>
      <c r="P44" s="4">
        <f t="shared" ca="1" si="2"/>
        <v>217</v>
      </c>
      <c r="Q44" s="4">
        <f t="shared" ca="1" si="5"/>
        <v>143</v>
      </c>
      <c r="R44" s="16">
        <f t="shared" ca="1" si="3"/>
        <v>1.0680833333333335</v>
      </c>
      <c r="S44" s="5">
        <f t="shared" ca="1" si="4"/>
        <v>0.31053169734151331</v>
      </c>
    </row>
    <row r="45" spans="1:19" x14ac:dyDescent="0.25">
      <c r="A45" t="s">
        <v>84</v>
      </c>
      <c r="B45" t="s">
        <v>85</v>
      </c>
      <c r="C45" s="14">
        <v>0.63</v>
      </c>
      <c r="D45" s="14">
        <v>0.57999999999999996</v>
      </c>
      <c r="E45" s="15">
        <v>0.54</v>
      </c>
      <c r="F45" s="15">
        <v>1</v>
      </c>
      <c r="G45" s="15">
        <v>1.1599999999999999</v>
      </c>
      <c r="H45" s="15">
        <v>1.1599999999999999</v>
      </c>
      <c r="I45" s="15">
        <v>1.1599999999999999</v>
      </c>
      <c r="J45" s="15">
        <v>1.1200000000000001</v>
      </c>
      <c r="K45" s="15">
        <v>1.04</v>
      </c>
      <c r="L45" s="15">
        <v>0.96</v>
      </c>
      <c r="M45" s="15">
        <v>0.87</v>
      </c>
      <c r="N45" s="15"/>
      <c r="O45" s="16">
        <f t="shared" si="1"/>
        <v>1.0011111111111111</v>
      </c>
      <c r="P45" s="4">
        <f t="shared" ca="1" si="2"/>
        <v>217</v>
      </c>
      <c r="Q45" s="4">
        <f t="shared" ca="1" si="5"/>
        <v>143</v>
      </c>
      <c r="R45" s="16">
        <f t="shared" ca="1" si="3"/>
        <v>0.6101388888888889</v>
      </c>
      <c r="S45" s="5">
        <f t="shared" ca="1" si="4"/>
        <v>-0.39053829078801328</v>
      </c>
    </row>
    <row r="46" spans="1:19" x14ac:dyDescent="0.25">
      <c r="A46" t="s">
        <v>86</v>
      </c>
      <c r="B46" t="s">
        <v>87</v>
      </c>
      <c r="C46" s="14">
        <v>1.88</v>
      </c>
      <c r="D46" s="14">
        <v>1.7</v>
      </c>
      <c r="E46" s="15">
        <v>1.56</v>
      </c>
      <c r="F46" s="15">
        <v>1.28</v>
      </c>
      <c r="G46" s="15">
        <v>1.1399999999999999</v>
      </c>
      <c r="H46" s="15">
        <v>1.08</v>
      </c>
      <c r="I46" s="15">
        <v>1.04</v>
      </c>
      <c r="J46" s="15">
        <v>0.83</v>
      </c>
      <c r="K46" s="15">
        <v>0.55000000000000004</v>
      </c>
      <c r="L46" s="15">
        <v>0.4</v>
      </c>
      <c r="M46" s="15">
        <v>0.34</v>
      </c>
      <c r="N46" s="15">
        <v>0.34</v>
      </c>
      <c r="O46" s="16">
        <f t="shared" si="1"/>
        <v>0.85600000000000009</v>
      </c>
      <c r="P46" s="4">
        <f t="shared" ca="1" si="2"/>
        <v>217</v>
      </c>
      <c r="Q46" s="4">
        <f t="shared" ca="1" si="5"/>
        <v>143</v>
      </c>
      <c r="R46" s="16">
        <f t="shared" ca="1" si="3"/>
        <v>1.8085</v>
      </c>
      <c r="S46" s="5">
        <f t="shared" ca="1" si="4"/>
        <v>1.1127336448598126</v>
      </c>
    </row>
    <row r="47" spans="1:19" x14ac:dyDescent="0.25">
      <c r="A47" t="s">
        <v>88</v>
      </c>
      <c r="B47" t="s">
        <v>89</v>
      </c>
      <c r="C47" s="14">
        <v>0.46</v>
      </c>
      <c r="D47" s="14">
        <v>0.48</v>
      </c>
      <c r="E47" s="15">
        <v>0.3</v>
      </c>
      <c r="F47" s="15">
        <v>0.24</v>
      </c>
      <c r="G47" s="15">
        <v>0.21</v>
      </c>
      <c r="H47" s="15">
        <v>0.2</v>
      </c>
      <c r="I47" s="15">
        <v>0.05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6">
        <f t="shared" si="1"/>
        <v>0.1</v>
      </c>
      <c r="P47" s="4">
        <f t="shared" ca="1" si="2"/>
        <v>217</v>
      </c>
      <c r="Q47" s="4">
        <f t="shared" ca="1" si="5"/>
        <v>143</v>
      </c>
      <c r="R47" s="16">
        <f t="shared" ca="1" si="3"/>
        <v>0.46794444444444444</v>
      </c>
      <c r="S47" s="5">
        <f t="shared" ca="1" si="4"/>
        <v>3.6794444444444441</v>
      </c>
    </row>
    <row r="48" spans="1:19" x14ac:dyDescent="0.25">
      <c r="A48" t="s">
        <v>90</v>
      </c>
      <c r="B48" t="s">
        <v>91</v>
      </c>
      <c r="C48" s="14">
        <v>2.73</v>
      </c>
      <c r="D48" s="14">
        <v>2.5099999999999998</v>
      </c>
      <c r="E48" s="15">
        <v>2.2400000000000002</v>
      </c>
      <c r="F48" s="15">
        <v>2.13</v>
      </c>
      <c r="G48" s="15">
        <v>2.0299999999999998</v>
      </c>
      <c r="H48" s="15">
        <v>1.89</v>
      </c>
      <c r="I48" s="15">
        <v>1.78</v>
      </c>
      <c r="J48" s="15">
        <v>1.65</v>
      </c>
      <c r="K48" s="15">
        <v>1.43</v>
      </c>
      <c r="L48" s="15">
        <v>1.1599999999999999</v>
      </c>
      <c r="M48" s="15">
        <v>1.01</v>
      </c>
      <c r="N48" s="15">
        <v>0.85</v>
      </c>
      <c r="O48" s="16">
        <f t="shared" si="1"/>
        <v>1.6170000000000002</v>
      </c>
      <c r="P48" s="4">
        <f t="shared" ca="1" si="2"/>
        <v>217</v>
      </c>
      <c r="Q48" s="4">
        <f t="shared" ca="1" si="5"/>
        <v>143</v>
      </c>
      <c r="R48" s="16">
        <f t="shared" ca="1" si="3"/>
        <v>2.642611111111111</v>
      </c>
      <c r="S48" s="5">
        <f t="shared" ca="1" si="4"/>
        <v>0.63426784855356266</v>
      </c>
    </row>
    <row r="49" spans="1:19" x14ac:dyDescent="0.25">
      <c r="A49" t="s">
        <v>92</v>
      </c>
      <c r="B49" t="s">
        <v>93</v>
      </c>
      <c r="C49" s="14">
        <v>1.07</v>
      </c>
      <c r="D49" s="14">
        <v>1.03</v>
      </c>
      <c r="E49" s="15">
        <v>0.96</v>
      </c>
      <c r="F49" s="15">
        <v>0.88</v>
      </c>
      <c r="G49" s="15">
        <v>0.8</v>
      </c>
      <c r="H49" s="15">
        <v>0.72</v>
      </c>
      <c r="I49" s="15">
        <v>0.8</v>
      </c>
      <c r="J49" s="15">
        <v>1.28</v>
      </c>
      <c r="K49" s="15">
        <v>1.1599999999999999</v>
      </c>
      <c r="L49" s="15">
        <v>0.96</v>
      </c>
      <c r="M49" s="15">
        <v>0.76</v>
      </c>
      <c r="N49" s="15">
        <v>0.68</v>
      </c>
      <c r="O49" s="16">
        <f t="shared" si="1"/>
        <v>0.9</v>
      </c>
      <c r="P49" s="4">
        <f t="shared" ca="1" si="2"/>
        <v>217</v>
      </c>
      <c r="Q49" s="4">
        <f t="shared" ca="1" si="5"/>
        <v>143</v>
      </c>
      <c r="R49" s="16">
        <f t="shared" ca="1" si="3"/>
        <v>1.0541111111111112</v>
      </c>
      <c r="S49" s="5">
        <f t="shared" ca="1" si="4"/>
        <v>0.17123456790123459</v>
      </c>
    </row>
    <row r="50" spans="1:19" x14ac:dyDescent="0.25">
      <c r="A50" t="s">
        <v>94</v>
      </c>
      <c r="B50" t="s">
        <v>95</v>
      </c>
      <c r="C50" s="14">
        <v>4.04</v>
      </c>
      <c r="D50" s="14">
        <v>3.79</v>
      </c>
      <c r="E50" s="15">
        <v>3.76</v>
      </c>
      <c r="F50" s="15">
        <v>3.24</v>
      </c>
      <c r="G50" s="15">
        <v>2.82</v>
      </c>
      <c r="H50" s="15">
        <v>2.44</v>
      </c>
      <c r="I50" s="15">
        <v>2.2400000000000002</v>
      </c>
      <c r="J50" s="15">
        <v>1.54</v>
      </c>
      <c r="K50" s="15"/>
      <c r="L50" s="15"/>
      <c r="M50" s="15"/>
      <c r="N50" s="15"/>
      <c r="O50" s="16">
        <f t="shared" si="1"/>
        <v>2.6733333333333333</v>
      </c>
      <c r="P50" s="4">
        <f t="shared" ca="1" si="2"/>
        <v>217</v>
      </c>
      <c r="Q50" s="4">
        <f t="shared" ca="1" si="5"/>
        <v>143</v>
      </c>
      <c r="R50" s="16">
        <f t="shared" ca="1" si="3"/>
        <v>3.9406944444444445</v>
      </c>
      <c r="S50" s="5">
        <f t="shared" ca="1" si="4"/>
        <v>0.47407522859517881</v>
      </c>
    </row>
    <row r="51" spans="1:19" x14ac:dyDescent="0.25">
      <c r="A51" t="s">
        <v>96</v>
      </c>
      <c r="B51" t="s">
        <v>97</v>
      </c>
      <c r="C51" s="14">
        <v>2.63</v>
      </c>
      <c r="D51" s="14">
        <v>2.46</v>
      </c>
      <c r="E51" s="15">
        <v>2.29</v>
      </c>
      <c r="F51" s="15">
        <v>2.14</v>
      </c>
      <c r="G51" s="15">
        <v>1.97</v>
      </c>
      <c r="H51" s="15">
        <v>1.8</v>
      </c>
      <c r="I51" s="15">
        <v>1.64</v>
      </c>
      <c r="J51" s="15">
        <v>1.45</v>
      </c>
      <c r="K51" s="15">
        <v>1.28</v>
      </c>
      <c r="L51" s="15">
        <v>1.1499999999999999</v>
      </c>
      <c r="M51" s="15">
        <v>1.03</v>
      </c>
      <c r="N51" s="15">
        <v>0.93</v>
      </c>
      <c r="O51" s="16">
        <f t="shared" si="1"/>
        <v>1.5679999999999998</v>
      </c>
      <c r="P51" s="4">
        <f t="shared" ca="1" si="2"/>
        <v>217</v>
      </c>
      <c r="Q51" s="4">
        <f t="shared" ca="1" si="5"/>
        <v>143</v>
      </c>
      <c r="R51" s="16">
        <f t="shared" ca="1" si="3"/>
        <v>2.5624722222222225</v>
      </c>
      <c r="S51" s="5">
        <f t="shared" ca="1" si="4"/>
        <v>0.63422973356009105</v>
      </c>
    </row>
    <row r="52" spans="1:19" x14ac:dyDescent="0.25">
      <c r="A52" t="s">
        <v>98</v>
      </c>
      <c r="B52" t="s">
        <v>99</v>
      </c>
      <c r="C52" s="14">
        <v>2.21</v>
      </c>
      <c r="D52" s="14">
        <v>2.12</v>
      </c>
      <c r="E52" s="15">
        <v>2.09</v>
      </c>
      <c r="F52" s="15">
        <v>2.0299999999999998</v>
      </c>
      <c r="G52" s="15">
        <v>1.98</v>
      </c>
      <c r="H52" s="15">
        <v>1.93</v>
      </c>
      <c r="I52" s="15">
        <v>1.87</v>
      </c>
      <c r="J52" s="15">
        <v>1.78</v>
      </c>
      <c r="K52" s="15">
        <v>1.67</v>
      </c>
      <c r="L52" s="15">
        <v>1.62</v>
      </c>
      <c r="M52" s="15">
        <v>1.62</v>
      </c>
      <c r="N52" s="15">
        <v>1.54</v>
      </c>
      <c r="O52" s="16">
        <f t="shared" si="1"/>
        <v>1.8129999999999999</v>
      </c>
      <c r="P52" s="4">
        <f t="shared" ca="1" si="2"/>
        <v>217</v>
      </c>
      <c r="Q52" s="4">
        <f t="shared" ca="1" si="5"/>
        <v>143</v>
      </c>
      <c r="R52" s="16">
        <f t="shared" ca="1" si="3"/>
        <v>2.1742500000000002</v>
      </c>
      <c r="S52" s="5">
        <f t="shared" ca="1" si="4"/>
        <v>0.19925537782680647</v>
      </c>
    </row>
    <row r="53" spans="1:19" x14ac:dyDescent="0.25">
      <c r="A53" t="s">
        <v>100</v>
      </c>
      <c r="B53" t="s">
        <v>101</v>
      </c>
      <c r="C53" s="14">
        <v>1.93</v>
      </c>
      <c r="D53" s="14">
        <v>1.88</v>
      </c>
      <c r="E53" s="15">
        <v>1.59</v>
      </c>
      <c r="F53" s="15">
        <v>1.46</v>
      </c>
      <c r="G53" s="15">
        <v>1.21</v>
      </c>
      <c r="H53" s="15">
        <v>1.0900000000000001</v>
      </c>
      <c r="I53" s="15">
        <v>0.95</v>
      </c>
      <c r="J53" s="15">
        <v>0.88</v>
      </c>
      <c r="K53" s="15">
        <v>0.67</v>
      </c>
      <c r="L53" s="15">
        <v>0.6</v>
      </c>
      <c r="M53" s="15">
        <v>0.52</v>
      </c>
      <c r="N53" s="15">
        <v>0.36</v>
      </c>
      <c r="O53" s="16">
        <f t="shared" si="1"/>
        <v>0.93299999999999983</v>
      </c>
      <c r="P53" s="4">
        <f t="shared" ca="1" si="2"/>
        <v>217</v>
      </c>
      <c r="Q53" s="4">
        <f t="shared" ca="1" si="5"/>
        <v>143</v>
      </c>
      <c r="R53" s="16">
        <f t="shared" ca="1" si="3"/>
        <v>1.9101388888888888</v>
      </c>
      <c r="S53" s="5">
        <f t="shared" ca="1" si="4"/>
        <v>1.047308562581875</v>
      </c>
    </row>
    <row r="54" spans="1:19" x14ac:dyDescent="0.25">
      <c r="A54" t="s">
        <v>102</v>
      </c>
      <c r="B54" t="s">
        <v>103</v>
      </c>
      <c r="C54" s="14">
        <v>3.52</v>
      </c>
      <c r="D54" s="14">
        <v>3.07</v>
      </c>
      <c r="E54" s="15">
        <v>2.0499999999999998</v>
      </c>
      <c r="F54" s="15">
        <v>2.23</v>
      </c>
      <c r="G54" s="15">
        <v>1.55</v>
      </c>
      <c r="H54" s="15">
        <v>1.07</v>
      </c>
      <c r="I54" s="15">
        <v>0.55000000000000004</v>
      </c>
      <c r="J54" s="15">
        <v>0.35</v>
      </c>
      <c r="K54" s="15"/>
      <c r="L54" s="15"/>
      <c r="M54" s="15"/>
      <c r="N54" s="15"/>
      <c r="O54" s="16">
        <f t="shared" si="1"/>
        <v>1.2999999999999998</v>
      </c>
      <c r="P54" s="4">
        <f t="shared" ca="1" si="2"/>
        <v>217</v>
      </c>
      <c r="Q54" s="4">
        <f t="shared" ca="1" si="5"/>
        <v>143</v>
      </c>
      <c r="R54" s="16">
        <f t="shared" ca="1" si="3"/>
        <v>3.3412499999999996</v>
      </c>
      <c r="S54" s="5">
        <f t="shared" ca="1" si="4"/>
        <v>1.5701923076923077</v>
      </c>
    </row>
    <row r="55" spans="1:19" x14ac:dyDescent="0.25">
      <c r="A55" t="s">
        <v>104</v>
      </c>
      <c r="B55" t="s">
        <v>105</v>
      </c>
      <c r="C55" s="14">
        <v>811</v>
      </c>
      <c r="D55" s="14">
        <v>730</v>
      </c>
      <c r="E55" s="15">
        <v>650</v>
      </c>
      <c r="F55" s="15">
        <v>575</v>
      </c>
      <c r="G55" s="15">
        <v>500</v>
      </c>
      <c r="H55" s="15">
        <v>450</v>
      </c>
      <c r="I55" s="15">
        <v>400</v>
      </c>
      <c r="J55" s="15">
        <v>360</v>
      </c>
      <c r="K55" s="15">
        <v>330</v>
      </c>
      <c r="L55" s="15">
        <v>275</v>
      </c>
      <c r="M55" s="15">
        <v>225</v>
      </c>
      <c r="N55" s="15">
        <v>180</v>
      </c>
      <c r="O55" s="16">
        <f t="shared" si="1"/>
        <v>394.5</v>
      </c>
      <c r="P55" s="4">
        <f t="shared" ca="1" si="2"/>
        <v>217</v>
      </c>
      <c r="Q55" s="4">
        <f t="shared" ca="1" si="5"/>
        <v>143</v>
      </c>
      <c r="R55" s="16">
        <f t="shared" ca="1" si="3"/>
        <v>778.82500000000005</v>
      </c>
      <c r="S55" s="5">
        <f t="shared" ca="1" si="4"/>
        <v>0.97420785804816235</v>
      </c>
    </row>
    <row r="56" spans="1:19" x14ac:dyDescent="0.25">
      <c r="A56" t="s">
        <v>106</v>
      </c>
      <c r="B56" t="s">
        <v>107</v>
      </c>
      <c r="C56" s="14">
        <v>12.7</v>
      </c>
      <c r="D56" s="14">
        <v>11.6</v>
      </c>
      <c r="E56" s="15">
        <v>11.21</v>
      </c>
      <c r="F56" s="15">
        <v>10.38</v>
      </c>
      <c r="G56" s="15">
        <v>8.82</v>
      </c>
      <c r="H56" s="15">
        <v>7.64</v>
      </c>
      <c r="I56" s="15">
        <v>5.61</v>
      </c>
      <c r="J56" s="15">
        <v>5.27</v>
      </c>
      <c r="K56" s="15">
        <v>4.76</v>
      </c>
      <c r="L56" s="15">
        <v>2.64</v>
      </c>
      <c r="M56" s="15">
        <v>0</v>
      </c>
      <c r="N56" s="15">
        <v>0</v>
      </c>
      <c r="O56" s="16">
        <f t="shared" si="1"/>
        <v>5.6330000000000009</v>
      </c>
      <c r="P56" s="4">
        <f t="shared" ca="1" si="2"/>
        <v>217</v>
      </c>
      <c r="Q56" s="4">
        <f t="shared" ca="1" si="5"/>
        <v>143</v>
      </c>
      <c r="R56" s="16">
        <f t="shared" ca="1" si="3"/>
        <v>12.263055555555555</v>
      </c>
      <c r="S56" s="5">
        <f t="shared" ca="1" si="4"/>
        <v>1.1770025839793279</v>
      </c>
    </row>
    <row r="57" spans="1:19" x14ac:dyDescent="0.25">
      <c r="A57" t="s">
        <v>108</v>
      </c>
      <c r="B57" t="s">
        <v>109</v>
      </c>
      <c r="C57" s="14">
        <v>1.44</v>
      </c>
      <c r="D57" s="14">
        <v>1.31</v>
      </c>
      <c r="E57" s="15">
        <v>1.22</v>
      </c>
      <c r="F57" s="15">
        <v>0.95</v>
      </c>
      <c r="G57" s="15">
        <v>0.8</v>
      </c>
      <c r="H57" s="15">
        <v>0.72</v>
      </c>
      <c r="I57" s="15">
        <v>0.53</v>
      </c>
      <c r="J57" s="15">
        <v>0.53</v>
      </c>
      <c r="K57" s="15">
        <v>0.53</v>
      </c>
      <c r="L57" s="15">
        <v>0.5</v>
      </c>
      <c r="M57" s="15">
        <v>0.45</v>
      </c>
      <c r="N57" s="15">
        <v>0.43</v>
      </c>
      <c r="O57" s="16">
        <f t="shared" si="1"/>
        <v>0.66600000000000004</v>
      </c>
      <c r="P57" s="4">
        <f t="shared" ca="1" si="2"/>
        <v>217</v>
      </c>
      <c r="Q57" s="4">
        <f t="shared" ca="1" si="5"/>
        <v>143</v>
      </c>
      <c r="R57" s="16">
        <f t="shared" ca="1" si="3"/>
        <v>1.3883611111111112</v>
      </c>
      <c r="S57" s="5">
        <f t="shared" ca="1" si="4"/>
        <v>1.0846262929596264</v>
      </c>
    </row>
    <row r="58" spans="1:19" x14ac:dyDescent="0.25">
      <c r="A58" t="s">
        <v>110</v>
      </c>
      <c r="B58" t="s">
        <v>111</v>
      </c>
      <c r="C58" s="14">
        <v>2.98</v>
      </c>
      <c r="D58" s="14">
        <v>2.69</v>
      </c>
      <c r="E58" s="15">
        <v>2.5</v>
      </c>
      <c r="F58" s="15">
        <v>2.2999999999999998</v>
      </c>
      <c r="G58" s="15">
        <v>2</v>
      </c>
      <c r="H58" s="15">
        <v>1.8</v>
      </c>
      <c r="I58" s="15">
        <v>1.5</v>
      </c>
      <c r="J58" s="15">
        <v>1.44</v>
      </c>
      <c r="K58" s="15">
        <v>1.38</v>
      </c>
      <c r="L58" s="15">
        <v>1.18</v>
      </c>
      <c r="M58" s="15">
        <v>1</v>
      </c>
      <c r="N58" s="15">
        <v>0.82</v>
      </c>
      <c r="O58" s="16">
        <f t="shared" si="1"/>
        <v>1.5919999999999999</v>
      </c>
      <c r="P58" s="4">
        <f t="shared" ca="1" si="2"/>
        <v>217</v>
      </c>
      <c r="Q58" s="4">
        <f t="shared" ca="1" si="5"/>
        <v>143</v>
      </c>
      <c r="R58" s="16">
        <f t="shared" ca="1" si="3"/>
        <v>2.8648055555555558</v>
      </c>
      <c r="S58" s="5">
        <f t="shared" ca="1" si="4"/>
        <v>0.79950097710776125</v>
      </c>
    </row>
    <row r="59" spans="1:19" x14ac:dyDescent="0.25">
      <c r="A59" t="s">
        <v>112</v>
      </c>
      <c r="B59" t="s">
        <v>113</v>
      </c>
      <c r="C59" s="14">
        <v>3.03</v>
      </c>
      <c r="D59" s="14">
        <v>2.85</v>
      </c>
      <c r="E59" s="15">
        <v>2.8</v>
      </c>
      <c r="F59" s="15">
        <v>2.77</v>
      </c>
      <c r="G59" s="15">
        <v>2.65</v>
      </c>
      <c r="H59" s="15">
        <v>2.5</v>
      </c>
      <c r="I59" s="15">
        <v>2.4</v>
      </c>
      <c r="J59" s="15">
        <v>2.2000000000000002</v>
      </c>
      <c r="K59" s="15">
        <v>2.0699999999999998</v>
      </c>
      <c r="L59" s="15">
        <v>1.75</v>
      </c>
      <c r="M59" s="15">
        <v>1.52</v>
      </c>
      <c r="N59" s="15">
        <v>1.2</v>
      </c>
      <c r="O59" s="16">
        <f t="shared" si="1"/>
        <v>2.1859999999999999</v>
      </c>
      <c r="P59" s="4">
        <f t="shared" ca="1" si="2"/>
        <v>217</v>
      </c>
      <c r="Q59" s="4">
        <f t="shared" ca="1" si="5"/>
        <v>143</v>
      </c>
      <c r="R59" s="16">
        <f t="shared" ca="1" si="3"/>
        <v>2.9584999999999999</v>
      </c>
      <c r="S59" s="5">
        <f t="shared" ca="1" si="4"/>
        <v>0.35338517840805128</v>
      </c>
    </row>
    <row r="60" spans="1:19" x14ac:dyDescent="0.25">
      <c r="A60" t="s">
        <v>114</v>
      </c>
      <c r="B60" t="s">
        <v>115</v>
      </c>
      <c r="C60" s="14">
        <v>0.55300000000000005</v>
      </c>
      <c r="D60" s="14">
        <v>0.50900000000000001</v>
      </c>
      <c r="E60" s="15">
        <v>0.47</v>
      </c>
      <c r="F60" s="15">
        <v>0.44</v>
      </c>
      <c r="G60" s="15">
        <v>0.4</v>
      </c>
      <c r="H60" s="15">
        <v>0.38</v>
      </c>
      <c r="I60" s="15">
        <v>0.36</v>
      </c>
      <c r="J60" s="15">
        <v>0.34</v>
      </c>
      <c r="K60" s="15">
        <v>0.33</v>
      </c>
      <c r="L60" s="15">
        <v>0.31</v>
      </c>
      <c r="M60" s="15">
        <v>0.3</v>
      </c>
      <c r="N60" s="15">
        <v>0.28000000000000003</v>
      </c>
      <c r="O60" s="16">
        <f t="shared" si="1"/>
        <v>0.36099999999999993</v>
      </c>
      <c r="P60" s="4">
        <f t="shared" ca="1" si="2"/>
        <v>217</v>
      </c>
      <c r="Q60" s="4">
        <f t="shared" ca="1" si="5"/>
        <v>143</v>
      </c>
      <c r="R60" s="16">
        <f t="shared" ca="1" si="3"/>
        <v>0.53552222222222223</v>
      </c>
      <c r="S60" s="5">
        <f t="shared" ca="1" si="4"/>
        <v>0.48344105878731947</v>
      </c>
    </row>
    <row r="61" spans="1:19" x14ac:dyDescent="0.25">
      <c r="A61" t="s">
        <v>116</v>
      </c>
      <c r="B61" t="s">
        <v>117</v>
      </c>
      <c r="C61" s="14">
        <v>1.1599999999999999</v>
      </c>
      <c r="D61" s="14">
        <v>1.05</v>
      </c>
      <c r="E61" s="15">
        <v>1.01</v>
      </c>
      <c r="F61" s="15">
        <v>0.91</v>
      </c>
      <c r="G61" s="15">
        <v>0.81</v>
      </c>
      <c r="H61" s="15">
        <v>0.68</v>
      </c>
      <c r="I61" s="15">
        <v>0.57999999999999996</v>
      </c>
      <c r="J61" s="15">
        <v>0.57999999999999996</v>
      </c>
      <c r="K61" s="15">
        <v>0.5</v>
      </c>
      <c r="L61" s="15"/>
      <c r="M61" s="15"/>
      <c r="N61" s="15"/>
      <c r="O61" s="16">
        <f t="shared" si="1"/>
        <v>0.72428571428571431</v>
      </c>
      <c r="P61" s="4">
        <f t="shared" ca="1" si="2"/>
        <v>217</v>
      </c>
      <c r="Q61" s="4">
        <f t="shared" ca="1" si="5"/>
        <v>143</v>
      </c>
      <c r="R61" s="16">
        <f t="shared" ca="1" si="3"/>
        <v>1.1163055555555554</v>
      </c>
      <c r="S61" s="5">
        <f t="shared" ca="1" si="4"/>
        <v>0.54125027394258152</v>
      </c>
    </row>
    <row r="62" spans="1:19" x14ac:dyDescent="0.25">
      <c r="A62" t="s">
        <v>118</v>
      </c>
      <c r="B62" t="s">
        <v>119</v>
      </c>
      <c r="C62" s="14">
        <v>0.82299999999999995</v>
      </c>
      <c r="D62" s="14">
        <v>0.79800000000000004</v>
      </c>
      <c r="E62" s="15">
        <v>0.78</v>
      </c>
      <c r="F62" s="15">
        <v>0.74</v>
      </c>
      <c r="G62" s="15">
        <v>0.7</v>
      </c>
      <c r="H62" s="15">
        <v>0.65</v>
      </c>
      <c r="I62" s="15">
        <v>0.61</v>
      </c>
      <c r="J62" s="15">
        <v>0.56999999999999995</v>
      </c>
      <c r="K62" s="15">
        <v>0.53</v>
      </c>
      <c r="L62" s="15">
        <v>0.48</v>
      </c>
      <c r="M62" s="15">
        <v>0.44</v>
      </c>
      <c r="N62" s="15">
        <v>0.42</v>
      </c>
      <c r="O62" s="16">
        <f t="shared" si="1"/>
        <v>0.59200000000000008</v>
      </c>
      <c r="P62" s="4">
        <f t="shared" ca="1" si="2"/>
        <v>217</v>
      </c>
      <c r="Q62" s="4">
        <f t="shared" ca="1" si="5"/>
        <v>143</v>
      </c>
      <c r="R62" s="16">
        <f t="shared" ca="1" si="3"/>
        <v>0.8130694444444444</v>
      </c>
      <c r="S62" s="5">
        <f t="shared" ca="1" si="4"/>
        <v>0.3734281156156154</v>
      </c>
    </row>
    <row r="63" spans="1:19" x14ac:dyDescent="0.25">
      <c r="A63" t="s">
        <v>120</v>
      </c>
      <c r="B63" t="s">
        <v>121</v>
      </c>
      <c r="C63" s="14">
        <v>1.44</v>
      </c>
      <c r="D63" s="14">
        <v>1.37</v>
      </c>
      <c r="E63" s="15">
        <v>1.37</v>
      </c>
      <c r="F63" s="15">
        <v>1.34</v>
      </c>
      <c r="G63" s="15">
        <v>1.25</v>
      </c>
      <c r="H63" s="15">
        <v>1.1499999999999999</v>
      </c>
      <c r="I63" s="15">
        <v>1</v>
      </c>
      <c r="J63" s="15">
        <v>0.62</v>
      </c>
      <c r="K63" s="15">
        <v>0.5</v>
      </c>
      <c r="L63" s="15"/>
      <c r="M63" s="15"/>
      <c r="N63" s="15"/>
      <c r="O63" s="16">
        <f t="shared" si="1"/>
        <v>1.0328571428571427</v>
      </c>
      <c r="P63" s="4">
        <f t="shared" ca="1" si="2"/>
        <v>217</v>
      </c>
      <c r="Q63" s="4">
        <f t="shared" ca="1" si="5"/>
        <v>143</v>
      </c>
      <c r="R63" s="16">
        <f t="shared" ca="1" si="3"/>
        <v>1.4121944444444445</v>
      </c>
      <c r="S63" s="5">
        <f t="shared" ca="1" si="4"/>
        <v>0.36726986322422039</v>
      </c>
    </row>
    <row r="64" spans="1:19" x14ac:dyDescent="0.25">
      <c r="A64" t="s">
        <v>122</v>
      </c>
      <c r="B64" t="s">
        <v>123</v>
      </c>
      <c r="C64" s="14">
        <v>2.16</v>
      </c>
      <c r="D64" s="14">
        <v>2.0099999999999998</v>
      </c>
      <c r="E64" s="15">
        <v>1.84</v>
      </c>
      <c r="F64" s="15">
        <v>1.7</v>
      </c>
      <c r="G64" s="15">
        <v>1.58</v>
      </c>
      <c r="H64" s="15">
        <v>1.46</v>
      </c>
      <c r="I64" s="15">
        <v>1.32</v>
      </c>
      <c r="J64" s="41">
        <v>1.04</v>
      </c>
      <c r="K64" s="41">
        <v>0.94199999999999995</v>
      </c>
      <c r="L64" s="41">
        <v>0.83499999999999996</v>
      </c>
      <c r="M64" s="41">
        <v>0.70899999999999996</v>
      </c>
      <c r="N64" s="41">
        <v>0.77300000000000002</v>
      </c>
      <c r="O64" s="16">
        <f t="shared" si="1"/>
        <v>1.2199000000000002</v>
      </c>
      <c r="P64" s="4">
        <f t="shared" ca="1" si="2"/>
        <v>217</v>
      </c>
      <c r="Q64" s="4">
        <f t="shared" ca="1" si="5"/>
        <v>143</v>
      </c>
      <c r="R64" s="16">
        <f t="shared" ca="1" si="3"/>
        <v>2.1004166666666668</v>
      </c>
      <c r="S64" s="5">
        <f t="shared" ca="1" si="4"/>
        <v>0.72179413613137666</v>
      </c>
    </row>
    <row r="65" spans="1:19" x14ac:dyDescent="0.25">
      <c r="A65" t="s">
        <v>124</v>
      </c>
      <c r="B65" t="s">
        <v>125</v>
      </c>
      <c r="C65" s="14">
        <v>0.62</v>
      </c>
      <c r="D65" s="14">
        <v>0.51</v>
      </c>
      <c r="E65" s="15">
        <v>0.2</v>
      </c>
      <c r="F65" s="15">
        <v>0</v>
      </c>
      <c r="G65" s="15">
        <v>0</v>
      </c>
      <c r="H65" s="15">
        <v>0</v>
      </c>
      <c r="I65" s="15">
        <v>0</v>
      </c>
      <c r="J65" s="15">
        <v>8.4</v>
      </c>
      <c r="K65" s="15">
        <v>15.4</v>
      </c>
      <c r="L65" s="15">
        <v>13</v>
      </c>
      <c r="M65" s="15">
        <v>12.6</v>
      </c>
      <c r="N65" s="15">
        <v>5.6</v>
      </c>
      <c r="O65" s="16">
        <f t="shared" si="1"/>
        <v>5.5200000000000005</v>
      </c>
      <c r="P65" s="4">
        <f t="shared" ca="1" si="2"/>
        <v>217</v>
      </c>
      <c r="Q65" s="4">
        <f t="shared" ca="1" si="5"/>
        <v>143</v>
      </c>
      <c r="R65" s="16">
        <f t="shared" ca="1" si="3"/>
        <v>0.57630555555555563</v>
      </c>
      <c r="S65" s="5">
        <f t="shared" ca="1" si="4"/>
        <v>-0.89559681964573268</v>
      </c>
    </row>
    <row r="66" spans="1:19" x14ac:dyDescent="0.25">
      <c r="A66" t="s">
        <v>126</v>
      </c>
      <c r="B66" t="s">
        <v>127</v>
      </c>
      <c r="C66" s="14">
        <v>8.5399999999999991</v>
      </c>
      <c r="D66" s="14">
        <v>7.76</v>
      </c>
      <c r="E66" s="15">
        <v>6.72</v>
      </c>
      <c r="F66" s="15">
        <v>6</v>
      </c>
      <c r="G66" s="15">
        <v>5.5</v>
      </c>
      <c r="H66" s="15">
        <v>4</v>
      </c>
      <c r="I66" s="15">
        <v>3.12</v>
      </c>
      <c r="J66" s="15">
        <v>3.12</v>
      </c>
      <c r="K66" s="15"/>
      <c r="L66" s="15"/>
      <c r="M66" s="15"/>
      <c r="N66" s="15"/>
      <c r="O66" s="16">
        <f t="shared" si="1"/>
        <v>4.7433333333333332</v>
      </c>
      <c r="P66" s="4">
        <f t="shared" ca="1" si="2"/>
        <v>217</v>
      </c>
      <c r="Q66" s="4">
        <f t="shared" ca="1" si="5"/>
        <v>143</v>
      </c>
      <c r="R66" s="16">
        <f t="shared" ca="1" si="3"/>
        <v>8.2301666666666655</v>
      </c>
      <c r="S66" s="5">
        <f t="shared" ca="1" si="4"/>
        <v>0.73510189739985932</v>
      </c>
    </row>
    <row r="67" spans="1:19" x14ac:dyDescent="0.25">
      <c r="A67" t="s">
        <v>128</v>
      </c>
      <c r="B67" t="s">
        <v>129</v>
      </c>
      <c r="C67" s="14">
        <v>1.64</v>
      </c>
      <c r="D67" s="14">
        <v>1.55</v>
      </c>
      <c r="E67" s="15">
        <v>1.32</v>
      </c>
      <c r="F67" s="15">
        <v>1.22</v>
      </c>
      <c r="G67" s="15">
        <v>1.1200000000000001</v>
      </c>
      <c r="H67" s="15">
        <v>0.96</v>
      </c>
      <c r="I67" s="15">
        <v>0.86</v>
      </c>
      <c r="J67" s="15">
        <v>0.79</v>
      </c>
      <c r="K67" s="15">
        <v>0.72</v>
      </c>
      <c r="L67" s="15">
        <v>0.67</v>
      </c>
      <c r="M67" s="15">
        <v>0.62</v>
      </c>
      <c r="N67" s="15">
        <v>0.55000000000000004</v>
      </c>
      <c r="O67" s="16">
        <f t="shared" si="1"/>
        <v>0.88300000000000001</v>
      </c>
      <c r="P67" s="4">
        <f t="shared" ca="1" si="2"/>
        <v>217</v>
      </c>
      <c r="Q67" s="4">
        <f t="shared" ca="1" si="5"/>
        <v>143</v>
      </c>
      <c r="R67" s="16">
        <f t="shared" ca="1" si="3"/>
        <v>1.60425</v>
      </c>
      <c r="S67" s="5">
        <f t="shared" ca="1" si="4"/>
        <v>0.81681766704416758</v>
      </c>
    </row>
    <row r="68" spans="1:19" x14ac:dyDescent="0.25">
      <c r="A68" t="s">
        <v>130</v>
      </c>
      <c r="B68" t="s">
        <v>131</v>
      </c>
      <c r="C68" s="14">
        <v>3.57</v>
      </c>
      <c r="D68" s="14">
        <v>3.34</v>
      </c>
      <c r="E68" s="15">
        <v>3.24</v>
      </c>
      <c r="F68" s="15">
        <v>2.96</v>
      </c>
      <c r="G68" s="15">
        <v>2.8</v>
      </c>
      <c r="H68" s="15">
        <v>2.64</v>
      </c>
      <c r="I68" s="15">
        <v>2.4</v>
      </c>
      <c r="J68" s="15">
        <v>2.3199999999999998</v>
      </c>
      <c r="K68" s="15">
        <v>2.12</v>
      </c>
      <c r="L68" s="15">
        <v>1.96</v>
      </c>
      <c r="M68" s="15">
        <v>1.8</v>
      </c>
      <c r="N68" s="15">
        <v>1.6</v>
      </c>
      <c r="O68" s="16">
        <f t="shared" si="1"/>
        <v>2.3840000000000003</v>
      </c>
      <c r="P68" s="4">
        <f t="shared" ca="1" si="2"/>
        <v>217</v>
      </c>
      <c r="Q68" s="4">
        <f t="shared" ca="1" si="5"/>
        <v>143</v>
      </c>
      <c r="R68" s="16">
        <f t="shared" ca="1" si="3"/>
        <v>3.4786388888888884</v>
      </c>
      <c r="S68" s="5">
        <f t="shared" ca="1" si="4"/>
        <v>0.45916060775540601</v>
      </c>
    </row>
  </sheetData>
  <mergeCells count="1">
    <mergeCell ref="P1:Q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"/>
  <sheetViews>
    <sheetView zoomScale="60" zoomScaleNormal="60" workbookViewId="0"/>
  </sheetViews>
  <sheetFormatPr baseColWidth="10" defaultRowHeight="15" x14ac:dyDescent="0.25"/>
  <cols>
    <col min="1" max="1" width="28" customWidth="1"/>
    <col min="2" max="2" width="20.85546875" customWidth="1"/>
    <col min="3" max="3" width="10.85546875" bestFit="1" customWidth="1"/>
    <col min="4" max="4" width="11.28515625" bestFit="1" customWidth="1"/>
    <col min="5" max="5" width="10.5703125" bestFit="1" customWidth="1"/>
    <col min="6" max="13" width="11.140625" bestFit="1" customWidth="1"/>
    <col min="14" max="14" width="12" customWidth="1"/>
    <col min="15" max="15" width="14.140625" customWidth="1"/>
    <col min="16" max="16" width="10.85546875" customWidth="1"/>
    <col min="17" max="17" width="11.28515625" bestFit="1" customWidth="1"/>
    <col min="18" max="18" width="12.7109375" bestFit="1" customWidth="1"/>
    <col min="19" max="19" width="29.7109375" bestFit="1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60" t="s">
        <v>145</v>
      </c>
      <c r="Q1" s="60"/>
      <c r="R1" s="1"/>
      <c r="S1" s="1"/>
    </row>
    <row r="2" spans="1:19" x14ac:dyDescent="0.25">
      <c r="A2" s="1"/>
      <c r="B2" s="1"/>
      <c r="C2" s="1">
        <v>2015</v>
      </c>
      <c r="D2" s="1">
        <v>2014</v>
      </c>
      <c r="E2" s="1">
        <v>2013</v>
      </c>
      <c r="F2" s="1">
        <v>2012</v>
      </c>
      <c r="G2" s="1">
        <v>2011</v>
      </c>
      <c r="H2" s="1">
        <v>2010</v>
      </c>
      <c r="I2" s="1">
        <v>2009</v>
      </c>
      <c r="J2" s="1">
        <v>2008</v>
      </c>
      <c r="K2" s="1">
        <v>2007</v>
      </c>
      <c r="L2" s="1">
        <v>2006</v>
      </c>
      <c r="M2" s="1">
        <v>2005</v>
      </c>
      <c r="N2" s="1">
        <v>2004</v>
      </c>
      <c r="O2" s="1"/>
      <c r="P2" s="1">
        <f>C2</f>
        <v>2015</v>
      </c>
      <c r="Q2" s="1">
        <f>D2</f>
        <v>2014</v>
      </c>
      <c r="R2" s="1"/>
      <c r="S2" s="1"/>
    </row>
    <row r="3" spans="1:19" x14ac:dyDescent="0.25">
      <c r="A3" s="1" t="s">
        <v>0</v>
      </c>
      <c r="B3" s="1" t="s">
        <v>1</v>
      </c>
      <c r="C3" s="1" t="s">
        <v>142</v>
      </c>
      <c r="D3" s="1" t="s">
        <v>143</v>
      </c>
      <c r="E3" s="1" t="s">
        <v>132</v>
      </c>
      <c r="F3" s="1" t="s">
        <v>133</v>
      </c>
      <c r="G3" s="1" t="s">
        <v>134</v>
      </c>
      <c r="H3" s="1" t="s">
        <v>135</v>
      </c>
      <c r="I3" s="1" t="s">
        <v>136</v>
      </c>
      <c r="J3" s="1" t="s">
        <v>137</v>
      </c>
      <c r="K3" s="1" t="s">
        <v>138</v>
      </c>
      <c r="L3" s="1" t="s">
        <v>139</v>
      </c>
      <c r="M3" s="1" t="s">
        <v>140</v>
      </c>
      <c r="N3" s="1" t="s">
        <v>141</v>
      </c>
      <c r="O3" s="1" t="s">
        <v>156</v>
      </c>
      <c r="P3" s="1" t="s">
        <v>142</v>
      </c>
      <c r="Q3" s="1" t="s">
        <v>143</v>
      </c>
      <c r="R3" s="1" t="s">
        <v>162</v>
      </c>
      <c r="S3" s="1" t="s">
        <v>157</v>
      </c>
    </row>
    <row r="4" spans="1:19" x14ac:dyDescent="0.25">
      <c r="A4" t="s">
        <v>2</v>
      </c>
      <c r="B4" t="s">
        <v>3</v>
      </c>
      <c r="C4" s="9">
        <v>3.3099999999999997E-2</v>
      </c>
      <c r="D4" s="9">
        <v>3.1300000000000001E-2</v>
      </c>
      <c r="E4" s="10">
        <v>3.04E-2</v>
      </c>
      <c r="F4" s="10">
        <v>3.9100000000000003E-2</v>
      </c>
      <c r="G4" s="10">
        <v>4.2200000000000001E-2</v>
      </c>
      <c r="H4" s="10">
        <v>4.0099999999999997E-2</v>
      </c>
      <c r="I4" s="10">
        <v>3.7100000000000001E-2</v>
      </c>
      <c r="J4" s="10">
        <v>3.7900000000000003E-2</v>
      </c>
      <c r="K4" s="10">
        <v>2.58E-2</v>
      </c>
      <c r="L4" s="10">
        <v>1.9300000000000001E-2</v>
      </c>
      <c r="M4" s="10">
        <v>1.67E-2</v>
      </c>
      <c r="N4" s="10">
        <v>1.83E-2</v>
      </c>
      <c r="O4" s="11">
        <f>AVERAGE(E4:N4)</f>
        <v>3.0689999999999995E-2</v>
      </c>
      <c r="P4" s="4">
        <f ca="1">360-Q4</f>
        <v>217</v>
      </c>
      <c r="Q4" s="4">
        <f t="shared" ref="Q4:Q35" ca="1" si="0">DAYS360(TODAY(),CONCATENATE("31.12.",Q$2))</f>
        <v>143</v>
      </c>
      <c r="R4" s="11">
        <f ca="1">(C4/360*P4)+(D4/360*Q4)</f>
        <v>3.2384999999999997E-2</v>
      </c>
      <c r="S4" s="5">
        <f ca="1">(R4/O4)-1</f>
        <v>5.5229716520039274E-2</v>
      </c>
    </row>
    <row r="5" spans="1:19" x14ac:dyDescent="0.25">
      <c r="A5" t="s">
        <v>4</v>
      </c>
      <c r="B5" t="s">
        <v>5</v>
      </c>
      <c r="C5" s="9">
        <v>3.3799999999999997E-2</v>
      </c>
      <c r="D5" s="9">
        <v>3.1399999999999997E-2</v>
      </c>
      <c r="E5" s="10">
        <v>3.1300000000000001E-2</v>
      </c>
      <c r="F5" s="10">
        <v>3.9899999999999998E-2</v>
      </c>
      <c r="G5" s="10">
        <v>4.2700000000000002E-2</v>
      </c>
      <c r="H5" s="10">
        <v>4.82E-2</v>
      </c>
      <c r="I5" s="10">
        <v>3.4099999999999998E-2</v>
      </c>
      <c r="J5" s="10">
        <v>3.0800000000000001E-2</v>
      </c>
      <c r="K5" s="10">
        <v>2.35E-2</v>
      </c>
      <c r="L5" s="10">
        <v>1.5599999999999999E-2</v>
      </c>
      <c r="M5" s="10">
        <v>1.14E-2</v>
      </c>
      <c r="N5" s="10">
        <v>1.3299999999999999E-2</v>
      </c>
      <c r="O5" s="11">
        <f t="shared" ref="O5:O68" si="1">AVERAGE(E5:N5)</f>
        <v>2.9080000000000002E-2</v>
      </c>
      <c r="P5" s="4">
        <f t="shared" ref="P5:P68" ca="1" si="2">360-Q5</f>
        <v>217</v>
      </c>
      <c r="Q5" s="4">
        <f t="shared" ca="1" si="0"/>
        <v>143</v>
      </c>
      <c r="R5" s="11">
        <f t="shared" ref="R5:R68" ca="1" si="3">(C5/360*P5)+(D5/360*Q5)</f>
        <v>3.2846666666666663E-2</v>
      </c>
      <c r="S5" s="5">
        <f t="shared" ref="S5:S68" ca="1" si="4">(R5/O5)-1</f>
        <v>0.12952773956900487</v>
      </c>
    </row>
    <row r="6" spans="1:19" x14ac:dyDescent="0.25">
      <c r="A6" t="s">
        <v>6</v>
      </c>
      <c r="B6" t="s">
        <v>7</v>
      </c>
      <c r="C6" s="9">
        <v>3.4099999999999998E-2</v>
      </c>
      <c r="D6" s="9">
        <v>3.2199999999999999E-2</v>
      </c>
      <c r="E6" s="10">
        <v>3.3000000000000002E-2</v>
      </c>
      <c r="F6" s="10">
        <v>3.4299999999999997E-2</v>
      </c>
      <c r="G6" s="10">
        <v>3.61E-2</v>
      </c>
      <c r="H6" s="10">
        <v>3.3799999999999997E-2</v>
      </c>
      <c r="I6" s="10">
        <v>3.1899999999999998E-2</v>
      </c>
      <c r="J6" s="10">
        <v>3.3700000000000001E-2</v>
      </c>
      <c r="K6" s="10">
        <v>2.35E-2</v>
      </c>
      <c r="L6" s="10">
        <v>2.4E-2</v>
      </c>
      <c r="M6" s="10">
        <v>2.29E-2</v>
      </c>
      <c r="N6" s="10">
        <v>2.69E-2</v>
      </c>
      <c r="O6" s="11">
        <f t="shared" si="1"/>
        <v>3.0009999999999992E-2</v>
      </c>
      <c r="P6" s="4">
        <f t="shared" ca="1" si="2"/>
        <v>217</v>
      </c>
      <c r="Q6" s="4">
        <f t="shared" ca="1" si="0"/>
        <v>143</v>
      </c>
      <c r="R6" s="11">
        <f t="shared" ca="1" si="3"/>
        <v>3.3345277777777779E-2</v>
      </c>
      <c r="S6" s="5">
        <f t="shared" ca="1" si="4"/>
        <v>0.11113887963271529</v>
      </c>
    </row>
    <row r="7" spans="1:19" x14ac:dyDescent="0.25">
      <c r="A7" t="s">
        <v>8</v>
      </c>
      <c r="B7" t="s">
        <v>9</v>
      </c>
      <c r="C7" s="9">
        <v>3.78E-2</v>
      </c>
      <c r="D7" s="9">
        <v>2.7799999999999998E-2</v>
      </c>
      <c r="E7" s="10">
        <v>2.1600000000000001E-2</v>
      </c>
      <c r="F7" s="10">
        <v>2.2800000000000001E-2</v>
      </c>
      <c r="G7" s="10">
        <v>2.5499999999999998E-2</v>
      </c>
      <c r="H7" s="10">
        <v>1.9199999999999998E-2</v>
      </c>
      <c r="I7" s="10">
        <v>1.52E-2</v>
      </c>
      <c r="J7" s="10">
        <v>1.7999999999999999E-2</v>
      </c>
      <c r="K7" s="10">
        <v>5.0299999999999997E-2</v>
      </c>
      <c r="L7" s="10">
        <v>3.95E-2</v>
      </c>
      <c r="M7" s="10">
        <v>3.0499999999999999E-2</v>
      </c>
      <c r="N7" s="10">
        <v>2.5999999999999999E-2</v>
      </c>
      <c r="O7" s="11">
        <f t="shared" si="1"/>
        <v>2.6860000000000002E-2</v>
      </c>
      <c r="P7" s="4">
        <f t="shared" ca="1" si="2"/>
        <v>217</v>
      </c>
      <c r="Q7" s="4">
        <f t="shared" ca="1" si="0"/>
        <v>143</v>
      </c>
      <c r="R7" s="11">
        <f t="shared" ca="1" si="3"/>
        <v>3.3827777777777776E-2</v>
      </c>
      <c r="S7" s="5">
        <f t="shared" ca="1" si="4"/>
        <v>0.25941093737072873</v>
      </c>
    </row>
    <row r="8" spans="1:19" x14ac:dyDescent="0.25">
      <c r="A8" t="s">
        <v>10</v>
      </c>
      <c r="B8" t="s">
        <v>11</v>
      </c>
      <c r="C8" s="9">
        <v>1.2500000000000001E-2</v>
      </c>
      <c r="D8" s="9">
        <v>1.14E-2</v>
      </c>
      <c r="E8" s="10">
        <v>9.4999999999999998E-3</v>
      </c>
      <c r="F8" s="10">
        <v>1.1299999999999999E-2</v>
      </c>
      <c r="G8" s="10">
        <v>1.6E-2</v>
      </c>
      <c r="H8" s="10">
        <v>1.6899999999999998E-2</v>
      </c>
      <c r="I8" s="10">
        <v>1.52E-2</v>
      </c>
      <c r="J8" s="10">
        <v>2.1399999999999999E-2</v>
      </c>
      <c r="K8" s="10">
        <v>1.32E-2</v>
      </c>
      <c r="L8" s="10">
        <v>1.2200000000000001E-2</v>
      </c>
      <c r="M8" s="10">
        <v>1.0999999999999999E-2</v>
      </c>
      <c r="N8" s="10">
        <v>1.24E-2</v>
      </c>
      <c r="O8" s="11">
        <f t="shared" si="1"/>
        <v>1.391E-2</v>
      </c>
      <c r="P8" s="4">
        <f t="shared" ca="1" si="2"/>
        <v>217</v>
      </c>
      <c r="Q8" s="4">
        <f t="shared" ca="1" si="0"/>
        <v>143</v>
      </c>
      <c r="R8" s="11">
        <f t="shared" ca="1" si="3"/>
        <v>1.2063055555555556E-2</v>
      </c>
      <c r="S8" s="5">
        <f t="shared" ca="1" si="4"/>
        <v>-0.13277817717070051</v>
      </c>
    </row>
    <row r="9" spans="1:19" x14ac:dyDescent="0.25">
      <c r="A9" t="s">
        <v>12</v>
      </c>
      <c r="B9" t="s">
        <v>13</v>
      </c>
      <c r="C9" s="9">
        <v>3.7199999999999997E-2</v>
      </c>
      <c r="D9" s="9">
        <v>3.3700000000000001E-2</v>
      </c>
      <c r="E9" s="10">
        <v>3.0200000000000001E-2</v>
      </c>
      <c r="F9" s="10">
        <v>4.2200000000000001E-2</v>
      </c>
      <c r="G9" s="10">
        <v>5.8900000000000001E-2</v>
      </c>
      <c r="H9" s="10">
        <v>5.1200000000000002E-2</v>
      </c>
      <c r="I9" s="10">
        <v>4.4499999999999998E-2</v>
      </c>
      <c r="J9" s="10">
        <v>5.04E-2</v>
      </c>
      <c r="K9" s="10">
        <v>3.8300000000000001E-2</v>
      </c>
      <c r="L9" s="10">
        <v>3.2800000000000003E-2</v>
      </c>
      <c r="M9" s="10">
        <v>3.4200000000000001E-2</v>
      </c>
      <c r="N9" s="10">
        <v>2.9600000000000001E-2</v>
      </c>
      <c r="O9" s="11">
        <f t="shared" si="1"/>
        <v>4.1230000000000003E-2</v>
      </c>
      <c r="P9" s="4">
        <f t="shared" ca="1" si="2"/>
        <v>217</v>
      </c>
      <c r="Q9" s="4">
        <f t="shared" ca="1" si="0"/>
        <v>143</v>
      </c>
      <c r="R9" s="11">
        <f t="shared" ca="1" si="3"/>
        <v>3.5809722222222222E-2</v>
      </c>
      <c r="S9" s="5">
        <f t="shared" ca="1" si="4"/>
        <v>-0.1314644137224783</v>
      </c>
    </row>
    <row r="10" spans="1:19" x14ac:dyDescent="0.25">
      <c r="A10" t="s">
        <v>14</v>
      </c>
      <c r="B10" t="s">
        <v>15</v>
      </c>
      <c r="C10" s="9">
        <v>4.3099999999999999E-2</v>
      </c>
      <c r="D10" s="9">
        <v>4.19E-2</v>
      </c>
      <c r="E10" s="10">
        <v>4.02E-2</v>
      </c>
      <c r="F10" s="10">
        <v>8.14E-2</v>
      </c>
      <c r="G10" s="10">
        <v>7.9000000000000001E-2</v>
      </c>
      <c r="H10" s="10">
        <v>7.2499999999999995E-2</v>
      </c>
      <c r="I10" s="10">
        <v>7.5800000000000006E-2</v>
      </c>
      <c r="J10" s="10">
        <v>7.2599999999999998E-2</v>
      </c>
      <c r="K10" s="10">
        <v>5.1900000000000002E-2</v>
      </c>
      <c r="L10" s="10">
        <v>5.1999999999999998E-2</v>
      </c>
      <c r="M10" s="10">
        <v>5.11E-2</v>
      </c>
      <c r="N10" s="10">
        <v>3.7199999999999997E-2</v>
      </c>
      <c r="O10" s="11">
        <f t="shared" si="1"/>
        <v>6.1370000000000001E-2</v>
      </c>
      <c r="P10" s="4">
        <f t="shared" ca="1" si="2"/>
        <v>217</v>
      </c>
      <c r="Q10" s="4">
        <f t="shared" ca="1" si="0"/>
        <v>143</v>
      </c>
      <c r="R10" s="11">
        <f t="shared" ca="1" si="3"/>
        <v>4.2623333333333333E-2</v>
      </c>
      <c r="S10" s="5">
        <f t="shared" ca="1" si="4"/>
        <v>-0.3054695562435501</v>
      </c>
    </row>
    <row r="11" spans="1:19" x14ac:dyDescent="0.25">
      <c r="A11" t="s">
        <v>16</v>
      </c>
      <c r="B11" t="s">
        <v>17</v>
      </c>
      <c r="C11" s="9">
        <v>1.8700000000000001E-2</v>
      </c>
      <c r="D11" s="9">
        <v>1.72E-2</v>
      </c>
      <c r="E11" s="10">
        <v>1.6E-2</v>
      </c>
      <c r="F11" s="10">
        <v>1.4E-2</v>
      </c>
      <c r="G11" s="10">
        <v>2.69E-2</v>
      </c>
      <c r="H11" s="10">
        <v>1.5699999999999999E-2</v>
      </c>
      <c r="I11" s="10">
        <v>1.52E-2</v>
      </c>
      <c r="J11" s="10">
        <v>1.9800000000000002E-2</v>
      </c>
      <c r="K11" s="10">
        <v>1.41E-2</v>
      </c>
      <c r="L11" s="10">
        <v>1.14E-2</v>
      </c>
      <c r="M11" s="10">
        <v>9.4000000000000004E-3</v>
      </c>
      <c r="N11" s="10">
        <v>8.5000000000000006E-3</v>
      </c>
      <c r="O11" s="11">
        <f t="shared" si="1"/>
        <v>1.5099999999999999E-2</v>
      </c>
      <c r="P11" s="4">
        <f t="shared" ca="1" si="2"/>
        <v>217</v>
      </c>
      <c r="Q11" s="4">
        <f t="shared" ca="1" si="0"/>
        <v>143</v>
      </c>
      <c r="R11" s="11">
        <f t="shared" ca="1" si="3"/>
        <v>1.8104166666666668E-2</v>
      </c>
      <c r="S11" s="5">
        <f t="shared" ca="1" si="4"/>
        <v>0.19895143487858746</v>
      </c>
    </row>
    <row r="12" spans="1:19" x14ac:dyDescent="0.25">
      <c r="A12" t="s">
        <v>18</v>
      </c>
      <c r="B12" t="s">
        <v>19</v>
      </c>
      <c r="C12" s="9">
        <v>3.7699999999999997E-2</v>
      </c>
      <c r="D12" s="9">
        <v>3.49E-2</v>
      </c>
      <c r="E12" s="10">
        <v>3.3700000000000001E-2</v>
      </c>
      <c r="F12" s="10">
        <v>3.8699999999999998E-2</v>
      </c>
      <c r="G12" s="10">
        <v>4.3999999999999997E-2</v>
      </c>
      <c r="H12" s="10">
        <v>3.49E-2</v>
      </c>
      <c r="I12" s="10">
        <v>2.53E-2</v>
      </c>
      <c r="J12" s="10">
        <v>2.4299999999999999E-2</v>
      </c>
      <c r="K12" s="10">
        <v>1.66E-2</v>
      </c>
      <c r="L12" s="10">
        <v>2.1100000000000001E-2</v>
      </c>
      <c r="M12" s="10">
        <v>2.1100000000000001E-2</v>
      </c>
      <c r="N12" s="10">
        <v>2.1100000000000001E-2</v>
      </c>
      <c r="O12" s="11">
        <f t="shared" si="1"/>
        <v>2.8080000000000001E-2</v>
      </c>
      <c r="P12" s="4">
        <f t="shared" ca="1" si="2"/>
        <v>217</v>
      </c>
      <c r="Q12" s="4">
        <f t="shared" ca="1" si="0"/>
        <v>143</v>
      </c>
      <c r="R12" s="11">
        <f t="shared" ca="1" si="3"/>
        <v>3.6587777777777775E-2</v>
      </c>
      <c r="S12" s="5">
        <f t="shared" ca="1" si="4"/>
        <v>0.30298353909465003</v>
      </c>
    </row>
    <row r="13" spans="1:19" x14ac:dyDescent="0.25">
      <c r="A13" t="s">
        <v>20</v>
      </c>
      <c r="B13" t="s">
        <v>21</v>
      </c>
      <c r="C13" s="9">
        <v>4.7399999999999998E-2</v>
      </c>
      <c r="D13" s="9">
        <v>4.5999999999999999E-2</v>
      </c>
      <c r="E13" s="10">
        <v>4.07E-2</v>
      </c>
      <c r="F13" s="10">
        <v>4.2900000000000001E-2</v>
      </c>
      <c r="G13" s="10">
        <v>6.0900000000000003E-2</v>
      </c>
      <c r="H13" s="10">
        <v>5.0599999999999999E-2</v>
      </c>
      <c r="I13" s="10">
        <v>4.7E-2</v>
      </c>
      <c r="J13" s="10">
        <v>4.6699999999999998E-2</v>
      </c>
      <c r="K13" s="10">
        <v>3.7199999999999997E-2</v>
      </c>
      <c r="L13" s="10">
        <v>2.46E-2</v>
      </c>
      <c r="M13" s="10">
        <v>1.5599999999999999E-2</v>
      </c>
      <c r="N13" s="10">
        <v>1.7899999999999999E-2</v>
      </c>
      <c r="O13" s="11">
        <f t="shared" si="1"/>
        <v>3.8410000000000014E-2</v>
      </c>
      <c r="P13" s="4">
        <f t="shared" ca="1" si="2"/>
        <v>217</v>
      </c>
      <c r="Q13" s="4">
        <f t="shared" ca="1" si="0"/>
        <v>143</v>
      </c>
      <c r="R13" s="11">
        <f t="shared" ca="1" si="3"/>
        <v>4.6843888888888879E-2</v>
      </c>
      <c r="S13" s="5">
        <f t="shared" ca="1" si="4"/>
        <v>0.21957534206948348</v>
      </c>
    </row>
    <row r="14" spans="1:19" x14ac:dyDescent="0.25">
      <c r="A14" t="s">
        <v>22</v>
      </c>
      <c r="B14" t="s">
        <v>23</v>
      </c>
      <c r="C14" s="9">
        <v>4.7800000000000002E-2</v>
      </c>
      <c r="D14" s="9">
        <v>4.6399999999999997E-2</v>
      </c>
      <c r="E14" s="10">
        <v>4.53E-2</v>
      </c>
      <c r="F14" s="10">
        <v>5.1499999999999997E-2</v>
      </c>
      <c r="G14" s="10">
        <v>6.59E-2</v>
      </c>
      <c r="H14" s="10">
        <v>5.5100000000000003E-2</v>
      </c>
      <c r="I14" s="10">
        <v>5.2900000000000003E-2</v>
      </c>
      <c r="J14" s="10">
        <v>4.9500000000000002E-2</v>
      </c>
      <c r="K14" s="10">
        <v>4.1399999999999999E-2</v>
      </c>
      <c r="L14" s="10">
        <v>3.4500000000000003E-2</v>
      </c>
      <c r="M14" s="10">
        <v>2.7099999999999999E-2</v>
      </c>
      <c r="N14" s="10">
        <v>2.2100000000000002E-2</v>
      </c>
      <c r="O14" s="11">
        <f t="shared" si="1"/>
        <v>4.453E-2</v>
      </c>
      <c r="P14" s="4">
        <f t="shared" ca="1" si="2"/>
        <v>217</v>
      </c>
      <c r="Q14" s="4">
        <f t="shared" ca="1" si="0"/>
        <v>143</v>
      </c>
      <c r="R14" s="11">
        <f t="shared" ca="1" si="3"/>
        <v>4.7243888888888891E-2</v>
      </c>
      <c r="S14" s="5">
        <f t="shared" ca="1" si="4"/>
        <v>6.0945180527484544E-2</v>
      </c>
    </row>
    <row r="15" spans="1:19" x14ac:dyDescent="0.25">
      <c r="A15" t="s">
        <v>24</v>
      </c>
      <c r="B15" t="s">
        <v>25</v>
      </c>
      <c r="C15" s="9">
        <v>3.6299999999999999E-2</v>
      </c>
      <c r="D15" s="9">
        <v>3.4200000000000001E-2</v>
      </c>
      <c r="E15" s="10">
        <v>3.4799999999999998E-2</v>
      </c>
      <c r="F15" s="10">
        <v>3.6499999999999998E-2</v>
      </c>
      <c r="G15" s="10">
        <v>4.6399999999999997E-2</v>
      </c>
      <c r="H15" s="10">
        <v>3.6900000000000002E-2</v>
      </c>
      <c r="I15" s="10">
        <v>3.9100000000000003E-2</v>
      </c>
      <c r="J15" s="10">
        <v>7.0300000000000001E-2</v>
      </c>
      <c r="K15" s="10">
        <v>3.85E-2</v>
      </c>
      <c r="L15" s="10">
        <v>4.0599999999999997E-2</v>
      </c>
      <c r="M15" s="10">
        <v>3.09E-2</v>
      </c>
      <c r="N15" s="10">
        <v>3.2099999999999997E-2</v>
      </c>
      <c r="O15" s="11">
        <f t="shared" si="1"/>
        <v>4.0609999999999993E-2</v>
      </c>
      <c r="P15" s="4">
        <f t="shared" ca="1" si="2"/>
        <v>217</v>
      </c>
      <c r="Q15" s="4">
        <f t="shared" ca="1" si="0"/>
        <v>143</v>
      </c>
      <c r="R15" s="11">
        <f t="shared" ca="1" si="3"/>
        <v>3.5465833333333335E-2</v>
      </c>
      <c r="S15" s="5">
        <f t="shared" ca="1" si="4"/>
        <v>-0.1266724123779035</v>
      </c>
    </row>
    <row r="16" spans="1:19" x14ac:dyDescent="0.25">
      <c r="A16" t="s">
        <v>26</v>
      </c>
      <c r="B16" t="s">
        <v>27</v>
      </c>
      <c r="C16" s="9">
        <v>2.4799999999999999E-2</v>
      </c>
      <c r="D16" s="9">
        <v>2.24E-2</v>
      </c>
      <c r="E16" s="10">
        <v>2.06E-2</v>
      </c>
      <c r="F16" s="10">
        <v>2.64E-2</v>
      </c>
      <c r="G16" s="10">
        <v>3.3399999999999999E-2</v>
      </c>
      <c r="H16" s="10">
        <v>2.7099999999999999E-2</v>
      </c>
      <c r="I16" s="10">
        <v>2.5000000000000001E-2</v>
      </c>
      <c r="J16" s="10">
        <v>3.3700000000000001E-2</v>
      </c>
      <c r="K16" s="10">
        <v>2.1600000000000001E-2</v>
      </c>
      <c r="L16" s="10">
        <v>2.46E-2</v>
      </c>
      <c r="M16" s="10">
        <v>2.69E-2</v>
      </c>
      <c r="N16" s="10">
        <v>2.2100000000000002E-2</v>
      </c>
      <c r="O16" s="11">
        <f t="shared" si="1"/>
        <v>2.6140000000000004E-2</v>
      </c>
      <c r="P16" s="4">
        <f t="shared" ca="1" si="2"/>
        <v>217</v>
      </c>
      <c r="Q16" s="4">
        <f t="shared" ca="1" si="0"/>
        <v>143</v>
      </c>
      <c r="R16" s="11">
        <f t="shared" ca="1" si="3"/>
        <v>2.3846666666666662E-2</v>
      </c>
      <c r="S16" s="5">
        <f t="shared" ca="1" si="4"/>
        <v>-8.7732721244580758E-2</v>
      </c>
    </row>
    <row r="17" spans="1:19" x14ac:dyDescent="0.25">
      <c r="A17" t="s">
        <v>28</v>
      </c>
      <c r="B17" t="s">
        <v>29</v>
      </c>
      <c r="C17" s="9">
        <v>6.6900000000000001E-2</v>
      </c>
      <c r="D17" s="9">
        <v>7.3999999999999996E-2</v>
      </c>
      <c r="E17" s="10">
        <v>9.1700000000000004E-2</v>
      </c>
      <c r="F17" s="10">
        <v>9.8400000000000001E-2</v>
      </c>
      <c r="G17" s="10">
        <v>0.13289999999999999</v>
      </c>
      <c r="H17" s="10">
        <v>7.5700000000000003E-2</v>
      </c>
      <c r="I17" s="10">
        <v>5.1900000000000002E-2</v>
      </c>
      <c r="J17" s="10">
        <v>9.6299999999999997E-2</v>
      </c>
      <c r="K17" s="10">
        <v>4.3900000000000002E-2</v>
      </c>
      <c r="L17" s="10">
        <v>3.6799999999999999E-2</v>
      </c>
      <c r="M17" s="10">
        <v>3.7699999999999997E-2</v>
      </c>
      <c r="N17" s="10">
        <v>3.61E-2</v>
      </c>
      <c r="O17" s="11">
        <f t="shared" si="1"/>
        <v>7.0139999999999994E-2</v>
      </c>
      <c r="P17" s="4">
        <f t="shared" ca="1" si="2"/>
        <v>217</v>
      </c>
      <c r="Q17" s="4">
        <f t="shared" ca="1" si="0"/>
        <v>143</v>
      </c>
      <c r="R17" s="11">
        <f t="shared" ca="1" si="3"/>
        <v>6.9720277777777784E-2</v>
      </c>
      <c r="S17" s="5">
        <f t="shared" ca="1" si="4"/>
        <v>-5.984063618794E-3</v>
      </c>
    </row>
    <row r="18" spans="1:19" x14ac:dyDescent="0.25">
      <c r="A18" t="s">
        <v>30</v>
      </c>
      <c r="B18" t="s">
        <v>31</v>
      </c>
      <c r="C18" s="9">
        <v>6.0199999999999997E-2</v>
      </c>
      <c r="D18" s="9">
        <v>5.9200000000000003E-2</v>
      </c>
      <c r="E18" s="10">
        <v>6.3299999999999995E-2</v>
      </c>
      <c r="F18" s="10">
        <v>8.0500000000000002E-2</v>
      </c>
      <c r="G18" s="10">
        <v>0.1135</v>
      </c>
      <c r="H18" s="10">
        <v>7.6600000000000001E-2</v>
      </c>
      <c r="I18" s="10">
        <v>5.1200000000000002E-2</v>
      </c>
      <c r="J18" s="10">
        <v>5.6800000000000003E-2</v>
      </c>
      <c r="K18" s="10">
        <v>2.93E-2</v>
      </c>
      <c r="L18" s="10">
        <v>3.4099999999999998E-2</v>
      </c>
      <c r="M18" s="10">
        <v>3.9300000000000002E-2</v>
      </c>
      <c r="N18" s="10">
        <v>2.8899999999999999E-2</v>
      </c>
      <c r="O18" s="11">
        <f t="shared" si="1"/>
        <v>5.7349999999999998E-2</v>
      </c>
      <c r="P18" s="4">
        <f t="shared" ca="1" si="2"/>
        <v>217</v>
      </c>
      <c r="Q18" s="4">
        <f t="shared" ca="1" si="0"/>
        <v>143</v>
      </c>
      <c r="R18" s="11">
        <f t="shared" ca="1" si="3"/>
        <v>5.9802777777777774E-2</v>
      </c>
      <c r="S18" s="5">
        <f t="shared" ca="1" si="4"/>
        <v>4.2768575026639555E-2</v>
      </c>
    </row>
    <row r="19" spans="1:19" x14ac:dyDescent="0.25">
      <c r="A19" t="s">
        <v>32</v>
      </c>
      <c r="B19" t="s">
        <v>33</v>
      </c>
      <c r="C19" s="9">
        <v>4.9399999999999999E-2</v>
      </c>
      <c r="D19" s="9">
        <v>4.8300000000000003E-2</v>
      </c>
      <c r="E19" s="10">
        <v>5.3400000000000003E-2</v>
      </c>
      <c r="F19" s="10">
        <v>0.06</v>
      </c>
      <c r="G19" s="10">
        <v>5.7700000000000001E-2</v>
      </c>
      <c r="H19" s="10">
        <v>5.7500000000000002E-2</v>
      </c>
      <c r="I19" s="10">
        <v>5.0700000000000002E-2</v>
      </c>
      <c r="J19" s="10">
        <v>5.8599999999999999E-2</v>
      </c>
      <c r="K19" s="10">
        <v>3.6400000000000002E-2</v>
      </c>
      <c r="L19" s="10">
        <v>3.4200000000000001E-2</v>
      </c>
      <c r="M19" s="10">
        <v>3.0499999999999999E-2</v>
      </c>
      <c r="N19" s="10">
        <v>3.3599999999999998E-2</v>
      </c>
      <c r="O19" s="11">
        <f t="shared" si="1"/>
        <v>4.7259999999999996E-2</v>
      </c>
      <c r="P19" s="4">
        <f t="shared" ca="1" si="2"/>
        <v>217</v>
      </c>
      <c r="Q19" s="4">
        <f t="shared" ca="1" si="0"/>
        <v>143</v>
      </c>
      <c r="R19" s="11">
        <f t="shared" ca="1" si="3"/>
        <v>4.8963055555555558E-2</v>
      </c>
      <c r="S19" s="5">
        <f t="shared" ca="1" si="4"/>
        <v>3.6035877180608633E-2</v>
      </c>
    </row>
    <row r="20" spans="1:19" x14ac:dyDescent="0.25">
      <c r="A20" t="s">
        <v>34</v>
      </c>
      <c r="B20" t="s">
        <v>35</v>
      </c>
      <c r="C20" s="9">
        <v>2.8400000000000002E-2</v>
      </c>
      <c r="D20" s="9">
        <v>2.6599999999999999E-2</v>
      </c>
      <c r="E20" s="10">
        <v>2.7699999999999999E-2</v>
      </c>
      <c r="F20" s="10">
        <v>2.9100000000000001E-2</v>
      </c>
      <c r="G20" s="10">
        <v>2.86E-2</v>
      </c>
      <c r="H20" s="10">
        <v>2.76E-2</v>
      </c>
      <c r="I20" s="10">
        <v>2.8199999999999999E-2</v>
      </c>
      <c r="J20" s="10">
        <v>2.7799999999999998E-2</v>
      </c>
      <c r="K20" s="10">
        <v>1.7899999999999999E-2</v>
      </c>
      <c r="L20" s="10">
        <v>1.7399999999999999E-2</v>
      </c>
      <c r="M20" s="10">
        <v>1.9300000000000001E-2</v>
      </c>
      <c r="N20" s="10">
        <v>0.02</v>
      </c>
      <c r="O20" s="11">
        <f t="shared" si="1"/>
        <v>2.436E-2</v>
      </c>
      <c r="P20" s="4">
        <f t="shared" ca="1" si="2"/>
        <v>217</v>
      </c>
      <c r="Q20" s="4">
        <f t="shared" ca="1" si="0"/>
        <v>143</v>
      </c>
      <c r="R20" s="11">
        <f t="shared" ca="1" si="3"/>
        <v>2.7684999999999998E-2</v>
      </c>
      <c r="S20" s="5">
        <f t="shared" ca="1" si="4"/>
        <v>0.13649425287356309</v>
      </c>
    </row>
    <row r="21" spans="1:19" x14ac:dyDescent="0.25">
      <c r="A21" t="s">
        <v>36</v>
      </c>
      <c r="B21" t="s">
        <v>37</v>
      </c>
      <c r="C21" s="9">
        <v>3.78E-2</v>
      </c>
      <c r="D21" s="9">
        <v>3.5700000000000003E-2</v>
      </c>
      <c r="E21" s="10">
        <v>4.5199999999999997E-2</v>
      </c>
      <c r="F21" s="10">
        <v>3.9300000000000002E-2</v>
      </c>
      <c r="G21" s="10">
        <v>2.6800000000000001E-2</v>
      </c>
      <c r="H21" s="10">
        <v>3.1199999999999999E-2</v>
      </c>
      <c r="I21" s="10">
        <v>3.7600000000000001E-2</v>
      </c>
      <c r="J21" s="10">
        <v>1.9599999999999999E-2</v>
      </c>
      <c r="K21" s="10">
        <v>1.37E-2</v>
      </c>
      <c r="L21" s="10">
        <v>1.52E-2</v>
      </c>
      <c r="M21" s="10">
        <v>1.61E-2</v>
      </c>
      <c r="N21" s="10"/>
      <c r="O21" s="11">
        <f t="shared" si="1"/>
        <v>2.7188888888888887E-2</v>
      </c>
      <c r="P21" s="4">
        <f t="shared" ca="1" si="2"/>
        <v>217</v>
      </c>
      <c r="Q21" s="4">
        <f t="shared" ca="1" si="0"/>
        <v>143</v>
      </c>
      <c r="R21" s="11">
        <f t="shared" ca="1" si="3"/>
        <v>3.6965833333333337E-2</v>
      </c>
      <c r="S21" s="5">
        <f t="shared" ca="1" si="4"/>
        <v>0.35959337964854954</v>
      </c>
    </row>
    <row r="22" spans="1:19" x14ac:dyDescent="0.25">
      <c r="A22" t="s">
        <v>38</v>
      </c>
      <c r="B22" t="s">
        <v>39</v>
      </c>
      <c r="C22" s="9">
        <v>4.4299999999999999E-2</v>
      </c>
      <c r="D22" s="9">
        <v>4.1399999999999999E-2</v>
      </c>
      <c r="E22" s="10">
        <v>4.3900000000000002E-2</v>
      </c>
      <c r="F22" s="10">
        <v>4.3299999999999998E-2</v>
      </c>
      <c r="G22" s="10">
        <v>4.1599999999999998E-2</v>
      </c>
      <c r="H22" s="10">
        <v>4.6300000000000001E-2</v>
      </c>
      <c r="I22" s="10">
        <v>4.9599999999999998E-2</v>
      </c>
      <c r="J22" s="10">
        <v>4.6699999999999998E-2</v>
      </c>
      <c r="K22" s="10">
        <v>3.3599999999999998E-2</v>
      </c>
      <c r="L22" s="10"/>
      <c r="M22" s="10"/>
      <c r="N22" s="10"/>
      <c r="O22" s="11">
        <f t="shared" si="1"/>
        <v>4.357142857142858E-2</v>
      </c>
      <c r="P22" s="4">
        <f t="shared" ca="1" si="2"/>
        <v>217</v>
      </c>
      <c r="Q22" s="4">
        <f t="shared" ca="1" si="0"/>
        <v>143</v>
      </c>
      <c r="R22" s="11">
        <f t="shared" ca="1" si="3"/>
        <v>4.3148055555555558E-2</v>
      </c>
      <c r="S22" s="5">
        <f t="shared" ca="1" si="4"/>
        <v>-9.7167577413480588E-3</v>
      </c>
    </row>
    <row r="23" spans="1:19" x14ac:dyDescent="0.25">
      <c r="A23" t="s">
        <v>40</v>
      </c>
      <c r="B23" t="s">
        <v>41</v>
      </c>
      <c r="C23" s="9">
        <v>5.1900000000000002E-2</v>
      </c>
      <c r="D23" s="9">
        <v>4.7500000000000001E-2</v>
      </c>
      <c r="E23" s="10">
        <v>5.1900000000000002E-2</v>
      </c>
      <c r="F23" s="10">
        <v>4.6199999999999998E-2</v>
      </c>
      <c r="G23" s="10">
        <v>4.3700000000000003E-2</v>
      </c>
      <c r="H23" s="10">
        <v>4.4299999999999999E-2</v>
      </c>
      <c r="I23" s="10">
        <v>4.0399999999999998E-2</v>
      </c>
      <c r="J23" s="10">
        <v>3.5099999999999999E-2</v>
      </c>
      <c r="K23" s="10">
        <v>2.6800000000000001E-2</v>
      </c>
      <c r="L23" s="10"/>
      <c r="M23" s="10"/>
      <c r="N23" s="10"/>
      <c r="O23" s="11">
        <f t="shared" si="1"/>
        <v>4.1200000000000001E-2</v>
      </c>
      <c r="P23" s="4">
        <f t="shared" ca="1" si="2"/>
        <v>217</v>
      </c>
      <c r="Q23" s="4">
        <f t="shared" ca="1" si="0"/>
        <v>143</v>
      </c>
      <c r="R23" s="11">
        <f t="shared" ca="1" si="3"/>
        <v>5.0152222222222223E-2</v>
      </c>
      <c r="S23" s="5">
        <f t="shared" ca="1" si="4"/>
        <v>0.21728694714131613</v>
      </c>
    </row>
    <row r="24" spans="1:19" x14ac:dyDescent="0.25">
      <c r="A24" t="s">
        <v>42</v>
      </c>
      <c r="B24" t="s">
        <v>43</v>
      </c>
      <c r="C24" s="9">
        <v>5.5899999999999998E-2</v>
      </c>
      <c r="D24" s="9">
        <v>5.1400000000000001E-2</v>
      </c>
      <c r="E24" s="10">
        <v>4.5199999999999997E-2</v>
      </c>
      <c r="F24" s="10">
        <v>4.6199999999999998E-2</v>
      </c>
      <c r="G24" s="10">
        <v>5.2400000000000002E-2</v>
      </c>
      <c r="H24" s="10">
        <v>4.3200000000000002E-2</v>
      </c>
      <c r="I24" s="10">
        <v>2.9700000000000001E-2</v>
      </c>
      <c r="J24" s="10">
        <v>0.14050000000000001</v>
      </c>
      <c r="K24" s="10">
        <v>5.1999999999999998E-2</v>
      </c>
      <c r="L24" s="10">
        <v>4.2200000000000001E-2</v>
      </c>
      <c r="M24" s="10">
        <v>4.2200000000000001E-2</v>
      </c>
      <c r="N24" s="10">
        <v>3.9100000000000003E-2</v>
      </c>
      <c r="O24" s="11">
        <f t="shared" si="1"/>
        <v>5.3270000000000005E-2</v>
      </c>
      <c r="P24" s="4">
        <f t="shared" ca="1" si="2"/>
        <v>217</v>
      </c>
      <c r="Q24" s="4">
        <f t="shared" ca="1" si="0"/>
        <v>143</v>
      </c>
      <c r="R24" s="11">
        <f t="shared" ca="1" si="3"/>
        <v>5.4112499999999994E-2</v>
      </c>
      <c r="S24" s="5">
        <f t="shared" ca="1" si="4"/>
        <v>1.581565609160851E-2</v>
      </c>
    </row>
    <row r="25" spans="1:19" x14ac:dyDescent="0.25">
      <c r="A25" t="s">
        <v>44</v>
      </c>
      <c r="B25" t="s">
        <v>45</v>
      </c>
      <c r="C25" s="9">
        <v>3.9899999999999998E-2</v>
      </c>
      <c r="D25" s="9">
        <v>3.7100000000000001E-2</v>
      </c>
      <c r="E25" s="10">
        <v>5.0799999999999998E-2</v>
      </c>
      <c r="F25" s="10">
        <v>4.4400000000000002E-2</v>
      </c>
      <c r="G25" s="10">
        <v>4.2500000000000003E-2</v>
      </c>
      <c r="H25" s="10">
        <v>2.86E-2</v>
      </c>
      <c r="I25" s="10">
        <v>1.9599999999999999E-2</v>
      </c>
      <c r="J25" s="10">
        <v>6.4199999999999993E-2</v>
      </c>
      <c r="K25" s="10">
        <v>1.2800000000000001E-2</v>
      </c>
      <c r="L25" s="10">
        <v>1.9400000000000001E-2</v>
      </c>
      <c r="M25" s="10">
        <v>1.66E-2</v>
      </c>
      <c r="N25" s="10">
        <v>2.76E-2</v>
      </c>
      <c r="O25" s="11">
        <f t="shared" si="1"/>
        <v>3.2649999999999998E-2</v>
      </c>
      <c r="P25" s="4">
        <f t="shared" ca="1" si="2"/>
        <v>217</v>
      </c>
      <c r="Q25" s="4">
        <f t="shared" ca="1" si="0"/>
        <v>143</v>
      </c>
      <c r="R25" s="11">
        <f t="shared" ca="1" si="3"/>
        <v>3.8787777777777775E-2</v>
      </c>
      <c r="S25" s="5">
        <f t="shared" ca="1" si="4"/>
        <v>0.18798706823209121</v>
      </c>
    </row>
    <row r="26" spans="1:19" x14ac:dyDescent="0.25">
      <c r="A26" t="s">
        <v>46</v>
      </c>
      <c r="B26" t="s">
        <v>47</v>
      </c>
      <c r="C26" s="9">
        <v>4.9599999999999998E-2</v>
      </c>
      <c r="D26" s="9">
        <v>4.7100000000000003E-2</v>
      </c>
      <c r="E26" s="10">
        <v>4.5199999999999997E-2</v>
      </c>
      <c r="F26" s="10">
        <v>4.9500000000000002E-2</v>
      </c>
      <c r="G26" s="10">
        <v>5.0299999999999997E-2</v>
      </c>
      <c r="H26" s="10">
        <v>2.5499999999999998E-2</v>
      </c>
      <c r="I26" s="10">
        <v>8.4000000000000005E-2</v>
      </c>
      <c r="J26" s="10">
        <v>0.1046</v>
      </c>
      <c r="K26" s="10">
        <v>6.83E-2</v>
      </c>
      <c r="L26" s="10">
        <v>6.7000000000000004E-2</v>
      </c>
      <c r="M26" s="10">
        <v>3.0099999999999998E-2</v>
      </c>
      <c r="N26" s="10">
        <v>3.0300000000000001E-2</v>
      </c>
      <c r="O26" s="11">
        <f t="shared" si="1"/>
        <v>5.5479999999999995E-2</v>
      </c>
      <c r="P26" s="4">
        <f t="shared" ca="1" si="2"/>
        <v>217</v>
      </c>
      <c r="Q26" s="4">
        <f t="shared" ca="1" si="0"/>
        <v>143</v>
      </c>
      <c r="R26" s="11">
        <f t="shared" ca="1" si="3"/>
        <v>4.8606944444444439E-2</v>
      </c>
      <c r="S26" s="5">
        <f t="shared" ca="1" si="4"/>
        <v>-0.12388348153488749</v>
      </c>
    </row>
    <row r="27" spans="1:19" x14ac:dyDescent="0.25">
      <c r="A27" t="s">
        <v>48</v>
      </c>
      <c r="B27" t="s">
        <v>49</v>
      </c>
      <c r="C27" s="9">
        <v>4.87E-2</v>
      </c>
      <c r="D27" s="9">
        <v>4.5900000000000003E-2</v>
      </c>
      <c r="E27" s="10">
        <v>6.9500000000000006E-2</v>
      </c>
      <c r="F27" s="10">
        <v>4.8800000000000003E-2</v>
      </c>
      <c r="G27" s="10">
        <v>4.6100000000000002E-2</v>
      </c>
      <c r="H27" s="10">
        <v>5.2499999999999998E-2</v>
      </c>
      <c r="I27" s="10">
        <v>6.08E-2</v>
      </c>
      <c r="J27" s="10">
        <v>6.3600000000000004E-2</v>
      </c>
      <c r="K27" s="10">
        <v>3.4000000000000002E-2</v>
      </c>
      <c r="L27" s="10">
        <v>3.2300000000000002E-2</v>
      </c>
      <c r="M27" s="10">
        <v>2.9700000000000001E-2</v>
      </c>
      <c r="N27" s="10"/>
      <c r="O27" s="11">
        <f t="shared" si="1"/>
        <v>4.8588888888888883E-2</v>
      </c>
      <c r="P27" s="4">
        <f t="shared" ca="1" si="2"/>
        <v>217</v>
      </c>
      <c r="Q27" s="4">
        <f t="shared" ca="1" si="0"/>
        <v>143</v>
      </c>
      <c r="R27" s="11">
        <f t="shared" ca="1" si="3"/>
        <v>4.7587777777777784E-2</v>
      </c>
      <c r="S27" s="5">
        <f t="shared" ca="1" si="4"/>
        <v>-2.0603704550651414E-2</v>
      </c>
    </row>
    <row r="28" spans="1:19" x14ac:dyDescent="0.25">
      <c r="A28" t="s">
        <v>50</v>
      </c>
      <c r="B28" t="s">
        <v>51</v>
      </c>
      <c r="C28" s="9">
        <v>5.8400000000000001E-2</v>
      </c>
      <c r="D28" s="9">
        <v>4.4600000000000001E-2</v>
      </c>
      <c r="E28" s="10">
        <v>5.45E-2</v>
      </c>
      <c r="F28" s="10">
        <v>5.5300000000000002E-2</v>
      </c>
      <c r="G28" s="10">
        <v>5.0299999999999997E-2</v>
      </c>
      <c r="H28" s="10">
        <v>5.4699999999999999E-2</v>
      </c>
      <c r="I28" s="10">
        <v>4.5100000000000001E-2</v>
      </c>
      <c r="J28" s="10">
        <v>4.9700000000000001E-2</v>
      </c>
      <c r="K28" s="10">
        <v>4.9700000000000001E-2</v>
      </c>
      <c r="L28" s="10">
        <v>4.4299999999999999E-2</v>
      </c>
      <c r="M28" s="10">
        <v>2.86E-2</v>
      </c>
      <c r="N28" s="10">
        <v>1.55E-2</v>
      </c>
      <c r="O28" s="11">
        <f t="shared" si="1"/>
        <v>4.4770000000000011E-2</v>
      </c>
      <c r="P28" s="4">
        <f t="shared" ca="1" si="2"/>
        <v>217</v>
      </c>
      <c r="Q28" s="4">
        <f t="shared" ca="1" si="0"/>
        <v>143</v>
      </c>
      <c r="R28" s="11">
        <f t="shared" ca="1" si="3"/>
        <v>5.2918333333333331E-2</v>
      </c>
      <c r="S28" s="5">
        <f t="shared" ca="1" si="4"/>
        <v>0.18200431836795428</v>
      </c>
    </row>
    <row r="29" spans="1:19" x14ac:dyDescent="0.25">
      <c r="A29" t="s">
        <v>52</v>
      </c>
      <c r="B29" t="s">
        <v>53</v>
      </c>
      <c r="C29" s="9">
        <v>3.7400000000000003E-2</v>
      </c>
      <c r="D29" s="9">
        <v>3.4799999999999998E-2</v>
      </c>
      <c r="E29" s="10">
        <v>3.5900000000000001E-2</v>
      </c>
      <c r="F29" s="10">
        <v>3.3599999999999998E-2</v>
      </c>
      <c r="G29" s="10">
        <v>3.39E-2</v>
      </c>
      <c r="H29" s="10">
        <v>3.56E-2</v>
      </c>
      <c r="I29" s="10">
        <v>2.0299999999999999E-2</v>
      </c>
      <c r="J29" s="10">
        <v>4.4400000000000002E-2</v>
      </c>
      <c r="K29" s="10">
        <v>2.98E-2</v>
      </c>
      <c r="L29" s="10">
        <v>4.5999999999999999E-2</v>
      </c>
      <c r="M29" s="10">
        <v>3.4200000000000001E-2</v>
      </c>
      <c r="N29" s="10">
        <v>3.8300000000000001E-2</v>
      </c>
      <c r="O29" s="11">
        <f t="shared" si="1"/>
        <v>3.5199999999999995E-2</v>
      </c>
      <c r="P29" s="4">
        <f t="shared" ca="1" si="2"/>
        <v>217</v>
      </c>
      <c r="Q29" s="4">
        <f t="shared" ca="1" si="0"/>
        <v>143</v>
      </c>
      <c r="R29" s="11">
        <f t="shared" ca="1" si="3"/>
        <v>3.6367222222222224E-2</v>
      </c>
      <c r="S29" s="5">
        <f t="shared" ca="1" si="4"/>
        <v>3.315972222222241E-2</v>
      </c>
    </row>
    <row r="30" spans="1:19" x14ac:dyDescent="0.25">
      <c r="A30" t="s">
        <v>54</v>
      </c>
      <c r="B30" t="s">
        <v>55</v>
      </c>
      <c r="C30" s="9">
        <v>5.1999999999999998E-2</v>
      </c>
      <c r="D30" s="9">
        <v>5.11E-2</v>
      </c>
      <c r="E30" s="10">
        <v>5.1499999999999997E-2</v>
      </c>
      <c r="F30" s="10">
        <v>5.2499999999999998E-2</v>
      </c>
      <c r="G30" s="10">
        <v>5.6899999999999999E-2</v>
      </c>
      <c r="H30" s="10">
        <v>5.7200000000000001E-2</v>
      </c>
      <c r="I30" s="10">
        <v>5.8900000000000001E-2</v>
      </c>
      <c r="J30" s="10">
        <v>5.6500000000000002E-2</v>
      </c>
      <c r="K30" s="10">
        <v>3.5400000000000001E-2</v>
      </c>
      <c r="L30" s="10">
        <v>3.78E-2</v>
      </c>
      <c r="M30" s="10">
        <v>5.3100000000000001E-2</v>
      </c>
      <c r="N30" s="10">
        <v>4.8899999999999999E-2</v>
      </c>
      <c r="O30" s="11">
        <f t="shared" si="1"/>
        <v>5.0869999999999992E-2</v>
      </c>
      <c r="P30" s="4">
        <f t="shared" ca="1" si="2"/>
        <v>217</v>
      </c>
      <c r="Q30" s="4">
        <f t="shared" ca="1" si="0"/>
        <v>143</v>
      </c>
      <c r="R30" s="11">
        <f t="shared" ca="1" si="3"/>
        <v>5.1642500000000001E-2</v>
      </c>
      <c r="S30" s="5">
        <f t="shared" ca="1" si="4"/>
        <v>1.5185767643011827E-2</v>
      </c>
    </row>
    <row r="31" spans="1:19" x14ac:dyDescent="0.25">
      <c r="A31" t="s">
        <v>56</v>
      </c>
      <c r="B31" t="s">
        <v>57</v>
      </c>
      <c r="C31" s="9">
        <v>3.3700000000000001E-2</v>
      </c>
      <c r="D31" s="9">
        <v>3.2000000000000001E-2</v>
      </c>
      <c r="E31" s="10">
        <v>3.1199999999999999E-2</v>
      </c>
      <c r="F31" s="10">
        <v>3.2500000000000001E-2</v>
      </c>
      <c r="G31" s="10">
        <v>2.9000000000000001E-2</v>
      </c>
      <c r="H31" s="10">
        <v>3.1099999999999999E-2</v>
      </c>
      <c r="I31" s="10">
        <v>3.4500000000000003E-2</v>
      </c>
      <c r="J31" s="10">
        <v>3.4200000000000001E-2</v>
      </c>
      <c r="K31" s="10">
        <v>2.4199999999999999E-2</v>
      </c>
      <c r="L31" s="10">
        <v>2.7300000000000001E-2</v>
      </c>
      <c r="M31" s="10">
        <v>3.0800000000000001E-2</v>
      </c>
      <c r="N31" s="10">
        <v>2.9100000000000001E-2</v>
      </c>
      <c r="O31" s="11">
        <f t="shared" si="1"/>
        <v>3.039E-2</v>
      </c>
      <c r="P31" s="4">
        <f t="shared" ca="1" si="2"/>
        <v>217</v>
      </c>
      <c r="Q31" s="4">
        <f t="shared" ca="1" si="0"/>
        <v>143</v>
      </c>
      <c r="R31" s="11">
        <f t="shared" ca="1" si="3"/>
        <v>3.3024722222222226E-2</v>
      </c>
      <c r="S31" s="5">
        <f t="shared" ca="1" si="4"/>
        <v>8.6697012906292281E-2</v>
      </c>
    </row>
    <row r="32" spans="1:19" x14ac:dyDescent="0.25">
      <c r="A32" t="s">
        <v>58</v>
      </c>
      <c r="B32" t="s">
        <v>59</v>
      </c>
      <c r="C32" s="9">
        <v>3.0300000000000001E-2</v>
      </c>
      <c r="D32" s="9">
        <v>2.86E-2</v>
      </c>
      <c r="E32" s="10">
        <v>2.7099999999999999E-2</v>
      </c>
      <c r="F32" s="10">
        <v>2.81E-2</v>
      </c>
      <c r="G32" s="10">
        <v>2.69E-2</v>
      </c>
      <c r="H32" s="10">
        <v>2.6800000000000001E-2</v>
      </c>
      <c r="I32" s="10">
        <v>2.8799999999999999E-2</v>
      </c>
      <c r="J32" s="10">
        <v>3.3599999999999998E-2</v>
      </c>
      <c r="K32" s="10">
        <v>2.2200000000000001E-2</v>
      </c>
      <c r="L32" s="10">
        <v>2.5700000000000001E-2</v>
      </c>
      <c r="M32" s="10">
        <v>2.7799999999999998E-2</v>
      </c>
      <c r="N32" s="10">
        <v>2.4E-2</v>
      </c>
      <c r="O32" s="11">
        <f t="shared" si="1"/>
        <v>2.7100000000000003E-2</v>
      </c>
      <c r="P32" s="4">
        <f t="shared" ca="1" si="2"/>
        <v>217</v>
      </c>
      <c r="Q32" s="4">
        <f t="shared" ca="1" si="0"/>
        <v>143</v>
      </c>
      <c r="R32" s="11">
        <f t="shared" ca="1" si="3"/>
        <v>2.9624722222222219E-2</v>
      </c>
      <c r="S32" s="5">
        <f t="shared" ca="1" si="4"/>
        <v>9.3163181631816139E-2</v>
      </c>
    </row>
    <row r="33" spans="1:19" x14ac:dyDescent="0.25">
      <c r="A33" t="s">
        <v>60</v>
      </c>
      <c r="B33" t="s">
        <v>61</v>
      </c>
      <c r="C33" s="9">
        <v>2.29E-2</v>
      </c>
      <c r="D33" s="9">
        <v>2.12E-2</v>
      </c>
      <c r="E33" s="10">
        <v>2.0400000000000001E-2</v>
      </c>
      <c r="F33" s="10">
        <v>2.3300000000000001E-2</v>
      </c>
      <c r="G33" s="10">
        <v>2.46E-2</v>
      </c>
      <c r="H33" s="10">
        <v>2.53E-2</v>
      </c>
      <c r="I33" s="10">
        <v>2.0899999999999998E-2</v>
      </c>
      <c r="J33" s="10">
        <v>2.2800000000000001E-2</v>
      </c>
      <c r="K33" s="10">
        <v>1.7999999999999999E-2</v>
      </c>
      <c r="L33" s="10">
        <v>1.9199999999999998E-2</v>
      </c>
      <c r="M33" s="10">
        <v>2.0199999999999999E-2</v>
      </c>
      <c r="N33" s="10">
        <v>1.8800000000000001E-2</v>
      </c>
      <c r="O33" s="11">
        <f t="shared" si="1"/>
        <v>2.1350000000000001E-2</v>
      </c>
      <c r="P33" s="4">
        <f t="shared" ca="1" si="2"/>
        <v>217</v>
      </c>
      <c r="Q33" s="4">
        <f t="shared" ca="1" si="0"/>
        <v>143</v>
      </c>
      <c r="R33" s="11">
        <f t="shared" ca="1" si="3"/>
        <v>2.2224722222222222E-2</v>
      </c>
      <c r="S33" s="5">
        <f t="shared" ca="1" si="4"/>
        <v>4.0970595888628614E-2</v>
      </c>
    </row>
    <row r="34" spans="1:19" x14ac:dyDescent="0.25">
      <c r="A34" t="s">
        <v>62</v>
      </c>
      <c r="B34" t="s">
        <v>63</v>
      </c>
      <c r="C34" s="9">
        <v>2.92E-2</v>
      </c>
      <c r="D34" s="9">
        <v>2.7300000000000001E-2</v>
      </c>
      <c r="E34" s="10">
        <v>2.8799999999999999E-2</v>
      </c>
      <c r="F34" s="10">
        <v>3.7400000000000003E-2</v>
      </c>
      <c r="G34" s="10">
        <v>3.1300000000000001E-2</v>
      </c>
      <c r="H34" s="10">
        <v>1.7600000000000001E-2</v>
      </c>
      <c r="I34" s="10">
        <v>2.1700000000000001E-2</v>
      </c>
      <c r="J34" s="10">
        <v>0.1113</v>
      </c>
      <c r="K34" s="10">
        <v>4.0300000000000002E-2</v>
      </c>
      <c r="L34" s="10">
        <v>3.6600000000000001E-2</v>
      </c>
      <c r="M34" s="10">
        <v>3.0599999999999999E-2</v>
      </c>
      <c r="N34" s="10">
        <v>2.7099999999999999E-2</v>
      </c>
      <c r="O34" s="11">
        <f t="shared" si="1"/>
        <v>3.8270000000000005E-2</v>
      </c>
      <c r="P34" s="4">
        <f t="shared" ca="1" si="2"/>
        <v>217</v>
      </c>
      <c r="Q34" s="4">
        <f t="shared" ca="1" si="0"/>
        <v>143</v>
      </c>
      <c r="R34" s="11">
        <f t="shared" ca="1" si="3"/>
        <v>2.8445277777777778E-2</v>
      </c>
      <c r="S34" s="5">
        <f t="shared" ca="1" si="4"/>
        <v>-0.25672124960078979</v>
      </c>
    </row>
    <row r="35" spans="1:19" x14ac:dyDescent="0.25">
      <c r="A35" t="s">
        <v>64</v>
      </c>
      <c r="B35" t="s">
        <v>65</v>
      </c>
      <c r="C35" s="9">
        <v>2.7900000000000001E-2</v>
      </c>
      <c r="D35" s="9">
        <v>2.6100000000000002E-2</v>
      </c>
      <c r="E35" s="10">
        <v>2.4299999999999999E-2</v>
      </c>
      <c r="F35" s="10">
        <v>2.52E-2</v>
      </c>
      <c r="G35" s="10">
        <v>2.18E-2</v>
      </c>
      <c r="H35" s="10">
        <v>2.3800000000000002E-2</v>
      </c>
      <c r="I35" s="10">
        <v>2.4299999999999999E-2</v>
      </c>
      <c r="J35" s="10">
        <v>1.9400000000000001E-2</v>
      </c>
      <c r="K35" s="10">
        <v>1.46E-2</v>
      </c>
      <c r="L35" s="10">
        <v>1.67E-2</v>
      </c>
      <c r="M35" s="10">
        <v>2.0299999999999999E-2</v>
      </c>
      <c r="N35" s="10">
        <v>3.2500000000000001E-2</v>
      </c>
      <c r="O35" s="11">
        <f t="shared" si="1"/>
        <v>2.2290000000000001E-2</v>
      </c>
      <c r="P35" s="4">
        <f t="shared" ca="1" si="2"/>
        <v>217</v>
      </c>
      <c r="Q35" s="4">
        <f t="shared" ca="1" si="0"/>
        <v>143</v>
      </c>
      <c r="R35" s="11">
        <f t="shared" ca="1" si="3"/>
        <v>2.7185000000000001E-2</v>
      </c>
      <c r="S35" s="5">
        <f t="shared" ca="1" si="4"/>
        <v>0.21960520412741147</v>
      </c>
    </row>
    <row r="36" spans="1:19" x14ac:dyDescent="0.25">
      <c r="A36" t="s">
        <v>66</v>
      </c>
      <c r="B36" t="s">
        <v>67</v>
      </c>
      <c r="C36" s="9">
        <v>3.27E-2</v>
      </c>
      <c r="D36" s="9">
        <v>3.3599999999999998E-2</v>
      </c>
      <c r="E36" s="10">
        <v>2.8199999999999999E-2</v>
      </c>
      <c r="F36" s="10">
        <v>3.3300000000000003E-2</v>
      </c>
      <c r="G36" s="10">
        <v>3.4099999999999998E-2</v>
      </c>
      <c r="H36" s="10">
        <v>2.52E-2</v>
      </c>
      <c r="I36" s="10">
        <v>4.0300000000000002E-2</v>
      </c>
      <c r="J36" s="10">
        <v>7.6499999999999999E-2</v>
      </c>
      <c r="K36" s="10">
        <v>3.1E-2</v>
      </c>
      <c r="L36" s="10">
        <v>2.7699999999999999E-2</v>
      </c>
      <c r="M36" s="10">
        <v>2.5999999999999999E-2</v>
      </c>
      <c r="N36" s="10">
        <v>2.2499999999999999E-2</v>
      </c>
      <c r="O36" s="11">
        <f t="shared" si="1"/>
        <v>3.4479999999999997E-2</v>
      </c>
      <c r="P36" s="4">
        <f t="shared" ca="1" si="2"/>
        <v>217</v>
      </c>
      <c r="Q36" s="4">
        <f t="shared" ref="Q36:Q68" ca="1" si="5">DAYS360(TODAY(),CONCATENATE("31.12.",Q$2))</f>
        <v>143</v>
      </c>
      <c r="R36" s="11">
        <f t="shared" ca="1" si="3"/>
        <v>3.3057500000000004E-2</v>
      </c>
      <c r="S36" s="5">
        <f t="shared" ca="1" si="4"/>
        <v>-4.1255800464036985E-2</v>
      </c>
    </row>
    <row r="37" spans="1:19" x14ac:dyDescent="0.25">
      <c r="A37" t="s">
        <v>68</v>
      </c>
      <c r="B37" t="s">
        <v>69</v>
      </c>
      <c r="C37" s="9">
        <v>1.3899999999999999E-2</v>
      </c>
      <c r="D37" s="9">
        <v>1.3100000000000001E-2</v>
      </c>
      <c r="E37" s="10">
        <v>1.1599999999999999E-2</v>
      </c>
      <c r="F37" s="10">
        <v>1.3899999999999999E-2</v>
      </c>
      <c r="G37" s="10">
        <v>1.55E-2</v>
      </c>
      <c r="H37" s="10">
        <v>8.3000000000000001E-3</v>
      </c>
      <c r="I37" s="10">
        <v>6.1999999999999998E-3</v>
      </c>
      <c r="J37" s="10">
        <v>1.77E-2</v>
      </c>
      <c r="K37" s="10">
        <v>6.1999999999999998E-3</v>
      </c>
      <c r="L37" s="10">
        <v>6.7000000000000002E-3</v>
      </c>
      <c r="M37" s="10">
        <v>7.7999999999999996E-3</v>
      </c>
      <c r="N37" s="10">
        <v>9.4999999999999998E-3</v>
      </c>
      <c r="O37" s="11">
        <f t="shared" si="1"/>
        <v>1.0339999999999998E-2</v>
      </c>
      <c r="P37" s="4">
        <f t="shared" ca="1" si="2"/>
        <v>217</v>
      </c>
      <c r="Q37" s="4">
        <f t="shared" ca="1" si="5"/>
        <v>143</v>
      </c>
      <c r="R37" s="11">
        <f t="shared" ca="1" si="3"/>
        <v>1.3582222222222221E-2</v>
      </c>
      <c r="S37" s="5">
        <f t="shared" ca="1" si="4"/>
        <v>0.31356114334837759</v>
      </c>
    </row>
    <row r="38" spans="1:19" x14ac:dyDescent="0.25">
      <c r="A38" t="s">
        <v>70</v>
      </c>
      <c r="B38" t="s">
        <v>71</v>
      </c>
      <c r="C38" s="9">
        <v>2.3900000000000001E-2</v>
      </c>
      <c r="D38" s="9">
        <v>2.1700000000000001E-2</v>
      </c>
      <c r="E38" s="10">
        <v>1.9699999999999999E-2</v>
      </c>
      <c r="F38" s="10">
        <v>1.72E-2</v>
      </c>
      <c r="G38" s="10">
        <v>1.5800000000000002E-2</v>
      </c>
      <c r="H38" s="10">
        <v>1.7000000000000001E-2</v>
      </c>
      <c r="I38" s="10">
        <v>1.6400000000000001E-2</v>
      </c>
      <c r="J38" s="10">
        <v>2.2599999999999999E-2</v>
      </c>
      <c r="K38" s="10">
        <v>1.3899999999999999E-2</v>
      </c>
      <c r="L38" s="10">
        <v>1.1299999999999999E-2</v>
      </c>
      <c r="M38" s="10">
        <v>9.4999999999999998E-3</v>
      </c>
      <c r="N38" s="10">
        <v>7.1000000000000004E-3</v>
      </c>
      <c r="O38" s="11">
        <f t="shared" si="1"/>
        <v>1.5049999999999999E-2</v>
      </c>
      <c r="P38" s="4">
        <f t="shared" ca="1" si="2"/>
        <v>217</v>
      </c>
      <c r="Q38" s="4">
        <f t="shared" ca="1" si="5"/>
        <v>143</v>
      </c>
      <c r="R38" s="11">
        <f t="shared" ca="1" si="3"/>
        <v>2.3026111111111108E-2</v>
      </c>
      <c r="S38" s="5">
        <f t="shared" ca="1" si="4"/>
        <v>0.52997416020671828</v>
      </c>
    </row>
    <row r="39" spans="1:19" x14ac:dyDescent="0.25">
      <c r="A39" t="s">
        <v>72</v>
      </c>
      <c r="B39" t="s">
        <v>73</v>
      </c>
      <c r="C39" s="9">
        <v>2.92E-2</v>
      </c>
      <c r="D39" s="9">
        <v>2.69E-2</v>
      </c>
      <c r="E39" s="10">
        <v>2.46E-2</v>
      </c>
      <c r="F39" s="10">
        <v>2.7300000000000001E-2</v>
      </c>
      <c r="G39" s="10">
        <v>3.0099999999999998E-2</v>
      </c>
      <c r="H39" s="10">
        <v>4.7000000000000002E-3</v>
      </c>
      <c r="I39" s="10">
        <v>4.7999999999999996E-3</v>
      </c>
      <c r="J39" s="10">
        <v>4.82E-2</v>
      </c>
      <c r="K39" s="10">
        <v>3.39E-2</v>
      </c>
      <c r="L39" s="10">
        <v>2.8199999999999999E-2</v>
      </c>
      <c r="M39" s="10">
        <v>3.4299999999999997E-2</v>
      </c>
      <c r="N39" s="10">
        <v>3.49E-2</v>
      </c>
      <c r="O39" s="11">
        <f t="shared" si="1"/>
        <v>2.7099999999999996E-2</v>
      </c>
      <c r="P39" s="4">
        <f t="shared" ca="1" si="2"/>
        <v>217</v>
      </c>
      <c r="Q39" s="4">
        <f t="shared" ca="1" si="5"/>
        <v>143</v>
      </c>
      <c r="R39" s="11">
        <f t="shared" ca="1" si="3"/>
        <v>2.8286388888888889E-2</v>
      </c>
      <c r="S39" s="5">
        <f t="shared" ca="1" si="4"/>
        <v>4.377818778187792E-2</v>
      </c>
    </row>
    <row r="40" spans="1:19" x14ac:dyDescent="0.25">
      <c r="A40" t="s">
        <v>74</v>
      </c>
      <c r="B40" t="s">
        <v>75</v>
      </c>
      <c r="C40" s="9">
        <v>2.81E-2</v>
      </c>
      <c r="D40" s="9">
        <v>2.64E-2</v>
      </c>
      <c r="E40" s="10">
        <v>2.8299999999999999E-2</v>
      </c>
      <c r="F40" s="10">
        <v>3.4200000000000001E-2</v>
      </c>
      <c r="G40" s="10">
        <v>3.4299999999999997E-2</v>
      </c>
      <c r="H40" s="10">
        <v>3.4099999999999998E-2</v>
      </c>
      <c r="I40" s="10">
        <v>0.03</v>
      </c>
      <c r="J40" s="10">
        <v>3.0599999999999999E-2</v>
      </c>
      <c r="K40" s="10">
        <v>2.4299999999999999E-2</v>
      </c>
      <c r="L40" s="10">
        <v>2.2100000000000002E-2</v>
      </c>
      <c r="M40" s="10">
        <v>2.1100000000000001E-2</v>
      </c>
      <c r="N40" s="10">
        <v>1.72E-2</v>
      </c>
      <c r="O40" s="11">
        <f t="shared" si="1"/>
        <v>2.7619999999999995E-2</v>
      </c>
      <c r="P40" s="4">
        <f t="shared" ca="1" si="2"/>
        <v>217</v>
      </c>
      <c r="Q40" s="4">
        <f t="shared" ca="1" si="5"/>
        <v>143</v>
      </c>
      <c r="R40" s="11">
        <f t="shared" ca="1" si="3"/>
        <v>2.7424722222222218E-2</v>
      </c>
      <c r="S40" s="5">
        <f t="shared" ca="1" si="4"/>
        <v>-7.070158500281587E-3</v>
      </c>
    </row>
    <row r="41" spans="1:19" x14ac:dyDescent="0.25">
      <c r="A41" t="s">
        <v>76</v>
      </c>
      <c r="B41" t="s">
        <v>77</v>
      </c>
      <c r="C41" s="9">
        <v>3.8100000000000002E-2</v>
      </c>
      <c r="D41" s="9">
        <v>3.5999999999999997E-2</v>
      </c>
      <c r="E41" s="10">
        <v>3.7999999999999999E-2</v>
      </c>
      <c r="F41" s="10">
        <v>1.0999999999999999E-2</v>
      </c>
      <c r="G41" s="10"/>
      <c r="H41" s="10"/>
      <c r="I41" s="10"/>
      <c r="J41" s="10"/>
      <c r="K41" s="10"/>
      <c r="L41" s="10"/>
      <c r="M41" s="10"/>
      <c r="N41" s="10"/>
      <c r="O41" s="11">
        <f t="shared" si="1"/>
        <v>2.4500000000000001E-2</v>
      </c>
      <c r="P41" s="4">
        <f t="shared" ca="1" si="2"/>
        <v>217</v>
      </c>
      <c r="Q41" s="4">
        <f t="shared" ca="1" si="5"/>
        <v>143</v>
      </c>
      <c r="R41" s="11">
        <f t="shared" ca="1" si="3"/>
        <v>3.7265833333333331E-2</v>
      </c>
      <c r="S41" s="5">
        <f t="shared" ca="1" si="4"/>
        <v>0.52105442176870742</v>
      </c>
    </row>
    <row r="42" spans="1:19" x14ac:dyDescent="0.25">
      <c r="A42" t="s">
        <v>78</v>
      </c>
      <c r="B42" t="s">
        <v>79</v>
      </c>
      <c r="C42" s="9">
        <v>3.5900000000000001E-2</v>
      </c>
      <c r="D42" s="9">
        <v>3.3399999999999999E-2</v>
      </c>
      <c r="E42" s="10">
        <v>3.2199999999999999E-2</v>
      </c>
      <c r="F42" s="10">
        <v>3.2500000000000001E-2</v>
      </c>
      <c r="G42" s="10">
        <v>2.52E-2</v>
      </c>
      <c r="H42" s="10">
        <v>2.9399999999999999E-2</v>
      </c>
      <c r="I42" s="10">
        <v>3.2800000000000003E-2</v>
      </c>
      <c r="J42" s="10">
        <v>2.6200000000000001E-2</v>
      </c>
      <c r="K42" s="10">
        <v>2.5499999999999998E-2</v>
      </c>
      <c r="L42" s="10">
        <v>2.2599999999999999E-2</v>
      </c>
      <c r="M42" s="10">
        <v>1.9900000000000001E-2</v>
      </c>
      <c r="N42" s="10">
        <v>1.72E-2</v>
      </c>
      <c r="O42" s="11">
        <f t="shared" si="1"/>
        <v>2.6350000000000002E-2</v>
      </c>
      <c r="P42" s="4">
        <f t="shared" ca="1" si="2"/>
        <v>217</v>
      </c>
      <c r="Q42" s="4">
        <f t="shared" ca="1" si="5"/>
        <v>143</v>
      </c>
      <c r="R42" s="11">
        <f t="shared" ca="1" si="3"/>
        <v>3.4906944444444449E-2</v>
      </c>
      <c r="S42" s="5">
        <f t="shared" ca="1" si="4"/>
        <v>0.32474172464684803</v>
      </c>
    </row>
    <row r="43" spans="1:19" x14ac:dyDescent="0.25">
      <c r="A43" t="s">
        <v>80</v>
      </c>
      <c r="B43" t="s">
        <v>81</v>
      </c>
      <c r="C43" s="9">
        <v>3.09E-2</v>
      </c>
      <c r="D43" s="9">
        <v>3.0099999999999998E-2</v>
      </c>
      <c r="E43" s="10">
        <v>3.4599999999999999E-2</v>
      </c>
      <c r="F43" s="10">
        <v>4.1000000000000002E-2</v>
      </c>
      <c r="G43" s="10">
        <v>4.0300000000000002E-2</v>
      </c>
      <c r="H43" s="10">
        <v>4.2200000000000001E-2</v>
      </c>
      <c r="I43" s="10">
        <v>4.1599999999999998E-2</v>
      </c>
      <c r="J43" s="10">
        <v>0.05</v>
      </c>
      <c r="K43" s="10">
        <v>2.6200000000000001E-2</v>
      </c>
      <c r="L43" s="10">
        <v>3.49E-2</v>
      </c>
      <c r="M43" s="10">
        <v>4.7800000000000002E-2</v>
      </c>
      <c r="N43" s="10">
        <v>4.6399999999999997E-2</v>
      </c>
      <c r="O43" s="11">
        <f t="shared" si="1"/>
        <v>4.0500000000000001E-2</v>
      </c>
      <c r="P43" s="4">
        <f t="shared" ca="1" si="2"/>
        <v>217</v>
      </c>
      <c r="Q43" s="4">
        <f t="shared" ca="1" si="5"/>
        <v>143</v>
      </c>
      <c r="R43" s="11">
        <f t="shared" ca="1" si="3"/>
        <v>3.0582222222222226E-2</v>
      </c>
      <c r="S43" s="5">
        <f t="shared" ca="1" si="4"/>
        <v>-0.24488340192043889</v>
      </c>
    </row>
    <row r="44" spans="1:19" x14ac:dyDescent="0.25">
      <c r="A44" t="s">
        <v>82</v>
      </c>
      <c r="B44" t="s">
        <v>83</v>
      </c>
      <c r="C44" s="9">
        <v>2.4199999999999999E-2</v>
      </c>
      <c r="D44" s="9">
        <v>2.3400000000000001E-2</v>
      </c>
      <c r="E44" s="10">
        <v>2.6599999999999999E-2</v>
      </c>
      <c r="F44" s="10">
        <v>2.6200000000000001E-2</v>
      </c>
      <c r="G44" s="10">
        <v>2.46E-2</v>
      </c>
      <c r="H44" s="10">
        <v>2.2599999999999999E-2</v>
      </c>
      <c r="I44" s="10">
        <v>2.1899999999999999E-2</v>
      </c>
      <c r="J44" s="10">
        <v>1.6E-2</v>
      </c>
      <c r="K44" s="10">
        <v>1.3599999999999999E-2</v>
      </c>
      <c r="L44" s="10">
        <v>1.4999999999999999E-2</v>
      </c>
      <c r="M44" s="10">
        <v>0.13689999999999999</v>
      </c>
      <c r="N44" s="10">
        <v>5.5999999999999999E-3</v>
      </c>
      <c r="O44" s="11">
        <f t="shared" si="1"/>
        <v>3.09E-2</v>
      </c>
      <c r="P44" s="4">
        <f t="shared" ca="1" si="2"/>
        <v>217</v>
      </c>
      <c r="Q44" s="4">
        <f t="shared" ca="1" si="5"/>
        <v>143</v>
      </c>
      <c r="R44" s="11">
        <f t="shared" ca="1" si="3"/>
        <v>2.3882222222222221E-2</v>
      </c>
      <c r="S44" s="5">
        <f t="shared" ca="1" si="4"/>
        <v>-0.22711254944264658</v>
      </c>
    </row>
    <row r="45" spans="1:19" x14ac:dyDescent="0.25">
      <c r="A45" t="s">
        <v>84</v>
      </c>
      <c r="B45" t="s">
        <v>85</v>
      </c>
      <c r="C45" s="9">
        <v>1.6299999999999999E-2</v>
      </c>
      <c r="D45" s="9">
        <v>1.4999999999999999E-2</v>
      </c>
      <c r="E45" s="10">
        <v>1.5299999999999999E-2</v>
      </c>
      <c r="F45" s="10">
        <v>3.9300000000000002E-2</v>
      </c>
      <c r="G45" s="10">
        <v>3.1E-2</v>
      </c>
      <c r="H45" s="10">
        <v>3.6799999999999999E-2</v>
      </c>
      <c r="I45" s="10">
        <v>4.2700000000000002E-2</v>
      </c>
      <c r="J45" s="10">
        <v>4.1700000000000001E-2</v>
      </c>
      <c r="K45" s="10">
        <v>3.1899999999999998E-2</v>
      </c>
      <c r="L45" s="10">
        <v>2.69E-2</v>
      </c>
      <c r="M45" s="10">
        <v>3.09E-2</v>
      </c>
      <c r="N45" s="10"/>
      <c r="O45" s="11">
        <f t="shared" si="1"/>
        <v>3.2944444444444443E-2</v>
      </c>
      <c r="P45" s="4">
        <f t="shared" ca="1" si="2"/>
        <v>217</v>
      </c>
      <c r="Q45" s="4">
        <f t="shared" ca="1" si="5"/>
        <v>143</v>
      </c>
      <c r="R45" s="11">
        <f t="shared" ca="1" si="3"/>
        <v>1.5783611111111109E-2</v>
      </c>
      <c r="S45" s="5">
        <f t="shared" ca="1" si="4"/>
        <v>-0.52090219224283307</v>
      </c>
    </row>
    <row r="46" spans="1:19" x14ac:dyDescent="0.25">
      <c r="A46" t="s">
        <v>86</v>
      </c>
      <c r="B46" t="s">
        <v>87</v>
      </c>
      <c r="C46" s="9">
        <v>1.5599999999999999E-2</v>
      </c>
      <c r="D46" s="9">
        <v>1.41E-2</v>
      </c>
      <c r="E46" s="10">
        <v>1.5900000000000001E-2</v>
      </c>
      <c r="F46" s="10">
        <v>1.47E-2</v>
      </c>
      <c r="G46" s="10">
        <v>1.6500000000000001E-2</v>
      </c>
      <c r="H46" s="10">
        <v>2.0500000000000001E-2</v>
      </c>
      <c r="I46" s="10">
        <v>1.24E-2</v>
      </c>
      <c r="J46" s="10">
        <v>7.3000000000000001E-3</v>
      </c>
      <c r="K46" s="10">
        <v>7.9000000000000008E-3</v>
      </c>
      <c r="L46" s="10">
        <v>8.3999999999999995E-3</v>
      </c>
      <c r="M46" s="10">
        <v>1.0699999999999999E-2</v>
      </c>
      <c r="N46" s="10">
        <v>1.8599999999999998E-2</v>
      </c>
      <c r="O46" s="11">
        <f t="shared" si="1"/>
        <v>1.3290000000000001E-2</v>
      </c>
      <c r="P46" s="4">
        <f t="shared" ca="1" si="2"/>
        <v>217</v>
      </c>
      <c r="Q46" s="4">
        <f t="shared" ca="1" si="5"/>
        <v>143</v>
      </c>
      <c r="R46" s="11">
        <f t="shared" ca="1" si="3"/>
        <v>1.5004166666666666E-2</v>
      </c>
      <c r="S46" s="5">
        <f t="shared" ca="1" si="4"/>
        <v>0.12898169049410568</v>
      </c>
    </row>
    <row r="47" spans="1:19" x14ac:dyDescent="0.25">
      <c r="A47" t="s">
        <v>88</v>
      </c>
      <c r="B47" t="s">
        <v>89</v>
      </c>
      <c r="C47" s="9">
        <v>1.15E-2</v>
      </c>
      <c r="D47" s="9">
        <v>1.2E-2</v>
      </c>
      <c r="E47" s="10">
        <v>8.8999999999999999E-3</v>
      </c>
      <c r="F47" s="10">
        <v>9.1000000000000004E-3</v>
      </c>
      <c r="G47" s="10">
        <v>6.1000000000000004E-3</v>
      </c>
      <c r="H47" s="10">
        <v>8.8999999999999999E-3</v>
      </c>
      <c r="I47" s="10">
        <v>2.5999999999999999E-3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1">
        <f t="shared" si="1"/>
        <v>3.5599999999999998E-3</v>
      </c>
      <c r="P47" s="4">
        <f t="shared" ca="1" si="2"/>
        <v>217</v>
      </c>
      <c r="Q47" s="4">
        <f t="shared" ca="1" si="5"/>
        <v>143</v>
      </c>
      <c r="R47" s="11">
        <f t="shared" ca="1" si="3"/>
        <v>1.1698611111111111E-2</v>
      </c>
      <c r="S47" s="5">
        <f t="shared" ca="1" si="4"/>
        <v>2.2861267166042447</v>
      </c>
    </row>
    <row r="48" spans="1:19" x14ac:dyDescent="0.25">
      <c r="A48" t="s">
        <v>90</v>
      </c>
      <c r="B48" t="s">
        <v>91</v>
      </c>
      <c r="C48" s="9">
        <v>3.0300000000000001E-2</v>
      </c>
      <c r="D48" s="9">
        <v>2.7900000000000001E-2</v>
      </c>
      <c r="E48" s="10">
        <v>2.7E-2</v>
      </c>
      <c r="F48" s="10">
        <v>3.1099999999999999E-2</v>
      </c>
      <c r="G48" s="10">
        <v>3.0499999999999999E-2</v>
      </c>
      <c r="H48" s="10">
        <v>2.8899999999999999E-2</v>
      </c>
      <c r="I48" s="10">
        <v>2.93E-2</v>
      </c>
      <c r="J48" s="10">
        <v>3.0099999999999998E-2</v>
      </c>
      <c r="K48" s="10">
        <v>1.8800000000000001E-2</v>
      </c>
      <c r="L48" s="10">
        <v>1.8499999999999999E-2</v>
      </c>
      <c r="M48" s="10">
        <v>1.7100000000000001E-2</v>
      </c>
      <c r="N48" s="10">
        <v>1.6299999999999999E-2</v>
      </c>
      <c r="O48" s="11">
        <f t="shared" si="1"/>
        <v>2.4759999999999997E-2</v>
      </c>
      <c r="P48" s="4">
        <f t="shared" ca="1" si="2"/>
        <v>217</v>
      </c>
      <c r="Q48" s="4">
        <f t="shared" ca="1" si="5"/>
        <v>143</v>
      </c>
      <c r="R48" s="11">
        <f t="shared" ca="1" si="3"/>
        <v>2.9346666666666667E-2</v>
      </c>
      <c r="S48" s="5">
        <f t="shared" ca="1" si="4"/>
        <v>0.1852450188476038</v>
      </c>
    </row>
    <row r="49" spans="1:19" x14ac:dyDescent="0.25">
      <c r="A49" t="s">
        <v>92</v>
      </c>
      <c r="B49" t="s">
        <v>93</v>
      </c>
      <c r="C49" s="9">
        <v>3.4700000000000002E-2</v>
      </c>
      <c r="D49" s="9">
        <v>3.3399999999999999E-2</v>
      </c>
      <c r="E49" s="10">
        <v>3.1300000000000001E-2</v>
      </c>
      <c r="F49" s="10">
        <v>3.5099999999999999E-2</v>
      </c>
      <c r="G49" s="10">
        <v>3.6999999999999998E-2</v>
      </c>
      <c r="H49" s="10">
        <v>4.1099999999999998E-2</v>
      </c>
      <c r="I49" s="10">
        <v>4.3999999999999997E-2</v>
      </c>
      <c r="J49" s="10">
        <v>7.2300000000000003E-2</v>
      </c>
      <c r="K49" s="10">
        <v>5.0999999999999997E-2</v>
      </c>
      <c r="L49" s="10">
        <v>3.7100000000000001E-2</v>
      </c>
      <c r="M49" s="10">
        <v>3.2599999999999997E-2</v>
      </c>
      <c r="N49" s="10">
        <v>2.53E-2</v>
      </c>
      <c r="O49" s="11">
        <f t="shared" si="1"/>
        <v>4.0680000000000008E-2</v>
      </c>
      <c r="P49" s="4">
        <f t="shared" ca="1" si="2"/>
        <v>217</v>
      </c>
      <c r="Q49" s="4">
        <f t="shared" ca="1" si="5"/>
        <v>143</v>
      </c>
      <c r="R49" s="11">
        <f t="shared" ca="1" si="3"/>
        <v>3.4183611111111109E-2</v>
      </c>
      <c r="S49" s="5">
        <f t="shared" ca="1" si="4"/>
        <v>-0.15969490877308012</v>
      </c>
    </row>
    <row r="50" spans="1:19" x14ac:dyDescent="0.25">
      <c r="A50" t="s">
        <v>94</v>
      </c>
      <c r="B50" t="s">
        <v>95</v>
      </c>
      <c r="C50" s="9">
        <v>4.7E-2</v>
      </c>
      <c r="D50" s="9">
        <v>4.3999999999999997E-2</v>
      </c>
      <c r="E50" s="10">
        <v>4.3200000000000002E-2</v>
      </c>
      <c r="F50" s="10">
        <v>3.8699999999999998E-2</v>
      </c>
      <c r="G50" s="10">
        <v>3.5900000000000001E-2</v>
      </c>
      <c r="H50" s="10">
        <v>4.1700000000000001E-2</v>
      </c>
      <c r="I50" s="10">
        <v>4.65E-2</v>
      </c>
      <c r="J50" s="10">
        <v>3.5400000000000001E-2</v>
      </c>
      <c r="K50" s="10"/>
      <c r="L50" s="10"/>
      <c r="M50" s="10"/>
      <c r="N50" s="10"/>
      <c r="O50" s="11">
        <f t="shared" si="1"/>
        <v>4.0233333333333336E-2</v>
      </c>
      <c r="P50" s="4">
        <f t="shared" ca="1" si="2"/>
        <v>217</v>
      </c>
      <c r="Q50" s="4">
        <f t="shared" ca="1" si="5"/>
        <v>143</v>
      </c>
      <c r="R50" s="11">
        <f t="shared" ca="1" si="3"/>
        <v>4.5808333333333326E-2</v>
      </c>
      <c r="S50" s="5">
        <f t="shared" ca="1" si="4"/>
        <v>0.13856669428334678</v>
      </c>
    </row>
    <row r="51" spans="1:19" x14ac:dyDescent="0.25">
      <c r="A51" t="s">
        <v>96</v>
      </c>
      <c r="B51" t="s">
        <v>97</v>
      </c>
      <c r="C51" s="9">
        <v>3.27E-2</v>
      </c>
      <c r="D51" s="9">
        <v>3.0599999999999999E-2</v>
      </c>
      <c r="E51" s="10">
        <v>2.9700000000000001E-2</v>
      </c>
      <c r="F51" s="10">
        <v>3.49E-2</v>
      </c>
      <c r="G51" s="10">
        <v>3.1E-2</v>
      </c>
      <c r="H51" s="10">
        <v>0.03</v>
      </c>
      <c r="I51" s="10">
        <v>3.2099999999999997E-2</v>
      </c>
      <c r="J51" s="10">
        <v>2.3800000000000002E-2</v>
      </c>
      <c r="K51" s="10">
        <v>2.0899999999999998E-2</v>
      </c>
      <c r="L51" s="10">
        <v>2.07E-2</v>
      </c>
      <c r="M51" s="10">
        <v>1.8599999999999998E-2</v>
      </c>
      <c r="N51" s="10">
        <v>1.72E-2</v>
      </c>
      <c r="O51" s="11">
        <f t="shared" si="1"/>
        <v>2.5890000000000003E-2</v>
      </c>
      <c r="P51" s="4">
        <f t="shared" ca="1" si="2"/>
        <v>217</v>
      </c>
      <c r="Q51" s="4">
        <f t="shared" ca="1" si="5"/>
        <v>143</v>
      </c>
      <c r="R51" s="11">
        <f t="shared" ca="1" si="3"/>
        <v>3.1865833333333329E-2</v>
      </c>
      <c r="S51" s="5">
        <f t="shared" ca="1" si="4"/>
        <v>0.23081627397965732</v>
      </c>
    </row>
    <row r="52" spans="1:19" x14ac:dyDescent="0.25">
      <c r="A52" t="s">
        <v>98</v>
      </c>
      <c r="B52" t="s">
        <v>99</v>
      </c>
      <c r="C52" s="9">
        <v>4.3499999999999997E-2</v>
      </c>
      <c r="D52" s="9">
        <v>4.1700000000000001E-2</v>
      </c>
      <c r="E52" s="10">
        <v>4.2500000000000003E-2</v>
      </c>
      <c r="F52" s="10">
        <v>4.6899999999999997E-2</v>
      </c>
      <c r="G52" s="10">
        <v>4.9399999999999999E-2</v>
      </c>
      <c r="H52" s="10">
        <v>5.3900000000000003E-2</v>
      </c>
      <c r="I52" s="10">
        <v>5.6399999999999999E-2</v>
      </c>
      <c r="J52" s="10">
        <v>5.2499999999999998E-2</v>
      </c>
      <c r="K52" s="10">
        <v>3.8199999999999998E-2</v>
      </c>
      <c r="L52" s="10">
        <v>4.3499999999999997E-2</v>
      </c>
      <c r="M52" s="10">
        <v>5.3800000000000001E-2</v>
      </c>
      <c r="N52" s="10">
        <v>3.7999999999999999E-2</v>
      </c>
      <c r="O52" s="11">
        <f t="shared" si="1"/>
        <v>4.7510000000000004E-2</v>
      </c>
      <c r="P52" s="4">
        <f t="shared" ca="1" si="2"/>
        <v>217</v>
      </c>
      <c r="Q52" s="4">
        <f t="shared" ca="1" si="5"/>
        <v>143</v>
      </c>
      <c r="R52" s="11">
        <f t="shared" ca="1" si="3"/>
        <v>4.2785000000000004E-2</v>
      </c>
      <c r="S52" s="5">
        <f t="shared" ca="1" si="4"/>
        <v>-9.9452746790149482E-2</v>
      </c>
    </row>
    <row r="53" spans="1:19" x14ac:dyDescent="0.25">
      <c r="A53" t="s">
        <v>100</v>
      </c>
      <c r="B53" t="s">
        <v>101</v>
      </c>
      <c r="C53" s="9">
        <v>2.5000000000000001E-2</v>
      </c>
      <c r="D53" s="9">
        <v>2.4400000000000002E-2</v>
      </c>
      <c r="E53" s="10">
        <v>2.3300000000000001E-2</v>
      </c>
      <c r="F53" s="10">
        <v>2.3800000000000002E-2</v>
      </c>
      <c r="G53" s="10">
        <v>2.1600000000000001E-2</v>
      </c>
      <c r="H53" s="10">
        <v>2.0400000000000001E-2</v>
      </c>
      <c r="I53" s="10">
        <v>2.0199999999999999E-2</v>
      </c>
      <c r="J53" s="10">
        <v>1.7299999999999999E-2</v>
      </c>
      <c r="K53" s="10">
        <v>1.4E-2</v>
      </c>
      <c r="L53" s="10">
        <v>1.2999999999999999E-2</v>
      </c>
      <c r="M53" s="10">
        <v>9.9000000000000008E-3</v>
      </c>
      <c r="N53" s="10">
        <v>6.7000000000000002E-3</v>
      </c>
      <c r="O53" s="11">
        <f t="shared" si="1"/>
        <v>1.7020000000000004E-2</v>
      </c>
      <c r="P53" s="4">
        <f t="shared" ca="1" si="2"/>
        <v>217</v>
      </c>
      <c r="Q53" s="4">
        <f t="shared" ca="1" si="5"/>
        <v>143</v>
      </c>
      <c r="R53" s="11">
        <f t="shared" ca="1" si="3"/>
        <v>2.4761666666666668E-2</v>
      </c>
      <c r="S53" s="5">
        <f t="shared" ca="1" si="4"/>
        <v>0.45485703094398722</v>
      </c>
    </row>
    <row r="54" spans="1:19" x14ac:dyDescent="0.25">
      <c r="A54" t="s">
        <v>102</v>
      </c>
      <c r="B54" t="s">
        <v>103</v>
      </c>
      <c r="C54" s="9">
        <v>3.1399999999999997E-2</v>
      </c>
      <c r="D54" s="9">
        <v>2.7400000000000001E-2</v>
      </c>
      <c r="E54" s="10">
        <v>1.9900000000000001E-2</v>
      </c>
      <c r="F54" s="10">
        <v>2.5600000000000001E-2</v>
      </c>
      <c r="G54" s="10">
        <v>2.5700000000000001E-2</v>
      </c>
      <c r="H54" s="10">
        <v>1.8499999999999999E-2</v>
      </c>
      <c r="I54" s="10">
        <v>1.12E-2</v>
      </c>
      <c r="J54" s="10">
        <v>2.0799999999999999E-2</v>
      </c>
      <c r="K54" s="10"/>
      <c r="L54" s="10"/>
      <c r="M54" s="10"/>
      <c r="N54" s="10"/>
      <c r="O54" s="11">
        <f t="shared" si="1"/>
        <v>2.0283333333333334E-2</v>
      </c>
      <c r="P54" s="4">
        <f t="shared" ca="1" si="2"/>
        <v>217</v>
      </c>
      <c r="Q54" s="4">
        <f t="shared" ca="1" si="5"/>
        <v>143</v>
      </c>
      <c r="R54" s="11">
        <f t="shared" ca="1" si="3"/>
        <v>2.9811111111111111E-2</v>
      </c>
      <c r="S54" s="5">
        <f t="shared" ca="1" si="4"/>
        <v>0.46973431936455756</v>
      </c>
    </row>
    <row r="55" spans="1:19" x14ac:dyDescent="0.25">
      <c r="A55" t="s">
        <v>104</v>
      </c>
      <c r="B55" t="s">
        <v>105</v>
      </c>
      <c r="C55" s="9">
        <v>1.38E-2</v>
      </c>
      <c r="D55" s="9">
        <v>1.24E-2</v>
      </c>
      <c r="E55" s="10">
        <v>1.35E-2</v>
      </c>
      <c r="F55" s="10">
        <v>1.67E-2</v>
      </c>
      <c r="G55" s="10">
        <v>1.5900000000000001E-2</v>
      </c>
      <c r="H55" s="10">
        <v>1.4999999999999999E-2</v>
      </c>
      <c r="I55" s="10">
        <v>1.5699999999999999E-2</v>
      </c>
      <c r="J55" s="10">
        <v>1.5900000000000001E-2</v>
      </c>
      <c r="K55" s="10">
        <v>8.3000000000000001E-3</v>
      </c>
      <c r="L55" s="10">
        <v>8.9999999999999993E-3</v>
      </c>
      <c r="M55" s="10">
        <v>1.03E-2</v>
      </c>
      <c r="N55" s="10">
        <v>1.0800000000000001E-2</v>
      </c>
      <c r="O55" s="11">
        <f t="shared" si="1"/>
        <v>1.311E-2</v>
      </c>
      <c r="P55" s="4">
        <f t="shared" ca="1" si="2"/>
        <v>217</v>
      </c>
      <c r="Q55" s="4">
        <f t="shared" ca="1" si="5"/>
        <v>143</v>
      </c>
      <c r="R55" s="11">
        <f t="shared" ca="1" si="3"/>
        <v>1.3243888888888888E-2</v>
      </c>
      <c r="S55" s="5">
        <f t="shared" ca="1" si="4"/>
        <v>1.021272989236377E-2</v>
      </c>
    </row>
    <row r="56" spans="1:19" x14ac:dyDescent="0.25">
      <c r="A56" t="s">
        <v>106</v>
      </c>
      <c r="B56" t="s">
        <v>107</v>
      </c>
      <c r="C56" s="9">
        <v>3.5099999999999999E-2</v>
      </c>
      <c r="D56" s="9">
        <v>3.1899999999999998E-2</v>
      </c>
      <c r="E56" s="10">
        <v>2.8000000000000001E-2</v>
      </c>
      <c r="F56" s="10">
        <v>2.58E-2</v>
      </c>
      <c r="G56" s="10">
        <v>3.0300000000000001E-2</v>
      </c>
      <c r="H56" s="10">
        <v>2.6100000000000002E-2</v>
      </c>
      <c r="I56" s="10">
        <v>1.9900000000000001E-2</v>
      </c>
      <c r="J56" s="10">
        <v>2.7400000000000001E-2</v>
      </c>
      <c r="K56" s="10">
        <v>1.6400000000000001E-2</v>
      </c>
      <c r="L56" s="10">
        <v>1.43E-2</v>
      </c>
      <c r="M56" s="10">
        <v>0</v>
      </c>
      <c r="N56" s="10">
        <v>0</v>
      </c>
      <c r="O56" s="11">
        <f t="shared" si="1"/>
        <v>1.882E-2</v>
      </c>
      <c r="P56" s="4">
        <f t="shared" ca="1" si="2"/>
        <v>217</v>
      </c>
      <c r="Q56" s="4">
        <f t="shared" ca="1" si="5"/>
        <v>143</v>
      </c>
      <c r="R56" s="11">
        <f t="shared" ca="1" si="3"/>
        <v>3.3828888888888888E-2</v>
      </c>
      <c r="S56" s="5">
        <f t="shared" ca="1" si="4"/>
        <v>0.79749675286338406</v>
      </c>
    </row>
    <row r="57" spans="1:19" x14ac:dyDescent="0.25">
      <c r="A57" t="s">
        <v>108</v>
      </c>
      <c r="B57" t="s">
        <v>109</v>
      </c>
      <c r="C57" s="9">
        <v>1.6799999999999999E-2</v>
      </c>
      <c r="D57" s="9">
        <v>1.5299999999999999E-2</v>
      </c>
      <c r="E57" s="10">
        <v>1.4500000000000001E-2</v>
      </c>
      <c r="F57" s="10">
        <v>1.5299999999999999E-2</v>
      </c>
      <c r="G57" s="10">
        <v>1.7899999999999999E-2</v>
      </c>
      <c r="H57" s="10">
        <v>1.55E-2</v>
      </c>
      <c r="I57" s="10">
        <v>1.4500000000000001E-2</v>
      </c>
      <c r="J57" s="10">
        <v>2.35E-2</v>
      </c>
      <c r="K57" s="10">
        <v>1.38E-2</v>
      </c>
      <c r="L57" s="10">
        <v>1.35E-2</v>
      </c>
      <c r="M57" s="10">
        <v>1.5900000000000001E-2</v>
      </c>
      <c r="N57" s="10">
        <v>2.0199999999999999E-2</v>
      </c>
      <c r="O57" s="11">
        <f t="shared" si="1"/>
        <v>1.6460000000000002E-2</v>
      </c>
      <c r="P57" s="4">
        <f t="shared" ca="1" si="2"/>
        <v>217</v>
      </c>
      <c r="Q57" s="4">
        <f t="shared" ca="1" si="5"/>
        <v>143</v>
      </c>
      <c r="R57" s="11">
        <f t="shared" ca="1" si="3"/>
        <v>1.6204166666666665E-2</v>
      </c>
      <c r="S57" s="5">
        <f t="shared" ca="1" si="4"/>
        <v>-1.5542729850141934E-2</v>
      </c>
    </row>
    <row r="58" spans="1:19" x14ac:dyDescent="0.25">
      <c r="A58" t="s">
        <v>110</v>
      </c>
      <c r="B58" t="s">
        <v>111</v>
      </c>
      <c r="C58" s="9">
        <v>2.3400000000000001E-2</v>
      </c>
      <c r="D58" s="9">
        <v>2.12E-2</v>
      </c>
      <c r="E58" s="10">
        <v>1.9599999999999999E-2</v>
      </c>
      <c r="F58" s="10">
        <v>2.1899999999999999E-2</v>
      </c>
      <c r="G58" s="10">
        <v>2.4799999999999999E-2</v>
      </c>
      <c r="H58" s="10">
        <v>2.1700000000000001E-2</v>
      </c>
      <c r="I58" s="10">
        <v>1.9199999999999998E-2</v>
      </c>
      <c r="J58" s="10">
        <v>2.3099999999999999E-2</v>
      </c>
      <c r="K58" s="10">
        <v>1.41E-2</v>
      </c>
      <c r="L58" s="10">
        <v>1.55E-2</v>
      </c>
      <c r="M58" s="10">
        <v>1.5900000000000001E-2</v>
      </c>
      <c r="N58" s="10">
        <v>1.47E-2</v>
      </c>
      <c r="O58" s="11">
        <f t="shared" si="1"/>
        <v>1.9049999999999997E-2</v>
      </c>
      <c r="P58" s="4">
        <f t="shared" ca="1" si="2"/>
        <v>217</v>
      </c>
      <c r="Q58" s="4">
        <f t="shared" ca="1" si="5"/>
        <v>143</v>
      </c>
      <c r="R58" s="11">
        <f t="shared" ca="1" si="3"/>
        <v>2.2526111111111115E-2</v>
      </c>
      <c r="S58" s="5">
        <f t="shared" ca="1" si="4"/>
        <v>0.18247302420530809</v>
      </c>
    </row>
    <row r="59" spans="1:19" x14ac:dyDescent="0.25">
      <c r="A59" t="s">
        <v>112</v>
      </c>
      <c r="B59" t="s">
        <v>113</v>
      </c>
      <c r="C59" s="9">
        <v>3.9899999999999998E-2</v>
      </c>
      <c r="D59" s="9">
        <v>3.7400000000000003E-2</v>
      </c>
      <c r="E59" s="10">
        <v>3.6299999999999999E-2</v>
      </c>
      <c r="F59" s="10">
        <v>3.8800000000000001E-2</v>
      </c>
      <c r="G59" s="10">
        <v>4.6699999999999998E-2</v>
      </c>
      <c r="H59" s="10">
        <v>5.2200000000000003E-2</v>
      </c>
      <c r="I59" s="10">
        <v>4.36E-2</v>
      </c>
      <c r="J59" s="10">
        <v>4.8500000000000001E-2</v>
      </c>
      <c r="K59" s="10">
        <v>3.2899999999999999E-2</v>
      </c>
      <c r="L59" s="10">
        <v>2.5000000000000001E-2</v>
      </c>
      <c r="M59" s="10">
        <v>2.0500000000000001E-2</v>
      </c>
      <c r="N59" s="10">
        <v>2.0400000000000001E-2</v>
      </c>
      <c r="O59" s="11">
        <f t="shared" si="1"/>
        <v>3.6490000000000002E-2</v>
      </c>
      <c r="P59" s="4">
        <f t="shared" ca="1" si="2"/>
        <v>217</v>
      </c>
      <c r="Q59" s="4">
        <f t="shared" ca="1" si="5"/>
        <v>143</v>
      </c>
      <c r="R59" s="11">
        <f t="shared" ca="1" si="3"/>
        <v>3.8906944444444438E-2</v>
      </c>
      <c r="S59" s="5">
        <f t="shared" ca="1" si="4"/>
        <v>6.6235802807466104E-2</v>
      </c>
    </row>
    <row r="60" spans="1:19" x14ac:dyDescent="0.25">
      <c r="A60" t="s">
        <v>114</v>
      </c>
      <c r="B60" t="s">
        <v>115</v>
      </c>
      <c r="C60" s="9">
        <v>3.04E-2</v>
      </c>
      <c r="D60" s="9">
        <v>2.8000000000000001E-2</v>
      </c>
      <c r="E60" s="10">
        <v>2.52E-2</v>
      </c>
      <c r="F60" s="10">
        <v>2.6499999999999999E-2</v>
      </c>
      <c r="G60" s="10">
        <v>3.1399999999999997E-2</v>
      </c>
      <c r="H60" s="10">
        <v>3.5799999999999998E-2</v>
      </c>
      <c r="I60" s="10">
        <v>4.1300000000000003E-2</v>
      </c>
      <c r="J60" s="10">
        <v>3.6799999999999999E-2</v>
      </c>
      <c r="K60" s="10">
        <v>3.1800000000000002E-2</v>
      </c>
      <c r="L60" s="10">
        <v>3.4099999999999998E-2</v>
      </c>
      <c r="M60" s="10">
        <v>3.6499999999999998E-2</v>
      </c>
      <c r="N60" s="10">
        <v>3.7600000000000001E-2</v>
      </c>
      <c r="O60" s="11">
        <f t="shared" si="1"/>
        <v>3.3700000000000001E-2</v>
      </c>
      <c r="P60" s="4">
        <f t="shared" ca="1" si="2"/>
        <v>217</v>
      </c>
      <c r="Q60" s="4">
        <f t="shared" ca="1" si="5"/>
        <v>143</v>
      </c>
      <c r="R60" s="11">
        <f t="shared" ca="1" si="3"/>
        <v>2.944666666666667E-2</v>
      </c>
      <c r="S60" s="5">
        <f t="shared" ca="1" si="4"/>
        <v>-0.12621167161226499</v>
      </c>
    </row>
    <row r="61" spans="1:19" x14ac:dyDescent="0.25">
      <c r="A61" t="s">
        <v>116</v>
      </c>
      <c r="B61" t="s">
        <v>117</v>
      </c>
      <c r="C61" s="9">
        <v>2.01E-2</v>
      </c>
      <c r="D61" s="9">
        <v>1.8100000000000002E-2</v>
      </c>
      <c r="E61" s="10">
        <v>1.9E-2</v>
      </c>
      <c r="F61" s="10">
        <v>2.2599999999999999E-2</v>
      </c>
      <c r="G61" s="10">
        <v>2.4899999999999999E-2</v>
      </c>
      <c r="H61" s="10">
        <v>2.1999999999999999E-2</v>
      </c>
      <c r="I61" s="10">
        <v>3.6999999999999998E-2</v>
      </c>
      <c r="J61" s="10">
        <v>3.6499999999999998E-2</v>
      </c>
      <c r="K61" s="10">
        <v>3.1099999999999999E-2</v>
      </c>
      <c r="L61" s="10"/>
      <c r="M61" s="10"/>
      <c r="N61" s="10"/>
      <c r="O61" s="11">
        <f t="shared" si="1"/>
        <v>2.7585714285714286E-2</v>
      </c>
      <c r="P61" s="4">
        <f t="shared" ca="1" si="2"/>
        <v>217</v>
      </c>
      <c r="Q61" s="4">
        <f t="shared" ca="1" si="5"/>
        <v>143</v>
      </c>
      <c r="R61" s="11">
        <f t="shared" ca="1" si="3"/>
        <v>1.9305555555555555E-2</v>
      </c>
      <c r="S61" s="5">
        <f t="shared" ca="1" si="4"/>
        <v>-0.3001611139881466</v>
      </c>
    </row>
    <row r="62" spans="1:19" x14ac:dyDescent="0.25">
      <c r="A62" t="s">
        <v>118</v>
      </c>
      <c r="B62" t="s">
        <v>119</v>
      </c>
      <c r="C62" s="9">
        <v>5.28E-2</v>
      </c>
      <c r="D62" s="9">
        <v>5.1200000000000002E-2</v>
      </c>
      <c r="E62" s="10">
        <v>4.8399999999999999E-2</v>
      </c>
      <c r="F62" s="10">
        <v>5.5399999999999998E-2</v>
      </c>
      <c r="G62" s="10">
        <v>4.7600000000000003E-2</v>
      </c>
      <c r="H62" s="10">
        <v>4.3299999999999998E-2</v>
      </c>
      <c r="I62" s="10">
        <v>4.1599999999999998E-2</v>
      </c>
      <c r="J62" s="10">
        <v>4.4400000000000002E-2</v>
      </c>
      <c r="K62" s="10">
        <v>4.1399999999999999E-2</v>
      </c>
      <c r="L62" s="10">
        <v>3.5700000000000003E-2</v>
      </c>
      <c r="M62" s="10">
        <v>0.03</v>
      </c>
      <c r="N62" s="10">
        <v>3.44E-2</v>
      </c>
      <c r="O62" s="11">
        <f t="shared" si="1"/>
        <v>4.2220000000000001E-2</v>
      </c>
      <c r="P62" s="4">
        <f t="shared" ca="1" si="2"/>
        <v>217</v>
      </c>
      <c r="Q62" s="4">
        <f t="shared" ca="1" si="5"/>
        <v>143</v>
      </c>
      <c r="R62" s="11">
        <f t="shared" ca="1" si="3"/>
        <v>5.2164444444444444E-2</v>
      </c>
      <c r="S62" s="5">
        <f t="shared" ca="1" si="4"/>
        <v>0.23553871256381909</v>
      </c>
    </row>
    <row r="63" spans="1:19" x14ac:dyDescent="0.25">
      <c r="A63" t="s">
        <v>120</v>
      </c>
      <c r="B63" t="s">
        <v>121</v>
      </c>
      <c r="C63" s="9">
        <v>2.86E-2</v>
      </c>
      <c r="D63" s="9">
        <v>2.7199999999999998E-2</v>
      </c>
      <c r="E63" s="10">
        <v>2.86E-2</v>
      </c>
      <c r="F63" s="10">
        <v>3.4500000000000003E-2</v>
      </c>
      <c r="G63" s="10">
        <v>3.9300000000000002E-2</v>
      </c>
      <c r="H63" s="10">
        <v>3.2599999999999997E-2</v>
      </c>
      <c r="I63" s="10">
        <v>2.98E-2</v>
      </c>
      <c r="J63" s="10">
        <v>2.4E-2</v>
      </c>
      <c r="K63" s="10">
        <v>1.72E-2</v>
      </c>
      <c r="L63" s="10"/>
      <c r="M63" s="10"/>
      <c r="N63" s="10"/>
      <c r="O63" s="11">
        <f t="shared" si="1"/>
        <v>2.9428571428571425E-2</v>
      </c>
      <c r="P63" s="4">
        <f t="shared" ca="1" si="2"/>
        <v>217</v>
      </c>
      <c r="Q63" s="4">
        <f t="shared" ca="1" si="5"/>
        <v>143</v>
      </c>
      <c r="R63" s="11">
        <f t="shared" ca="1" si="3"/>
        <v>2.8043888888888889E-2</v>
      </c>
      <c r="S63" s="5">
        <f t="shared" ca="1" si="4"/>
        <v>-4.7052319309600743E-2</v>
      </c>
    </row>
    <row r="64" spans="1:19" x14ac:dyDescent="0.25">
      <c r="A64" t="s">
        <v>122</v>
      </c>
      <c r="B64" t="s">
        <v>123</v>
      </c>
      <c r="C64" s="9">
        <v>5.1299999999999998E-2</v>
      </c>
      <c r="D64" s="9">
        <v>4.7600000000000003E-2</v>
      </c>
      <c r="E64" s="10">
        <v>4.7899999999999998E-2</v>
      </c>
      <c r="F64" s="10">
        <v>5.4100000000000002E-2</v>
      </c>
      <c r="G64" s="10">
        <v>5.33E-2</v>
      </c>
      <c r="H64" s="10">
        <v>5.9299999999999999E-2</v>
      </c>
      <c r="I64" s="10">
        <v>6.7199999999999996E-2</v>
      </c>
      <c r="J64" s="10">
        <v>0.1116</v>
      </c>
      <c r="K64" s="10">
        <v>4.0399999999999998E-2</v>
      </c>
      <c r="L64" s="10">
        <v>3.8699999999999998E-2</v>
      </c>
      <c r="M64" s="10">
        <v>4.1000000000000002E-2</v>
      </c>
      <c r="N64" s="10">
        <v>4.6199999999999998E-2</v>
      </c>
      <c r="O64" s="11">
        <f t="shared" si="1"/>
        <v>5.5969999999999999E-2</v>
      </c>
      <c r="P64" s="4">
        <f t="shared" ca="1" si="2"/>
        <v>217</v>
      </c>
      <c r="Q64" s="4">
        <f t="shared" ca="1" si="5"/>
        <v>143</v>
      </c>
      <c r="R64" s="11">
        <f t="shared" ca="1" si="3"/>
        <v>4.9830277777777779E-2</v>
      </c>
      <c r="S64" s="5">
        <f t="shared" ca="1" si="4"/>
        <v>-0.10969666289480473</v>
      </c>
    </row>
    <row r="65" spans="1:19" x14ac:dyDescent="0.25">
      <c r="A65" t="s">
        <v>124</v>
      </c>
      <c r="B65" t="s">
        <v>125</v>
      </c>
      <c r="C65" s="9">
        <v>1.12E-2</v>
      </c>
      <c r="D65" s="9">
        <v>9.1999999999999998E-3</v>
      </c>
      <c r="E65" s="10">
        <v>3.8999999999999998E-3</v>
      </c>
      <c r="F65" s="10">
        <v>0</v>
      </c>
      <c r="G65" s="10">
        <v>0</v>
      </c>
      <c r="H65" s="10">
        <v>0</v>
      </c>
      <c r="I65" s="10">
        <v>0</v>
      </c>
      <c r="J65" s="10">
        <v>0.26750000000000002</v>
      </c>
      <c r="K65" s="10">
        <v>1.32E-2</v>
      </c>
      <c r="L65" s="10">
        <v>9.1000000000000004E-3</v>
      </c>
      <c r="M65" s="10">
        <v>1.0200000000000001E-2</v>
      </c>
      <c r="N65" s="10">
        <v>4.3E-3</v>
      </c>
      <c r="O65" s="11">
        <f t="shared" si="1"/>
        <v>3.0820000000000004E-2</v>
      </c>
      <c r="P65" s="4">
        <f t="shared" ca="1" si="2"/>
        <v>217</v>
      </c>
      <c r="Q65" s="4">
        <f t="shared" ca="1" si="5"/>
        <v>143</v>
      </c>
      <c r="R65" s="11">
        <f t="shared" ca="1" si="3"/>
        <v>1.0405555555555555E-2</v>
      </c>
      <c r="S65" s="5">
        <f t="shared" ca="1" si="4"/>
        <v>-0.66237652318119555</v>
      </c>
    </row>
    <row r="66" spans="1:19" x14ac:dyDescent="0.25">
      <c r="A66" t="s">
        <v>126</v>
      </c>
      <c r="B66" t="s">
        <v>127</v>
      </c>
      <c r="C66" s="9">
        <v>2.6599999999999999E-2</v>
      </c>
      <c r="D66" s="9">
        <v>2.4199999999999999E-2</v>
      </c>
      <c r="E66" s="10">
        <v>2.12E-2</v>
      </c>
      <c r="F66" s="10">
        <v>2.9000000000000001E-2</v>
      </c>
      <c r="G66" s="10">
        <v>3.09E-2</v>
      </c>
      <c r="H66" s="10">
        <v>2.1000000000000001E-2</v>
      </c>
      <c r="I66" s="10">
        <v>1.34E-2</v>
      </c>
      <c r="J66" s="10">
        <v>2.3300000000000001E-2</v>
      </c>
      <c r="K66" s="10"/>
      <c r="L66" s="10"/>
      <c r="M66" s="10"/>
      <c r="N66" s="10"/>
      <c r="O66" s="11">
        <f t="shared" si="1"/>
        <v>2.3133333333333336E-2</v>
      </c>
      <c r="P66" s="4">
        <f t="shared" ca="1" si="2"/>
        <v>217</v>
      </c>
      <c r="Q66" s="4">
        <f t="shared" ca="1" si="5"/>
        <v>143</v>
      </c>
      <c r="R66" s="11">
        <f t="shared" ca="1" si="3"/>
        <v>2.5646666666666665E-2</v>
      </c>
      <c r="S66" s="5">
        <f t="shared" ca="1" si="4"/>
        <v>0.10864553314121017</v>
      </c>
    </row>
    <row r="67" spans="1:19" x14ac:dyDescent="0.25">
      <c r="A67" t="s">
        <v>128</v>
      </c>
      <c r="B67" t="s">
        <v>129</v>
      </c>
      <c r="C67" s="9">
        <v>3.09E-2</v>
      </c>
      <c r="D67" s="9">
        <v>2.92E-2</v>
      </c>
      <c r="E67" s="10">
        <v>2.8000000000000001E-2</v>
      </c>
      <c r="F67" s="10">
        <v>3.1899999999999998E-2</v>
      </c>
      <c r="G67" s="10">
        <v>2.8500000000000001E-2</v>
      </c>
      <c r="H67" s="10">
        <v>2.7E-2</v>
      </c>
      <c r="I67" s="10">
        <v>3.3599999999999998E-2</v>
      </c>
      <c r="J67" s="10">
        <v>2.5899999999999999E-2</v>
      </c>
      <c r="K67" s="10">
        <v>2.35E-2</v>
      </c>
      <c r="L67" s="10">
        <v>2.58E-2</v>
      </c>
      <c r="M67" s="10">
        <v>2.5000000000000001E-2</v>
      </c>
      <c r="N67" s="10">
        <v>2.3900000000000001E-2</v>
      </c>
      <c r="O67" s="11">
        <f t="shared" si="1"/>
        <v>2.7309999999999994E-2</v>
      </c>
      <c r="P67" s="4">
        <f t="shared" ca="1" si="2"/>
        <v>217</v>
      </c>
      <c r="Q67" s="4">
        <f t="shared" ca="1" si="5"/>
        <v>143</v>
      </c>
      <c r="R67" s="11">
        <f t="shared" ca="1" si="3"/>
        <v>3.0224722222222222E-2</v>
      </c>
      <c r="S67" s="5">
        <f t="shared" ca="1" si="4"/>
        <v>0.10672728752186855</v>
      </c>
    </row>
    <row r="68" spans="1:19" x14ac:dyDescent="0.25">
      <c r="A68" t="s">
        <v>130</v>
      </c>
      <c r="B68" t="s">
        <v>131</v>
      </c>
      <c r="C68" s="9">
        <v>3.15E-2</v>
      </c>
      <c r="D68" s="9">
        <v>2.9499999999999998E-2</v>
      </c>
      <c r="E68" s="10">
        <v>3.1E-2</v>
      </c>
      <c r="F68" s="10">
        <v>3.5099999999999999E-2</v>
      </c>
      <c r="G68" s="10">
        <v>3.8100000000000002E-2</v>
      </c>
      <c r="H68" s="10">
        <v>4.19E-2</v>
      </c>
      <c r="I68" s="10">
        <v>3.7699999999999997E-2</v>
      </c>
      <c r="J68" s="10">
        <v>4.3999999999999997E-2</v>
      </c>
      <c r="K68" s="10">
        <v>3.0599999999999999E-2</v>
      </c>
      <c r="L68" s="10">
        <v>2.8799999999999999E-2</v>
      </c>
      <c r="M68" s="10">
        <v>3.0200000000000001E-2</v>
      </c>
      <c r="N68" s="10">
        <v>2.4299999999999999E-2</v>
      </c>
      <c r="O68" s="11">
        <f t="shared" si="1"/>
        <v>3.4169999999999992E-2</v>
      </c>
      <c r="P68" s="4">
        <f t="shared" ca="1" si="2"/>
        <v>217</v>
      </c>
      <c r="Q68" s="4">
        <f t="shared" ca="1" si="5"/>
        <v>143</v>
      </c>
      <c r="R68" s="11">
        <f t="shared" ca="1" si="3"/>
        <v>3.0705555555555555E-2</v>
      </c>
      <c r="S68" s="5">
        <f t="shared" ca="1" si="4"/>
        <v>-0.10138848242447873</v>
      </c>
    </row>
  </sheetData>
  <mergeCells count="1">
    <mergeCell ref="P1:Q1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8"/>
  <sheetViews>
    <sheetView zoomScale="60" zoomScaleNormal="60" workbookViewId="0"/>
  </sheetViews>
  <sheetFormatPr baseColWidth="10" defaultRowHeight="15" x14ac:dyDescent="0.25"/>
  <cols>
    <col min="1" max="1" width="28" customWidth="1"/>
    <col min="2" max="2" width="20.85546875" customWidth="1"/>
    <col min="3" max="3" width="10.85546875" bestFit="1" customWidth="1"/>
    <col min="4" max="4" width="11.28515625" bestFit="1" customWidth="1"/>
    <col min="5" max="5" width="11.140625" bestFit="1" customWidth="1"/>
    <col min="6" max="7" width="11.28515625" bestFit="1" customWidth="1"/>
    <col min="8" max="8" width="11.140625" bestFit="1" customWidth="1"/>
    <col min="9" max="11" width="11.28515625" bestFit="1" customWidth="1"/>
    <col min="12" max="12" width="12" customWidth="1"/>
    <col min="13" max="13" width="10.5703125" bestFit="1" customWidth="1"/>
    <col min="14" max="15" width="12" bestFit="1" customWidth="1"/>
    <col min="16" max="17" width="12" customWidth="1"/>
    <col min="18" max="18" width="12" bestFit="1" customWidth="1"/>
    <col min="19" max="21" width="12" customWidth="1"/>
    <col min="22" max="22" width="14.140625" bestFit="1" customWidth="1"/>
    <col min="23" max="23" width="29.7109375" bestFit="1" customWidth="1"/>
  </cols>
  <sheetData>
    <row r="1" spans="1:2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60" t="s">
        <v>158</v>
      </c>
      <c r="N1" s="60"/>
      <c r="O1" s="60"/>
      <c r="P1" s="60"/>
      <c r="Q1" s="60"/>
      <c r="R1" s="60"/>
      <c r="S1" s="60"/>
      <c r="T1" s="60"/>
      <c r="U1" s="60"/>
    </row>
    <row r="2" spans="1:23" x14ac:dyDescent="0.25">
      <c r="A2" s="1"/>
      <c r="B2" s="1"/>
      <c r="C2" s="1">
        <v>2013</v>
      </c>
      <c r="D2" s="1">
        <v>2012</v>
      </c>
      <c r="E2" s="1">
        <v>2011</v>
      </c>
      <c r="F2" s="1">
        <v>2010</v>
      </c>
      <c r="G2" s="1">
        <v>2009</v>
      </c>
      <c r="H2" s="1">
        <v>2008</v>
      </c>
      <c r="I2" s="1">
        <v>2007</v>
      </c>
      <c r="J2" s="1">
        <v>2006</v>
      </c>
      <c r="K2" s="1">
        <v>2005</v>
      </c>
      <c r="L2" s="1">
        <v>2004</v>
      </c>
      <c r="M2" s="1">
        <f t="shared" ref="M2:U2" si="0">C2</f>
        <v>2013</v>
      </c>
      <c r="N2" s="1">
        <f t="shared" si="0"/>
        <v>2012</v>
      </c>
      <c r="O2" s="1">
        <f t="shared" si="0"/>
        <v>2011</v>
      </c>
      <c r="P2" s="1">
        <f t="shared" si="0"/>
        <v>2010</v>
      </c>
      <c r="Q2" s="1">
        <f t="shared" si="0"/>
        <v>2009</v>
      </c>
      <c r="R2" s="1">
        <f t="shared" si="0"/>
        <v>2008</v>
      </c>
      <c r="S2" s="1">
        <f t="shared" si="0"/>
        <v>2007</v>
      </c>
      <c r="T2" s="1">
        <f t="shared" si="0"/>
        <v>2006</v>
      </c>
      <c r="U2" s="1">
        <f t="shared" si="0"/>
        <v>2005</v>
      </c>
    </row>
    <row r="3" spans="1:23" x14ac:dyDescent="0.25">
      <c r="A3" s="1" t="s">
        <v>0</v>
      </c>
      <c r="B3" s="1" t="s">
        <v>1</v>
      </c>
      <c r="C3" s="1" t="s">
        <v>132</v>
      </c>
      <c r="D3" s="1" t="s">
        <v>133</v>
      </c>
      <c r="E3" s="1" t="s">
        <v>134</v>
      </c>
      <c r="F3" s="1" t="s">
        <v>135</v>
      </c>
      <c r="G3" s="1" t="s">
        <v>136</v>
      </c>
      <c r="H3" s="1" t="s">
        <v>137</v>
      </c>
      <c r="I3" s="1" t="s">
        <v>138</v>
      </c>
      <c r="J3" s="1" t="s">
        <v>139</v>
      </c>
      <c r="K3" s="1" t="s">
        <v>140</v>
      </c>
      <c r="L3" s="1" t="s">
        <v>141</v>
      </c>
      <c r="M3" s="1" t="s">
        <v>132</v>
      </c>
      <c r="N3" s="1" t="s">
        <v>133</v>
      </c>
      <c r="O3" s="1" t="s">
        <v>134</v>
      </c>
      <c r="P3" s="1" t="s">
        <v>135</v>
      </c>
      <c r="Q3" s="1" t="s">
        <v>136</v>
      </c>
      <c r="R3" s="1" t="s">
        <v>137</v>
      </c>
      <c r="S3" s="1" t="s">
        <v>138</v>
      </c>
      <c r="T3" s="1" t="s">
        <v>139</v>
      </c>
      <c r="U3" s="1" t="s">
        <v>140</v>
      </c>
      <c r="V3" s="1" t="s">
        <v>156</v>
      </c>
      <c r="W3" s="1" t="s">
        <v>157</v>
      </c>
    </row>
    <row r="4" spans="1:23" x14ac:dyDescent="0.25">
      <c r="A4" t="s">
        <v>2</v>
      </c>
      <c r="B4" t="s">
        <v>3</v>
      </c>
      <c r="C4" s="6">
        <v>2426</v>
      </c>
      <c r="D4" s="6">
        <v>2706</v>
      </c>
      <c r="E4" s="6">
        <v>2746</v>
      </c>
      <c r="F4" s="6">
        <v>2638</v>
      </c>
      <c r="G4" s="6">
        <v>2638</v>
      </c>
      <c r="H4" s="6">
        <v>2644</v>
      </c>
      <c r="I4" s="6">
        <v>2729</v>
      </c>
      <c r="J4" s="6">
        <v>2729</v>
      </c>
      <c r="K4" s="6">
        <v>2739</v>
      </c>
      <c r="L4" s="6">
        <v>2448</v>
      </c>
      <c r="M4" s="18">
        <f t="shared" ref="M4:U4" si="1">IF(D4&lt;&gt;"",(C4/D4)-1,0)</f>
        <v>-0.10347376201034741</v>
      </c>
      <c r="N4" s="18">
        <f t="shared" si="1"/>
        <v>-1.4566642388929352E-2</v>
      </c>
      <c r="O4" s="18">
        <f t="shared" si="1"/>
        <v>4.0940106141015953E-2</v>
      </c>
      <c r="P4" s="18">
        <f t="shared" si="1"/>
        <v>0</v>
      </c>
      <c r="Q4" s="18">
        <f t="shared" si="1"/>
        <v>-2.2692889561271024E-3</v>
      </c>
      <c r="R4" s="18">
        <f t="shared" si="1"/>
        <v>-3.1146940271161605E-2</v>
      </c>
      <c r="S4" s="18">
        <f t="shared" si="1"/>
        <v>0</v>
      </c>
      <c r="T4" s="18">
        <f t="shared" si="1"/>
        <v>-3.6509675063891578E-3</v>
      </c>
      <c r="U4" s="18">
        <f t="shared" si="1"/>
        <v>0.11887254901960786</v>
      </c>
      <c r="V4" s="5">
        <f>AVERAGE(M4:U4)</f>
        <v>5.2278378085213184E-4</v>
      </c>
      <c r="W4" s="5">
        <f>IF(V4=0,0,IF(V4&lt;0,(M4/V4)-1,IF(M4&lt;0,((M4/V4)-1)*-1,-99.99999)))</f>
        <v>198.9284090292287</v>
      </c>
    </row>
    <row r="5" spans="1:23" x14ac:dyDescent="0.25">
      <c r="A5" t="s">
        <v>4</v>
      </c>
      <c r="B5" t="s">
        <v>5</v>
      </c>
      <c r="C5" s="6">
        <v>862.56</v>
      </c>
      <c r="D5" s="6">
        <v>862.56</v>
      </c>
      <c r="E5" s="6">
        <v>862.56</v>
      </c>
      <c r="F5" s="6">
        <v>862.56</v>
      </c>
      <c r="G5" s="6">
        <v>862.56</v>
      </c>
      <c r="H5" s="6">
        <v>862.56</v>
      </c>
      <c r="I5" s="6">
        <v>862.6</v>
      </c>
      <c r="J5" s="6">
        <v>862.6</v>
      </c>
      <c r="K5" s="6">
        <v>862.6</v>
      </c>
      <c r="L5" s="6">
        <v>862.6</v>
      </c>
      <c r="M5" s="18">
        <f t="shared" ref="M5:M68" si="2">IF(D5&lt;&gt;"",(C5/D5)-1,0)</f>
        <v>0</v>
      </c>
      <c r="N5" s="18">
        <f t="shared" ref="N5:N68" si="3">IF(E5&lt;&gt;"",(D5/E5)-1,0)</f>
        <v>0</v>
      </c>
      <c r="O5" s="18">
        <f t="shared" ref="O5:O68" si="4">IF(F5&lt;&gt;"",(E5/F5)-1,0)</f>
        <v>0</v>
      </c>
      <c r="P5" s="18">
        <f t="shared" ref="P5:P68" si="5">IF(G5&lt;&gt;"",(F5/G5)-1,0)</f>
        <v>0</v>
      </c>
      <c r="Q5" s="18">
        <f t="shared" ref="Q5:Q68" si="6">IF(H5&lt;&gt;"",(G5/H5)-1,0)</f>
        <v>0</v>
      </c>
      <c r="R5" s="18">
        <f t="shared" ref="R5:R68" si="7">IF(I5&lt;&gt;"",(H5/I5)-1,0)</f>
        <v>-4.6371435196035371E-5</v>
      </c>
      <c r="S5" s="18">
        <f t="shared" ref="S5:S68" si="8">IF(J5&lt;&gt;"",(I5/J5)-1,0)</f>
        <v>0</v>
      </c>
      <c r="T5" s="18">
        <f t="shared" ref="T5:T68" si="9">IF(K5&lt;&gt;"",(J5/K5)-1,0)</f>
        <v>0</v>
      </c>
      <c r="U5" s="18">
        <f t="shared" ref="U5:U68" si="10">IF(L5&lt;&gt;"",(K5/L5)-1,0)</f>
        <v>0</v>
      </c>
      <c r="V5" s="5">
        <f t="shared" ref="V5:V68" si="11">AVERAGE(M5:U5)</f>
        <v>-5.1523816884483748E-6</v>
      </c>
      <c r="W5" s="5">
        <f t="shared" ref="W5:W68" si="12">IF(V5=0,0,IF(V5&lt;0,(M5/V5)-1,IF(M5&lt;0,((M5/V5)-1)*-1,-99.99999)))</f>
        <v>-1</v>
      </c>
    </row>
    <row r="6" spans="1:23" x14ac:dyDescent="0.25">
      <c r="A6" t="s">
        <v>6</v>
      </c>
      <c r="B6" t="s">
        <v>7</v>
      </c>
      <c r="C6" s="6">
        <v>3225</v>
      </c>
      <c r="D6" s="6">
        <v>3225</v>
      </c>
      <c r="E6" s="6">
        <v>3300</v>
      </c>
      <c r="F6" s="6">
        <v>3465</v>
      </c>
      <c r="G6" s="6">
        <v>3650</v>
      </c>
      <c r="H6" s="6">
        <v>3830</v>
      </c>
      <c r="I6" s="6">
        <v>3931</v>
      </c>
      <c r="J6" s="6">
        <v>4007</v>
      </c>
      <c r="K6" s="6">
        <v>4035</v>
      </c>
      <c r="L6" s="6">
        <v>3885</v>
      </c>
      <c r="M6" s="18">
        <f t="shared" si="2"/>
        <v>0</v>
      </c>
      <c r="N6" s="18">
        <f t="shared" si="3"/>
        <v>-2.2727272727272707E-2</v>
      </c>
      <c r="O6" s="18">
        <f t="shared" si="4"/>
        <v>-4.7619047619047672E-2</v>
      </c>
      <c r="P6" s="18">
        <f t="shared" si="5"/>
        <v>-5.0684931506849273E-2</v>
      </c>
      <c r="Q6" s="18">
        <f t="shared" si="6"/>
        <v>-4.6997389033942572E-2</v>
      </c>
      <c r="R6" s="18">
        <f t="shared" si="7"/>
        <v>-2.5693207835156495E-2</v>
      </c>
      <c r="S6" s="18">
        <f t="shared" si="8"/>
        <v>-1.8966808085849718E-2</v>
      </c>
      <c r="T6" s="18">
        <f t="shared" si="9"/>
        <v>-6.9392812887236754E-3</v>
      </c>
      <c r="U6" s="18">
        <f t="shared" si="10"/>
        <v>3.8610038610038533E-2</v>
      </c>
      <c r="V6" s="5">
        <f t="shared" si="11"/>
        <v>-2.0113099942978177E-2</v>
      </c>
      <c r="W6" s="5">
        <f t="shared" si="12"/>
        <v>-1</v>
      </c>
    </row>
    <row r="7" spans="1:23" x14ac:dyDescent="0.25">
      <c r="A7" t="s">
        <v>8</v>
      </c>
      <c r="B7" t="s">
        <v>9</v>
      </c>
      <c r="C7" s="6">
        <v>1020</v>
      </c>
      <c r="D7" s="6">
        <v>929.5</v>
      </c>
      <c r="E7" s="6">
        <v>929.5</v>
      </c>
      <c r="F7" s="6">
        <v>929.5</v>
      </c>
      <c r="G7" s="6">
        <v>620.9</v>
      </c>
      <c r="H7" s="6">
        <v>570.9</v>
      </c>
      <c r="I7" s="6">
        <v>530.4</v>
      </c>
      <c r="J7" s="6">
        <v>524.79999999999995</v>
      </c>
      <c r="K7" s="6">
        <v>505.6</v>
      </c>
      <c r="L7" s="6">
        <v>517.29999999999995</v>
      </c>
      <c r="M7" s="18">
        <f t="shared" si="2"/>
        <v>9.7364174287251304E-2</v>
      </c>
      <c r="N7" s="18">
        <f t="shared" si="3"/>
        <v>0</v>
      </c>
      <c r="O7" s="18">
        <f t="shared" si="4"/>
        <v>0</v>
      </c>
      <c r="P7" s="18">
        <f t="shared" si="5"/>
        <v>0.49702045417941698</v>
      </c>
      <c r="Q7" s="18">
        <f t="shared" si="6"/>
        <v>8.7581012436503736E-2</v>
      </c>
      <c r="R7" s="18">
        <f t="shared" si="7"/>
        <v>7.6357466063348367E-2</v>
      </c>
      <c r="S7" s="18">
        <f t="shared" si="8"/>
        <v>1.0670731707317138E-2</v>
      </c>
      <c r="T7" s="18">
        <f t="shared" si="9"/>
        <v>3.7974683544303556E-2</v>
      </c>
      <c r="U7" s="18">
        <f t="shared" si="10"/>
        <v>-2.2617436690508308E-2</v>
      </c>
      <c r="V7" s="5">
        <f t="shared" si="11"/>
        <v>8.7150120614181426E-2</v>
      </c>
      <c r="W7" s="5">
        <f t="shared" si="12"/>
        <v>-99.999989999999997</v>
      </c>
    </row>
    <row r="8" spans="1:23" x14ac:dyDescent="0.25">
      <c r="A8" t="s">
        <v>10</v>
      </c>
      <c r="B8" t="s">
        <v>11</v>
      </c>
      <c r="C8" s="6">
        <v>252</v>
      </c>
      <c r="D8" s="6">
        <v>252</v>
      </c>
      <c r="E8" s="6">
        <v>252</v>
      </c>
      <c r="F8" s="6">
        <v>252</v>
      </c>
      <c r="G8" s="6">
        <v>252</v>
      </c>
      <c r="H8" s="6">
        <v>252</v>
      </c>
      <c r="I8" s="6">
        <v>252</v>
      </c>
      <c r="J8" s="6">
        <v>252</v>
      </c>
      <c r="K8" s="6">
        <v>252</v>
      </c>
      <c r="L8" s="6">
        <v>252</v>
      </c>
      <c r="M8" s="18">
        <f t="shared" si="2"/>
        <v>0</v>
      </c>
      <c r="N8" s="18">
        <f t="shared" si="3"/>
        <v>0</v>
      </c>
      <c r="O8" s="18">
        <f t="shared" si="4"/>
        <v>0</v>
      </c>
      <c r="P8" s="18">
        <f t="shared" si="5"/>
        <v>0</v>
      </c>
      <c r="Q8" s="18">
        <f t="shared" si="6"/>
        <v>0</v>
      </c>
      <c r="R8" s="18">
        <f t="shared" si="7"/>
        <v>0</v>
      </c>
      <c r="S8" s="18">
        <f t="shared" si="8"/>
        <v>0</v>
      </c>
      <c r="T8" s="18">
        <f t="shared" si="9"/>
        <v>0</v>
      </c>
      <c r="U8" s="18">
        <f t="shared" si="10"/>
        <v>0</v>
      </c>
      <c r="V8" s="5">
        <f t="shared" si="11"/>
        <v>0</v>
      </c>
      <c r="W8" s="5">
        <f t="shared" si="12"/>
        <v>0</v>
      </c>
    </row>
    <row r="9" spans="1:23" x14ac:dyDescent="0.25">
      <c r="A9" t="s">
        <v>12</v>
      </c>
      <c r="B9" t="s">
        <v>13</v>
      </c>
      <c r="C9" s="6">
        <v>1209</v>
      </c>
      <c r="D9" s="6">
        <v>1209</v>
      </c>
      <c r="E9" s="6">
        <v>1209</v>
      </c>
      <c r="F9" s="6">
        <v>1209</v>
      </c>
      <c r="G9" s="6">
        <v>1209</v>
      </c>
      <c r="H9" s="6">
        <v>1209</v>
      </c>
      <c r="I9" s="6">
        <v>1208</v>
      </c>
      <c r="J9" s="6">
        <v>1202</v>
      </c>
      <c r="K9" s="6">
        <v>1193</v>
      </c>
      <c r="L9" s="6">
        <v>1113</v>
      </c>
      <c r="M9" s="18">
        <f t="shared" si="2"/>
        <v>0</v>
      </c>
      <c r="N9" s="18">
        <f t="shared" si="3"/>
        <v>0</v>
      </c>
      <c r="O9" s="18">
        <f t="shared" si="4"/>
        <v>0</v>
      </c>
      <c r="P9" s="18">
        <f t="shared" si="5"/>
        <v>0</v>
      </c>
      <c r="Q9" s="18">
        <f t="shared" si="6"/>
        <v>0</v>
      </c>
      <c r="R9" s="18">
        <f t="shared" si="7"/>
        <v>8.2781456953640031E-4</v>
      </c>
      <c r="S9" s="18">
        <f t="shared" si="8"/>
        <v>4.991680532445919E-3</v>
      </c>
      <c r="T9" s="18">
        <f t="shared" si="9"/>
        <v>7.5440067057837012E-3</v>
      </c>
      <c r="U9" s="18">
        <f t="shared" si="10"/>
        <v>7.1877807726864251E-2</v>
      </c>
      <c r="V9" s="5">
        <f t="shared" si="11"/>
        <v>9.4712566149589197E-3</v>
      </c>
      <c r="W9" s="5">
        <f t="shared" si="12"/>
        <v>-99.999989999999997</v>
      </c>
    </row>
    <row r="10" spans="1:23" x14ac:dyDescent="0.25">
      <c r="A10" t="s">
        <v>14</v>
      </c>
      <c r="B10" t="s">
        <v>15</v>
      </c>
      <c r="C10" s="6">
        <v>4451</v>
      </c>
      <c r="D10" s="6">
        <v>4321</v>
      </c>
      <c r="E10" s="6">
        <v>4321</v>
      </c>
      <c r="F10" s="6">
        <v>4321</v>
      </c>
      <c r="G10" s="6">
        <v>4361</v>
      </c>
      <c r="H10" s="6">
        <v>4361</v>
      </c>
      <c r="I10" s="6">
        <v>4361</v>
      </c>
      <c r="J10" s="6">
        <v>4361</v>
      </c>
      <c r="K10" s="6">
        <v>4198</v>
      </c>
      <c r="L10" s="6">
        <v>4198</v>
      </c>
      <c r="M10" s="18">
        <f t="shared" si="2"/>
        <v>3.0085628326776304E-2</v>
      </c>
      <c r="N10" s="18">
        <f t="shared" si="3"/>
        <v>0</v>
      </c>
      <c r="O10" s="18">
        <f t="shared" si="4"/>
        <v>0</v>
      </c>
      <c r="P10" s="18">
        <f t="shared" si="5"/>
        <v>-9.1722082091263424E-3</v>
      </c>
      <c r="Q10" s="18">
        <f t="shared" si="6"/>
        <v>0</v>
      </c>
      <c r="R10" s="18">
        <f t="shared" si="7"/>
        <v>0</v>
      </c>
      <c r="S10" s="18">
        <f t="shared" si="8"/>
        <v>0</v>
      </c>
      <c r="T10" s="18">
        <f t="shared" si="9"/>
        <v>3.8828013339685663E-2</v>
      </c>
      <c r="U10" s="18">
        <f t="shared" si="10"/>
        <v>0</v>
      </c>
      <c r="V10" s="5">
        <f t="shared" si="11"/>
        <v>6.6379370508150692E-3</v>
      </c>
      <c r="W10" s="5">
        <f t="shared" si="12"/>
        <v>-99.999989999999997</v>
      </c>
    </row>
    <row r="11" spans="1:23" x14ac:dyDescent="0.25">
      <c r="A11" t="s">
        <v>16</v>
      </c>
      <c r="B11" t="s">
        <v>17</v>
      </c>
      <c r="C11" s="6">
        <v>1229</v>
      </c>
      <c r="D11" s="6">
        <v>1229</v>
      </c>
      <c r="E11" s="6">
        <v>1228</v>
      </c>
      <c r="F11" s="6">
        <v>1227</v>
      </c>
      <c r="G11" s="6">
        <v>1226</v>
      </c>
      <c r="H11" s="6">
        <v>1226</v>
      </c>
      <c r="I11" s="6">
        <v>1246</v>
      </c>
      <c r="J11" s="6">
        <v>1268</v>
      </c>
      <c r="K11" s="6">
        <v>1266</v>
      </c>
      <c r="L11" s="6">
        <v>1264</v>
      </c>
      <c r="M11" s="18">
        <f t="shared" si="2"/>
        <v>0</v>
      </c>
      <c r="N11" s="18">
        <f t="shared" si="3"/>
        <v>8.143322475568926E-4</v>
      </c>
      <c r="O11" s="18">
        <f t="shared" si="4"/>
        <v>8.1499592502032314E-4</v>
      </c>
      <c r="P11" s="18">
        <f t="shared" si="5"/>
        <v>8.1566068515503964E-4</v>
      </c>
      <c r="Q11" s="18">
        <f t="shared" si="6"/>
        <v>0</v>
      </c>
      <c r="R11" s="18">
        <f t="shared" si="7"/>
        <v>-1.6051364365971099E-2</v>
      </c>
      <c r="S11" s="18">
        <f t="shared" si="8"/>
        <v>-1.7350157728706628E-2</v>
      </c>
      <c r="T11" s="18">
        <f t="shared" si="9"/>
        <v>1.5797788309637184E-3</v>
      </c>
      <c r="U11" s="18">
        <f t="shared" si="10"/>
        <v>1.5822784810126667E-3</v>
      </c>
      <c r="V11" s="5">
        <f t="shared" si="11"/>
        <v>-3.088275102774343E-3</v>
      </c>
      <c r="W11" s="5">
        <f t="shared" si="12"/>
        <v>-1</v>
      </c>
    </row>
    <row r="12" spans="1:23" x14ac:dyDescent="0.25">
      <c r="A12" t="s">
        <v>18</v>
      </c>
      <c r="B12" t="s">
        <v>19</v>
      </c>
      <c r="C12" s="6">
        <v>881</v>
      </c>
      <c r="D12" s="6">
        <v>881</v>
      </c>
      <c r="E12" s="6">
        <v>914.2</v>
      </c>
      <c r="F12" s="6">
        <v>914.2</v>
      </c>
      <c r="G12" s="6">
        <v>914.2</v>
      </c>
      <c r="H12" s="6">
        <v>914.2</v>
      </c>
      <c r="I12" s="6">
        <v>914.2</v>
      </c>
      <c r="J12" s="6">
        <v>891</v>
      </c>
      <c r="K12" s="6">
        <v>891</v>
      </c>
      <c r="L12" s="6">
        <v>891.1</v>
      </c>
      <c r="M12" s="18">
        <f t="shared" si="2"/>
        <v>0</v>
      </c>
      <c r="N12" s="18">
        <f t="shared" si="3"/>
        <v>-3.6315904616057826E-2</v>
      </c>
      <c r="O12" s="18">
        <f t="shared" si="4"/>
        <v>0</v>
      </c>
      <c r="P12" s="18">
        <f t="shared" si="5"/>
        <v>0</v>
      </c>
      <c r="Q12" s="18">
        <f t="shared" si="6"/>
        <v>0</v>
      </c>
      <c r="R12" s="18">
        <f t="shared" si="7"/>
        <v>0</v>
      </c>
      <c r="S12" s="18">
        <f t="shared" si="8"/>
        <v>2.6038159371492675E-2</v>
      </c>
      <c r="T12" s="18">
        <f t="shared" si="9"/>
        <v>0</v>
      </c>
      <c r="U12" s="18">
        <f t="shared" si="10"/>
        <v>-1.1222085063411491E-4</v>
      </c>
      <c r="V12" s="5">
        <f t="shared" si="11"/>
        <v>-1.1544406772443629E-3</v>
      </c>
      <c r="W12" s="5">
        <f t="shared" si="12"/>
        <v>-1</v>
      </c>
    </row>
    <row r="13" spans="1:23" x14ac:dyDescent="0.25">
      <c r="A13" t="s">
        <v>20</v>
      </c>
      <c r="B13" t="s">
        <v>21</v>
      </c>
      <c r="C13" s="6">
        <v>456.5</v>
      </c>
      <c r="D13" s="6">
        <v>455.95</v>
      </c>
      <c r="E13" s="6">
        <v>455.3</v>
      </c>
      <c r="F13" s="6">
        <v>454.5</v>
      </c>
      <c r="G13" s="6">
        <v>453.9</v>
      </c>
      <c r="H13" s="6">
        <v>453.05</v>
      </c>
      <c r="I13" s="6">
        <v>450.2</v>
      </c>
      <c r="J13" s="6">
        <v>432.2</v>
      </c>
      <c r="K13" s="6">
        <v>406</v>
      </c>
      <c r="L13" s="6">
        <v>385.8</v>
      </c>
      <c r="M13" s="18">
        <f t="shared" si="2"/>
        <v>1.2062726176116367E-3</v>
      </c>
      <c r="N13" s="18">
        <f t="shared" si="3"/>
        <v>1.4276301339775088E-3</v>
      </c>
      <c r="O13" s="18">
        <f t="shared" si="4"/>
        <v>1.7601760176018111E-3</v>
      </c>
      <c r="P13" s="18">
        <f t="shared" si="5"/>
        <v>1.3218770654330747E-3</v>
      </c>
      <c r="Q13" s="18">
        <f t="shared" si="6"/>
        <v>1.8761726078797558E-3</v>
      </c>
      <c r="R13" s="18">
        <f t="shared" si="7"/>
        <v>6.3305197689915715E-3</v>
      </c>
      <c r="S13" s="18">
        <f t="shared" si="8"/>
        <v>4.1647385469689935E-2</v>
      </c>
      <c r="T13" s="18">
        <f t="shared" si="9"/>
        <v>6.4532019704433452E-2</v>
      </c>
      <c r="U13" s="18">
        <f t="shared" si="10"/>
        <v>5.2358735095904496E-2</v>
      </c>
      <c r="V13" s="5">
        <f t="shared" si="11"/>
        <v>1.9162309831280359E-2</v>
      </c>
      <c r="W13" s="5">
        <f t="shared" si="12"/>
        <v>-99.999989999999997</v>
      </c>
    </row>
    <row r="14" spans="1:23" x14ac:dyDescent="0.25">
      <c r="A14" t="s">
        <v>22</v>
      </c>
      <c r="B14" t="s">
        <v>23</v>
      </c>
      <c r="C14" s="6">
        <v>179.34</v>
      </c>
      <c r="D14" s="6">
        <v>179.34</v>
      </c>
      <c r="E14" s="6">
        <v>179.3</v>
      </c>
      <c r="F14" s="6">
        <v>188.5</v>
      </c>
      <c r="G14" s="6">
        <v>197.4</v>
      </c>
      <c r="H14" s="6">
        <v>206.4</v>
      </c>
      <c r="I14" s="6">
        <v>217.9</v>
      </c>
      <c r="J14" s="6">
        <v>229.6</v>
      </c>
      <c r="K14" s="6">
        <v>229.6</v>
      </c>
      <c r="L14" s="6">
        <v>229.6</v>
      </c>
      <c r="M14" s="18">
        <f t="shared" si="2"/>
        <v>0</v>
      </c>
      <c r="N14" s="18">
        <f t="shared" si="3"/>
        <v>2.2308979364193959E-4</v>
      </c>
      <c r="O14" s="18">
        <f t="shared" si="4"/>
        <v>-4.8806366047745353E-2</v>
      </c>
      <c r="P14" s="18">
        <f t="shared" si="5"/>
        <v>-4.5086119554204718E-2</v>
      </c>
      <c r="Q14" s="18">
        <f t="shared" si="6"/>
        <v>-4.3604651162790664E-2</v>
      </c>
      <c r="R14" s="18">
        <f t="shared" si="7"/>
        <v>-5.2776502983019724E-2</v>
      </c>
      <c r="S14" s="18">
        <f t="shared" si="8"/>
        <v>-5.0958188153310102E-2</v>
      </c>
      <c r="T14" s="18">
        <f t="shared" si="9"/>
        <v>0</v>
      </c>
      <c r="U14" s="18">
        <f t="shared" si="10"/>
        <v>0</v>
      </c>
      <c r="V14" s="5">
        <f t="shared" si="11"/>
        <v>-2.6778748678603179E-2</v>
      </c>
      <c r="W14" s="5">
        <f t="shared" si="12"/>
        <v>-1</v>
      </c>
    </row>
    <row r="15" spans="1:23" x14ac:dyDescent="0.25">
      <c r="A15" t="s">
        <v>24</v>
      </c>
      <c r="B15" t="s">
        <v>25</v>
      </c>
      <c r="C15" s="6">
        <v>918.5</v>
      </c>
      <c r="D15" s="6">
        <v>918.5</v>
      </c>
      <c r="E15" s="6">
        <v>918.5</v>
      </c>
      <c r="F15" s="6">
        <v>918.5</v>
      </c>
      <c r="G15" s="6">
        <v>918.5</v>
      </c>
      <c r="H15" s="6">
        <v>918.5</v>
      </c>
      <c r="I15" s="6">
        <v>956.4</v>
      </c>
      <c r="J15" s="6">
        <v>999.4</v>
      </c>
      <c r="K15" s="6">
        <v>1029</v>
      </c>
      <c r="L15" s="6">
        <v>1082</v>
      </c>
      <c r="M15" s="18">
        <f t="shared" si="2"/>
        <v>0</v>
      </c>
      <c r="N15" s="18">
        <f t="shared" si="3"/>
        <v>0</v>
      </c>
      <c r="O15" s="18">
        <f t="shared" si="4"/>
        <v>0</v>
      </c>
      <c r="P15" s="18">
        <f t="shared" si="5"/>
        <v>0</v>
      </c>
      <c r="Q15" s="18">
        <f t="shared" si="6"/>
        <v>0</v>
      </c>
      <c r="R15" s="18">
        <f t="shared" si="7"/>
        <v>-3.9627770807193596E-2</v>
      </c>
      <c r="S15" s="18">
        <f t="shared" si="8"/>
        <v>-4.3025815489293628E-2</v>
      </c>
      <c r="T15" s="18">
        <f t="shared" si="9"/>
        <v>-2.8765792031098192E-2</v>
      </c>
      <c r="U15" s="18">
        <f t="shared" si="10"/>
        <v>-4.8983364140480545E-2</v>
      </c>
      <c r="V15" s="5">
        <f t="shared" si="11"/>
        <v>-1.7822526940896217E-2</v>
      </c>
      <c r="W15" s="5">
        <f t="shared" si="12"/>
        <v>-1</v>
      </c>
    </row>
    <row r="16" spans="1:23" x14ac:dyDescent="0.25">
      <c r="A16" t="s">
        <v>26</v>
      </c>
      <c r="B16" t="s">
        <v>27</v>
      </c>
      <c r="C16" s="6">
        <v>826.95</v>
      </c>
      <c r="D16" s="6">
        <v>826.95</v>
      </c>
      <c r="E16" s="6">
        <v>826.95</v>
      </c>
      <c r="F16" s="6">
        <v>826.9</v>
      </c>
      <c r="G16" s="6">
        <v>826.9</v>
      </c>
      <c r="H16" s="6">
        <v>764.3</v>
      </c>
      <c r="I16" s="6">
        <v>764.3</v>
      </c>
      <c r="J16" s="6">
        <v>764.3</v>
      </c>
      <c r="K16" s="6">
        <v>730.3</v>
      </c>
      <c r="L16" s="6">
        <v>730.3</v>
      </c>
      <c r="M16" s="18">
        <f t="shared" si="2"/>
        <v>0</v>
      </c>
      <c r="N16" s="18">
        <f t="shared" si="3"/>
        <v>0</v>
      </c>
      <c r="O16" s="18">
        <f t="shared" si="4"/>
        <v>6.0466803724734675E-5</v>
      </c>
      <c r="P16" s="18">
        <f t="shared" si="5"/>
        <v>0</v>
      </c>
      <c r="Q16" s="18">
        <f t="shared" si="6"/>
        <v>8.1905011121287563E-2</v>
      </c>
      <c r="R16" s="18">
        <f t="shared" si="7"/>
        <v>0</v>
      </c>
      <c r="S16" s="18">
        <f t="shared" si="8"/>
        <v>0</v>
      </c>
      <c r="T16" s="18">
        <f t="shared" si="9"/>
        <v>4.655620977680397E-2</v>
      </c>
      <c r="U16" s="18">
        <f t="shared" si="10"/>
        <v>0</v>
      </c>
      <c r="V16" s="5">
        <f t="shared" si="11"/>
        <v>1.4280187522424029E-2</v>
      </c>
      <c r="W16" s="5">
        <f t="shared" si="12"/>
        <v>-99.999989999999997</v>
      </c>
    </row>
    <row r="17" spans="1:23" x14ac:dyDescent="0.25">
      <c r="A17" t="s">
        <v>28</v>
      </c>
      <c r="B17" t="s">
        <v>29</v>
      </c>
      <c r="C17" s="6">
        <v>11333</v>
      </c>
      <c r="D17" s="6">
        <v>10321</v>
      </c>
      <c r="E17" s="6">
        <v>8909</v>
      </c>
      <c r="F17" s="6">
        <v>8329</v>
      </c>
      <c r="G17" s="6">
        <v>8156</v>
      </c>
      <c r="H17" s="6">
        <v>7994</v>
      </c>
      <c r="I17" s="6">
        <v>6254</v>
      </c>
      <c r="J17" s="6">
        <v>6254</v>
      </c>
      <c r="K17" s="6">
        <v>6254</v>
      </c>
      <c r="L17" s="6">
        <v>6254</v>
      </c>
      <c r="M17" s="18">
        <f t="shared" si="2"/>
        <v>9.8052514291250947E-2</v>
      </c>
      <c r="N17" s="18">
        <f t="shared" si="3"/>
        <v>0.15849141317768556</v>
      </c>
      <c r="O17" s="18">
        <f t="shared" si="4"/>
        <v>6.963621082963134E-2</v>
      </c>
      <c r="P17" s="18">
        <f t="shared" si="5"/>
        <v>2.1211378126532621E-2</v>
      </c>
      <c r="Q17" s="18">
        <f t="shared" si="6"/>
        <v>2.0265198899174441E-2</v>
      </c>
      <c r="R17" s="18">
        <f t="shared" si="7"/>
        <v>0.27822193795970573</v>
      </c>
      <c r="S17" s="18">
        <f t="shared" si="8"/>
        <v>0</v>
      </c>
      <c r="T17" s="18">
        <f t="shared" si="9"/>
        <v>0</v>
      </c>
      <c r="U17" s="18">
        <f t="shared" si="10"/>
        <v>0</v>
      </c>
      <c r="V17" s="5">
        <f t="shared" si="11"/>
        <v>7.1764294809331178E-2</v>
      </c>
      <c r="W17" s="5">
        <f t="shared" si="12"/>
        <v>-99.999989999999997</v>
      </c>
    </row>
    <row r="18" spans="1:23" x14ac:dyDescent="0.25">
      <c r="A18" t="s">
        <v>30</v>
      </c>
      <c r="B18" t="s">
        <v>31</v>
      </c>
      <c r="C18" s="6">
        <v>4551</v>
      </c>
      <c r="D18" s="6">
        <v>4551</v>
      </c>
      <c r="E18" s="6">
        <v>4511</v>
      </c>
      <c r="F18" s="6">
        <v>4522</v>
      </c>
      <c r="G18" s="6">
        <v>4553</v>
      </c>
      <c r="H18" s="6">
        <v>4705</v>
      </c>
      <c r="I18" s="6">
        <v>4774</v>
      </c>
      <c r="J18" s="6">
        <v>4921</v>
      </c>
      <c r="K18" s="6">
        <v>4921</v>
      </c>
      <c r="L18" s="6">
        <v>4796</v>
      </c>
      <c r="M18" s="18">
        <f t="shared" si="2"/>
        <v>0</v>
      </c>
      <c r="N18" s="18">
        <f t="shared" si="3"/>
        <v>8.8672134781644374E-3</v>
      </c>
      <c r="O18" s="18">
        <f t="shared" si="4"/>
        <v>-2.4325519681557273E-3</v>
      </c>
      <c r="P18" s="18">
        <f t="shared" si="5"/>
        <v>-6.8086975620470502E-3</v>
      </c>
      <c r="Q18" s="18">
        <f t="shared" si="6"/>
        <v>-3.2306057385759868E-2</v>
      </c>
      <c r="R18" s="18">
        <f t="shared" si="7"/>
        <v>-1.4453288646837037E-2</v>
      </c>
      <c r="S18" s="18">
        <f t="shared" si="8"/>
        <v>-2.9871977240398251E-2</v>
      </c>
      <c r="T18" s="18">
        <f t="shared" si="9"/>
        <v>0</v>
      </c>
      <c r="U18" s="18">
        <f t="shared" si="10"/>
        <v>2.6063386155129376E-2</v>
      </c>
      <c r="V18" s="5">
        <f t="shared" si="11"/>
        <v>-5.6602192411004575E-3</v>
      </c>
      <c r="W18" s="5">
        <f t="shared" si="12"/>
        <v>-1</v>
      </c>
    </row>
    <row r="19" spans="1:23" x14ac:dyDescent="0.25">
      <c r="A19" t="s">
        <v>32</v>
      </c>
      <c r="B19" t="s">
        <v>33</v>
      </c>
      <c r="C19" s="6">
        <v>2378</v>
      </c>
      <c r="D19" s="6">
        <v>2366</v>
      </c>
      <c r="E19" s="6">
        <v>2364</v>
      </c>
      <c r="F19" s="6">
        <v>2350</v>
      </c>
      <c r="G19" s="6">
        <v>2348</v>
      </c>
      <c r="H19" s="6">
        <v>2372</v>
      </c>
      <c r="I19" s="6">
        <v>2396</v>
      </c>
      <c r="J19" s="6">
        <v>2426</v>
      </c>
      <c r="K19" s="6">
        <v>2460</v>
      </c>
      <c r="L19" s="6">
        <v>2540</v>
      </c>
      <c r="M19" s="18">
        <f t="shared" si="2"/>
        <v>5.0718512256973103E-3</v>
      </c>
      <c r="N19" s="18">
        <f t="shared" si="3"/>
        <v>8.4602368866337763E-4</v>
      </c>
      <c r="O19" s="18">
        <f t="shared" si="4"/>
        <v>5.9574468085106247E-3</v>
      </c>
      <c r="P19" s="18">
        <f t="shared" si="5"/>
        <v>8.5178875638836082E-4</v>
      </c>
      <c r="Q19" s="18">
        <f t="shared" si="6"/>
        <v>-1.0118043844856706E-2</v>
      </c>
      <c r="R19" s="18">
        <f t="shared" si="7"/>
        <v>-1.001669449081799E-2</v>
      </c>
      <c r="S19" s="18">
        <f t="shared" si="8"/>
        <v>-1.2366034624896938E-2</v>
      </c>
      <c r="T19" s="18">
        <f t="shared" si="9"/>
        <v>-1.3821138211382089E-2</v>
      </c>
      <c r="U19" s="18">
        <f t="shared" si="10"/>
        <v>-3.1496062992126039E-2</v>
      </c>
      <c r="V19" s="5">
        <f t="shared" si="11"/>
        <v>-7.2323181872022317E-3</v>
      </c>
      <c r="W19" s="5">
        <f t="shared" si="12"/>
        <v>-1.7012760078327414</v>
      </c>
    </row>
    <row r="20" spans="1:23" x14ac:dyDescent="0.25">
      <c r="A20" t="s">
        <v>34</v>
      </c>
      <c r="B20" t="s">
        <v>35</v>
      </c>
      <c r="C20" s="6">
        <v>631.03</v>
      </c>
      <c r="D20" s="6">
        <v>643.16</v>
      </c>
      <c r="E20" s="6">
        <v>642.25</v>
      </c>
      <c r="F20" s="6">
        <v>647.9</v>
      </c>
      <c r="G20" s="6">
        <v>647</v>
      </c>
      <c r="H20" s="6">
        <v>513.79999999999995</v>
      </c>
      <c r="I20" s="6">
        <v>512.79999999999995</v>
      </c>
      <c r="J20" s="6">
        <v>521.79999999999995</v>
      </c>
      <c r="K20" s="6">
        <v>528.4</v>
      </c>
      <c r="L20" s="6">
        <v>536.20000000000005</v>
      </c>
      <c r="M20" s="18">
        <f t="shared" si="2"/>
        <v>-1.886000373157537E-2</v>
      </c>
      <c r="N20" s="18">
        <f t="shared" si="3"/>
        <v>1.4168937329699371E-3</v>
      </c>
      <c r="O20" s="18">
        <f t="shared" si="4"/>
        <v>-8.7204815557956339E-3</v>
      </c>
      <c r="P20" s="18">
        <f t="shared" si="5"/>
        <v>1.391035548686137E-3</v>
      </c>
      <c r="Q20" s="18">
        <f t="shared" si="6"/>
        <v>0.25924484235110956</v>
      </c>
      <c r="R20" s="18">
        <f t="shared" si="7"/>
        <v>1.9500780031200815E-3</v>
      </c>
      <c r="S20" s="18">
        <f t="shared" si="8"/>
        <v>-1.7247987734764325E-2</v>
      </c>
      <c r="T20" s="18">
        <f t="shared" si="9"/>
        <v>-1.249053747161244E-2</v>
      </c>
      <c r="U20" s="18">
        <f t="shared" si="10"/>
        <v>-1.4546810891458484E-2</v>
      </c>
      <c r="V20" s="5">
        <f t="shared" si="11"/>
        <v>2.1348558694519942E-2</v>
      </c>
      <c r="W20" s="5">
        <f t="shared" si="12"/>
        <v>1.8834321792607307</v>
      </c>
    </row>
    <row r="21" spans="1:23" x14ac:dyDescent="0.25">
      <c r="A21" t="s">
        <v>36</v>
      </c>
      <c r="B21" t="s">
        <v>37</v>
      </c>
      <c r="C21" s="6">
        <v>5348</v>
      </c>
      <c r="D21" s="6">
        <v>5348</v>
      </c>
      <c r="E21" s="6">
        <v>5350</v>
      </c>
      <c r="F21" s="6">
        <v>5590</v>
      </c>
      <c r="G21" s="6">
        <v>5589</v>
      </c>
      <c r="H21" s="6">
        <v>5589</v>
      </c>
      <c r="I21" s="6">
        <v>5724</v>
      </c>
      <c r="J21" s="6">
        <v>5964</v>
      </c>
      <c r="K21" s="6">
        <v>6056</v>
      </c>
      <c r="L21" s="6"/>
      <c r="M21" s="18">
        <f t="shared" si="2"/>
        <v>0</v>
      </c>
      <c r="N21" s="18">
        <f t="shared" si="3"/>
        <v>-3.7383177570093906E-4</v>
      </c>
      <c r="O21" s="18">
        <f t="shared" si="4"/>
        <v>-4.2933810375670789E-2</v>
      </c>
      <c r="P21" s="18">
        <f t="shared" si="5"/>
        <v>1.7892288423682068E-4</v>
      </c>
      <c r="Q21" s="18">
        <f t="shared" si="6"/>
        <v>0</v>
      </c>
      <c r="R21" s="18">
        <f t="shared" si="7"/>
        <v>-2.3584905660377409E-2</v>
      </c>
      <c r="S21" s="18">
        <f t="shared" si="8"/>
        <v>-4.0241448692152959E-2</v>
      </c>
      <c r="T21" s="18">
        <f t="shared" si="9"/>
        <v>-1.5191545574636756E-2</v>
      </c>
      <c r="U21" s="18">
        <f t="shared" si="10"/>
        <v>0</v>
      </c>
      <c r="V21" s="5">
        <f t="shared" si="11"/>
        <v>-1.3571846577144671E-2</v>
      </c>
      <c r="W21" s="5">
        <f t="shared" si="12"/>
        <v>-1</v>
      </c>
    </row>
    <row r="22" spans="1:23" x14ac:dyDescent="0.25">
      <c r="A22" t="s">
        <v>38</v>
      </c>
      <c r="B22" t="s">
        <v>39</v>
      </c>
      <c r="C22" s="6">
        <v>2027</v>
      </c>
      <c r="D22" s="6">
        <v>2026</v>
      </c>
      <c r="E22" s="6">
        <v>2026</v>
      </c>
      <c r="F22" s="6">
        <v>2026</v>
      </c>
      <c r="G22" s="6">
        <v>2025</v>
      </c>
      <c r="H22" s="6">
        <v>2025</v>
      </c>
      <c r="I22" s="6">
        <v>2025</v>
      </c>
      <c r="J22" s="6"/>
      <c r="K22" s="6"/>
      <c r="L22" s="6"/>
      <c r="M22" s="18">
        <f t="shared" si="2"/>
        <v>4.9358341559724295E-4</v>
      </c>
      <c r="N22" s="18">
        <f t="shared" si="3"/>
        <v>0</v>
      </c>
      <c r="O22" s="18">
        <f t="shared" si="4"/>
        <v>0</v>
      </c>
      <c r="P22" s="18">
        <f t="shared" si="5"/>
        <v>4.9382716049373165E-4</v>
      </c>
      <c r="Q22" s="18">
        <f t="shared" si="6"/>
        <v>0</v>
      </c>
      <c r="R22" s="18">
        <f t="shared" si="7"/>
        <v>0</v>
      </c>
      <c r="S22" s="18">
        <f t="shared" si="8"/>
        <v>0</v>
      </c>
      <c r="T22" s="18">
        <f t="shared" si="9"/>
        <v>0</v>
      </c>
      <c r="U22" s="18">
        <f t="shared" si="10"/>
        <v>0</v>
      </c>
      <c r="V22" s="5">
        <f t="shared" si="11"/>
        <v>1.0971228623233052E-4</v>
      </c>
      <c r="W22" s="5">
        <f t="shared" si="12"/>
        <v>-99.999989999999997</v>
      </c>
    </row>
    <row r="23" spans="1:23" x14ac:dyDescent="0.25">
      <c r="A23" t="s">
        <v>40</v>
      </c>
      <c r="B23" t="s">
        <v>41</v>
      </c>
      <c r="C23" s="6">
        <v>1068</v>
      </c>
      <c r="D23" s="6">
        <v>1068</v>
      </c>
      <c r="E23" s="6">
        <v>1068</v>
      </c>
      <c r="F23" s="6">
        <v>1068</v>
      </c>
      <c r="G23" s="6">
        <v>1068</v>
      </c>
      <c r="H23" s="6">
        <v>1068</v>
      </c>
      <c r="I23" s="6">
        <v>729.2</v>
      </c>
      <c r="J23" s="6"/>
      <c r="K23" s="6"/>
      <c r="L23" s="6"/>
      <c r="M23" s="18">
        <f t="shared" si="2"/>
        <v>0</v>
      </c>
      <c r="N23" s="18">
        <f t="shared" si="3"/>
        <v>0</v>
      </c>
      <c r="O23" s="18">
        <f t="shared" si="4"/>
        <v>0</v>
      </c>
      <c r="P23" s="18">
        <f t="shared" si="5"/>
        <v>0</v>
      </c>
      <c r="Q23" s="18">
        <f t="shared" si="6"/>
        <v>0</v>
      </c>
      <c r="R23" s="18">
        <f t="shared" si="7"/>
        <v>0.46461876028524407</v>
      </c>
      <c r="S23" s="18">
        <f t="shared" si="8"/>
        <v>0</v>
      </c>
      <c r="T23" s="18">
        <f t="shared" si="9"/>
        <v>0</v>
      </c>
      <c r="U23" s="18">
        <f t="shared" si="10"/>
        <v>0</v>
      </c>
      <c r="V23" s="5">
        <f t="shared" si="11"/>
        <v>5.1624306698360455E-2</v>
      </c>
      <c r="W23" s="5">
        <f t="shared" si="12"/>
        <v>-99.999989999999997</v>
      </c>
    </row>
    <row r="24" spans="1:23" x14ac:dyDescent="0.25">
      <c r="A24" t="s">
        <v>42</v>
      </c>
      <c r="B24" t="s">
        <v>43</v>
      </c>
      <c r="C24" s="6">
        <v>18830</v>
      </c>
      <c r="D24" s="6">
        <v>18476</v>
      </c>
      <c r="E24" s="6">
        <v>17868</v>
      </c>
      <c r="F24" s="6">
        <v>17686</v>
      </c>
      <c r="G24" s="6">
        <v>17408</v>
      </c>
      <c r="H24" s="6">
        <v>12105</v>
      </c>
      <c r="I24" s="6">
        <v>11829</v>
      </c>
      <c r="J24" s="6">
        <v>11572</v>
      </c>
      <c r="K24" s="6">
        <v>11334</v>
      </c>
      <c r="L24" s="6">
        <v>11172</v>
      </c>
      <c r="M24" s="18">
        <f t="shared" si="2"/>
        <v>1.9159991340116811E-2</v>
      </c>
      <c r="N24" s="18">
        <f t="shared" si="3"/>
        <v>3.4027311394672077E-2</v>
      </c>
      <c r="O24" s="18">
        <f t="shared" si="4"/>
        <v>1.0290625353386762E-2</v>
      </c>
      <c r="P24" s="18">
        <f t="shared" si="5"/>
        <v>1.5969669117646967E-2</v>
      </c>
      <c r="Q24" s="18">
        <f t="shared" si="6"/>
        <v>0.43808343659644766</v>
      </c>
      <c r="R24" s="18">
        <f t="shared" si="7"/>
        <v>2.3332487953334979E-2</v>
      </c>
      <c r="S24" s="18">
        <f t="shared" si="8"/>
        <v>2.2208779813342572E-2</v>
      </c>
      <c r="T24" s="18">
        <f t="shared" si="9"/>
        <v>2.0998764778542345E-2</v>
      </c>
      <c r="U24" s="18">
        <f t="shared" si="10"/>
        <v>1.4500537056927998E-2</v>
      </c>
      <c r="V24" s="5">
        <f t="shared" si="11"/>
        <v>6.6507955933824248E-2</v>
      </c>
      <c r="W24" s="5">
        <f t="shared" si="12"/>
        <v>-99.999989999999997</v>
      </c>
    </row>
    <row r="25" spans="1:23" x14ac:dyDescent="0.25">
      <c r="A25" t="s">
        <v>44</v>
      </c>
      <c r="B25" t="s">
        <v>45</v>
      </c>
      <c r="C25" s="6">
        <v>1847</v>
      </c>
      <c r="D25" s="6">
        <v>1853</v>
      </c>
      <c r="E25" s="6">
        <v>1958</v>
      </c>
      <c r="F25" s="6">
        <v>1961</v>
      </c>
      <c r="G25" s="6">
        <v>1571</v>
      </c>
      <c r="H25" s="6">
        <v>1570</v>
      </c>
      <c r="I25" s="6">
        <v>1421</v>
      </c>
      <c r="J25" s="6">
        <v>1421</v>
      </c>
      <c r="K25" s="6">
        <v>1421</v>
      </c>
      <c r="L25" s="6">
        <v>1420</v>
      </c>
      <c r="M25" s="18">
        <f t="shared" si="2"/>
        <v>-3.2379924446842567E-3</v>
      </c>
      <c r="N25" s="18">
        <f t="shared" si="3"/>
        <v>-5.3626149131767109E-2</v>
      </c>
      <c r="O25" s="18">
        <f t="shared" si="4"/>
        <v>-1.5298317185109545E-3</v>
      </c>
      <c r="P25" s="18">
        <f t="shared" si="5"/>
        <v>0.248249522597072</v>
      </c>
      <c r="Q25" s="18">
        <f t="shared" si="6"/>
        <v>6.3694267515934655E-4</v>
      </c>
      <c r="R25" s="18">
        <f t="shared" si="7"/>
        <v>0.1048557353976074</v>
      </c>
      <c r="S25" s="18">
        <f t="shared" si="8"/>
        <v>0</v>
      </c>
      <c r="T25" s="18">
        <f t="shared" si="9"/>
        <v>0</v>
      </c>
      <c r="U25" s="18">
        <f t="shared" si="10"/>
        <v>7.0422535211278614E-4</v>
      </c>
      <c r="V25" s="5">
        <f t="shared" si="11"/>
        <v>3.289471696966547E-2</v>
      </c>
      <c r="W25" s="5">
        <f t="shared" si="12"/>
        <v>1.0984350297851853</v>
      </c>
    </row>
    <row r="26" spans="1:23" x14ac:dyDescent="0.25">
      <c r="A26" t="s">
        <v>46</v>
      </c>
      <c r="B26" t="s">
        <v>47</v>
      </c>
      <c r="C26" s="6">
        <v>18611</v>
      </c>
      <c r="D26" s="6">
        <v>19136</v>
      </c>
      <c r="E26" s="6">
        <v>18805</v>
      </c>
      <c r="F26" s="6">
        <v>18798</v>
      </c>
      <c r="G26" s="6">
        <v>18755</v>
      </c>
      <c r="H26" s="6">
        <v>18790</v>
      </c>
      <c r="I26" s="6">
        <v>19163</v>
      </c>
      <c r="J26" s="6">
        <v>20028</v>
      </c>
      <c r="K26" s="6">
        <v>21126</v>
      </c>
      <c r="L26" s="6">
        <v>21821</v>
      </c>
      <c r="M26" s="18">
        <f t="shared" si="2"/>
        <v>-2.7435200668896376E-2</v>
      </c>
      <c r="N26" s="18">
        <f t="shared" si="3"/>
        <v>1.7601701675086456E-2</v>
      </c>
      <c r="O26" s="18">
        <f t="shared" si="4"/>
        <v>3.7238004042983164E-4</v>
      </c>
      <c r="P26" s="18">
        <f t="shared" si="5"/>
        <v>2.2927219408157562E-3</v>
      </c>
      <c r="Q26" s="18">
        <f t="shared" si="6"/>
        <v>-1.8626929217668842E-3</v>
      </c>
      <c r="R26" s="18">
        <f t="shared" si="7"/>
        <v>-1.9464593226530269E-2</v>
      </c>
      <c r="S26" s="18">
        <f t="shared" si="8"/>
        <v>-4.3189534651487893E-2</v>
      </c>
      <c r="T26" s="18">
        <f t="shared" si="9"/>
        <v>-5.1973871059358134E-2</v>
      </c>
      <c r="U26" s="18">
        <f t="shared" si="10"/>
        <v>-3.1850052701526077E-2</v>
      </c>
      <c r="V26" s="5">
        <f t="shared" si="11"/>
        <v>-1.7278793508137064E-2</v>
      </c>
      <c r="W26" s="5">
        <f t="shared" si="12"/>
        <v>0.58779608402498562</v>
      </c>
    </row>
    <row r="27" spans="1:23" x14ac:dyDescent="0.25">
      <c r="A27" t="s">
        <v>48</v>
      </c>
      <c r="B27" t="s">
        <v>49</v>
      </c>
      <c r="C27" s="6">
        <v>6295</v>
      </c>
      <c r="D27" s="6">
        <v>6306</v>
      </c>
      <c r="E27" s="6">
        <v>6220</v>
      </c>
      <c r="F27" s="6">
        <v>6154</v>
      </c>
      <c r="G27" s="6">
        <v>6129</v>
      </c>
      <c r="H27" s="6">
        <v>6122</v>
      </c>
      <c r="I27" s="6">
        <v>6837</v>
      </c>
      <c r="J27" s="6">
        <v>6837</v>
      </c>
      <c r="K27" s="6">
        <v>6695</v>
      </c>
      <c r="L27" s="6"/>
      <c r="M27" s="18">
        <f t="shared" si="2"/>
        <v>-1.7443704408499627E-3</v>
      </c>
      <c r="N27" s="18">
        <f t="shared" si="3"/>
        <v>1.3826366559485548E-2</v>
      </c>
      <c r="O27" s="18">
        <f t="shared" si="4"/>
        <v>1.0724731881702976E-2</v>
      </c>
      <c r="P27" s="18">
        <f t="shared" si="5"/>
        <v>4.0789688366780208E-3</v>
      </c>
      <c r="Q27" s="18">
        <f t="shared" si="6"/>
        <v>1.1434171839268537E-3</v>
      </c>
      <c r="R27" s="18">
        <f t="shared" si="7"/>
        <v>-0.10457803130027787</v>
      </c>
      <c r="S27" s="18">
        <f t="shared" si="8"/>
        <v>0</v>
      </c>
      <c r="T27" s="18">
        <f t="shared" si="9"/>
        <v>2.1209858103061974E-2</v>
      </c>
      <c r="U27" s="18">
        <f t="shared" si="10"/>
        <v>0</v>
      </c>
      <c r="V27" s="5">
        <f t="shared" si="11"/>
        <v>-6.1487843529191627E-3</v>
      </c>
      <c r="W27" s="5">
        <f t="shared" si="12"/>
        <v>-0.71630645332002651</v>
      </c>
    </row>
    <row r="28" spans="1:23" x14ac:dyDescent="0.25">
      <c r="A28" t="s">
        <v>50</v>
      </c>
      <c r="B28" t="s">
        <v>51</v>
      </c>
      <c r="C28" s="6">
        <v>48919</v>
      </c>
      <c r="D28" s="6">
        <v>49659</v>
      </c>
      <c r="E28" s="6">
        <v>56811</v>
      </c>
      <c r="F28" s="6">
        <v>57809</v>
      </c>
      <c r="G28" s="6">
        <v>52473</v>
      </c>
      <c r="H28" s="6">
        <v>55144</v>
      </c>
      <c r="I28" s="6">
        <v>62607</v>
      </c>
      <c r="J28" s="6">
        <v>66196</v>
      </c>
      <c r="K28" s="6">
        <v>68096</v>
      </c>
      <c r="L28" s="6">
        <v>68096</v>
      </c>
      <c r="M28" s="18">
        <f t="shared" si="2"/>
        <v>-1.4901629110533832E-2</v>
      </c>
      <c r="N28" s="18">
        <f t="shared" si="3"/>
        <v>-0.12589111263663733</v>
      </c>
      <c r="O28" s="18">
        <f t="shared" si="4"/>
        <v>-1.7263747859329825E-2</v>
      </c>
      <c r="P28" s="18">
        <f t="shared" si="5"/>
        <v>0.10169039315457473</v>
      </c>
      <c r="Q28" s="18">
        <f t="shared" si="6"/>
        <v>-4.8436819962280553E-2</v>
      </c>
      <c r="R28" s="18">
        <f t="shared" si="7"/>
        <v>-0.1192039228840226</v>
      </c>
      <c r="S28" s="18">
        <f t="shared" si="8"/>
        <v>-5.4217777509215082E-2</v>
      </c>
      <c r="T28" s="18">
        <f t="shared" si="9"/>
        <v>-2.7901785714285698E-2</v>
      </c>
      <c r="U28" s="18">
        <f t="shared" si="10"/>
        <v>0</v>
      </c>
      <c r="V28" s="5">
        <f t="shared" si="11"/>
        <v>-3.4014044724636684E-2</v>
      </c>
      <c r="W28" s="5">
        <f t="shared" si="12"/>
        <v>-0.56189776219878829</v>
      </c>
    </row>
    <row r="29" spans="1:23" x14ac:dyDescent="0.25">
      <c r="A29" t="s">
        <v>52</v>
      </c>
      <c r="B29" t="s">
        <v>53</v>
      </c>
      <c r="C29" s="6">
        <v>3000</v>
      </c>
      <c r="D29" s="6">
        <v>3000</v>
      </c>
      <c r="E29" s="6">
        <v>3000</v>
      </c>
      <c r="F29" s="6">
        <v>3000</v>
      </c>
      <c r="G29" s="6">
        <v>3000</v>
      </c>
      <c r="H29" s="6">
        <v>3000</v>
      </c>
      <c r="I29" s="6">
        <v>3000</v>
      </c>
      <c r="J29" s="6">
        <v>3000</v>
      </c>
      <c r="K29" s="6">
        <v>3000</v>
      </c>
      <c r="L29" s="6">
        <v>3000</v>
      </c>
      <c r="M29" s="18">
        <f t="shared" si="2"/>
        <v>0</v>
      </c>
      <c r="N29" s="18">
        <f t="shared" si="3"/>
        <v>0</v>
      </c>
      <c r="O29" s="18">
        <f t="shared" si="4"/>
        <v>0</v>
      </c>
      <c r="P29" s="18">
        <f t="shared" si="5"/>
        <v>0</v>
      </c>
      <c r="Q29" s="18">
        <f t="shared" si="6"/>
        <v>0</v>
      </c>
      <c r="R29" s="18">
        <f t="shared" si="7"/>
        <v>0</v>
      </c>
      <c r="S29" s="18">
        <f t="shared" si="8"/>
        <v>0</v>
      </c>
      <c r="T29" s="18">
        <f t="shared" si="9"/>
        <v>0</v>
      </c>
      <c r="U29" s="18">
        <f t="shared" si="10"/>
        <v>0</v>
      </c>
      <c r="V29" s="5">
        <f t="shared" si="11"/>
        <v>0</v>
      </c>
      <c r="W29" s="5">
        <f t="shared" si="12"/>
        <v>0</v>
      </c>
    </row>
    <row r="30" spans="1:23" x14ac:dyDescent="0.25">
      <c r="A30" t="s">
        <v>54</v>
      </c>
      <c r="B30" t="s">
        <v>55</v>
      </c>
      <c r="C30" s="6">
        <v>5226</v>
      </c>
      <c r="D30" s="6">
        <v>5581</v>
      </c>
      <c r="E30" s="6">
        <v>5927</v>
      </c>
      <c r="F30" s="6">
        <v>5911</v>
      </c>
      <c r="G30" s="6">
        <v>5902</v>
      </c>
      <c r="H30" s="6">
        <v>5893</v>
      </c>
      <c r="I30" s="6">
        <v>6044</v>
      </c>
      <c r="J30" s="6">
        <v>6239</v>
      </c>
      <c r="K30" s="6">
        <v>3877</v>
      </c>
      <c r="L30" s="6">
        <v>3301</v>
      </c>
      <c r="M30" s="18">
        <f t="shared" si="2"/>
        <v>-6.3608672280953238E-2</v>
      </c>
      <c r="N30" s="18">
        <f t="shared" si="3"/>
        <v>-5.8376919183398046E-2</v>
      </c>
      <c r="O30" s="18">
        <f t="shared" si="4"/>
        <v>2.7068177973270657E-3</v>
      </c>
      <c r="P30" s="18">
        <f t="shared" si="5"/>
        <v>1.5249068112503927E-3</v>
      </c>
      <c r="Q30" s="18">
        <f t="shared" si="6"/>
        <v>1.5272357033768724E-3</v>
      </c>
      <c r="R30" s="18">
        <f t="shared" si="7"/>
        <v>-2.4983454665784222E-2</v>
      </c>
      <c r="S30" s="18">
        <f t="shared" si="8"/>
        <v>-3.125500881551535E-2</v>
      </c>
      <c r="T30" s="18">
        <f t="shared" si="9"/>
        <v>0.60923394377095685</v>
      </c>
      <c r="U30" s="18">
        <f t="shared" si="10"/>
        <v>0.17449257800666462</v>
      </c>
      <c r="V30" s="5">
        <f t="shared" si="11"/>
        <v>6.7917936349324998E-2</v>
      </c>
      <c r="W30" s="5">
        <f t="shared" si="12"/>
        <v>1.9365518992478252</v>
      </c>
    </row>
    <row r="31" spans="1:23" x14ac:dyDescent="0.25">
      <c r="A31" t="s">
        <v>56</v>
      </c>
      <c r="B31" t="s">
        <v>57</v>
      </c>
      <c r="C31" s="6">
        <v>1914</v>
      </c>
      <c r="D31" s="6">
        <v>1947</v>
      </c>
      <c r="E31" s="6">
        <v>1981</v>
      </c>
      <c r="F31" s="6">
        <v>2007</v>
      </c>
      <c r="G31" s="6">
        <v>2008</v>
      </c>
      <c r="H31" s="6">
        <v>2004</v>
      </c>
      <c r="I31" s="6">
        <v>2090</v>
      </c>
      <c r="J31" s="6">
        <v>2165</v>
      </c>
      <c r="K31" s="6">
        <v>2233</v>
      </c>
      <c r="L31" s="6">
        <v>2107</v>
      </c>
      <c r="M31" s="18">
        <f t="shared" si="2"/>
        <v>-1.6949152542372836E-2</v>
      </c>
      <c r="N31" s="18">
        <f t="shared" si="3"/>
        <v>-1.716304896516907E-2</v>
      </c>
      <c r="O31" s="18">
        <f t="shared" si="4"/>
        <v>-1.2954658694569021E-2</v>
      </c>
      <c r="P31" s="18">
        <f t="shared" si="5"/>
        <v>-4.980079681274896E-4</v>
      </c>
      <c r="Q31" s="18">
        <f t="shared" si="6"/>
        <v>1.9960079840319889E-3</v>
      </c>
      <c r="R31" s="18">
        <f t="shared" si="7"/>
        <v>-4.1148325358851712E-2</v>
      </c>
      <c r="S31" s="18">
        <f t="shared" si="8"/>
        <v>-3.4642032332563466E-2</v>
      </c>
      <c r="T31" s="18">
        <f t="shared" si="9"/>
        <v>-3.0452306314375233E-2</v>
      </c>
      <c r="U31" s="18">
        <f t="shared" si="10"/>
        <v>5.980066445182719E-2</v>
      </c>
      <c r="V31" s="5">
        <f t="shared" si="11"/>
        <v>-1.0223428860018849E-2</v>
      </c>
      <c r="W31" s="5">
        <f t="shared" si="12"/>
        <v>0.65787357396856638</v>
      </c>
    </row>
    <row r="32" spans="1:23" x14ac:dyDescent="0.25">
      <c r="A32" t="s">
        <v>58</v>
      </c>
      <c r="B32" t="s">
        <v>59</v>
      </c>
      <c r="C32" s="6">
        <v>4402</v>
      </c>
      <c r="D32" s="6">
        <v>4469</v>
      </c>
      <c r="E32" s="6">
        <v>4526</v>
      </c>
      <c r="F32" s="6">
        <v>4584</v>
      </c>
      <c r="G32" s="6">
        <v>4606</v>
      </c>
      <c r="H32" s="6">
        <v>4624</v>
      </c>
      <c r="I32" s="6">
        <v>4636</v>
      </c>
      <c r="J32" s="6">
        <v>4636</v>
      </c>
      <c r="K32" s="6">
        <v>4738</v>
      </c>
      <c r="L32" s="6">
        <v>4819</v>
      </c>
      <c r="M32" s="18">
        <f t="shared" si="2"/>
        <v>-1.4992168270306583E-2</v>
      </c>
      <c r="N32" s="18">
        <f t="shared" si="3"/>
        <v>-1.2593901900132543E-2</v>
      </c>
      <c r="O32" s="18">
        <f t="shared" si="4"/>
        <v>-1.265270506108207E-2</v>
      </c>
      <c r="P32" s="18">
        <f t="shared" si="5"/>
        <v>-4.7763786365609961E-3</v>
      </c>
      <c r="Q32" s="18">
        <f t="shared" si="6"/>
        <v>-3.8927335640138727E-3</v>
      </c>
      <c r="R32" s="18">
        <f t="shared" si="7"/>
        <v>-2.5884383088869978E-3</v>
      </c>
      <c r="S32" s="18">
        <f t="shared" si="8"/>
        <v>0</v>
      </c>
      <c r="T32" s="18">
        <f t="shared" si="9"/>
        <v>-2.1528070915998287E-2</v>
      </c>
      <c r="U32" s="18">
        <f t="shared" si="10"/>
        <v>-1.6808466486822993E-2</v>
      </c>
      <c r="V32" s="5">
        <f t="shared" si="11"/>
        <v>-9.9814292382004819E-3</v>
      </c>
      <c r="W32" s="5">
        <f t="shared" si="12"/>
        <v>0.50200616690535904</v>
      </c>
    </row>
    <row r="33" spans="1:23" x14ac:dyDescent="0.25">
      <c r="A33" t="s">
        <v>60</v>
      </c>
      <c r="B33" t="s">
        <v>61</v>
      </c>
      <c r="C33" s="6">
        <v>918.94</v>
      </c>
      <c r="D33" s="6">
        <v>935.39</v>
      </c>
      <c r="E33" s="6">
        <v>959.2</v>
      </c>
      <c r="F33" s="6">
        <v>987.8</v>
      </c>
      <c r="G33" s="6">
        <v>987.4</v>
      </c>
      <c r="H33" s="6">
        <v>1003</v>
      </c>
      <c r="I33" s="6">
        <v>1018</v>
      </c>
      <c r="J33" s="6">
        <v>1025</v>
      </c>
      <c r="K33" s="6">
        <v>1032</v>
      </c>
      <c r="L33" s="6">
        <v>1053</v>
      </c>
      <c r="M33" s="18">
        <f t="shared" si="2"/>
        <v>-1.7586247447588632E-2</v>
      </c>
      <c r="N33" s="18">
        <f t="shared" si="3"/>
        <v>-2.4822768974145148E-2</v>
      </c>
      <c r="O33" s="18">
        <f t="shared" si="4"/>
        <v>-2.8953229398663627E-2</v>
      </c>
      <c r="P33" s="18">
        <f t="shared" si="5"/>
        <v>4.0510431436091565E-4</v>
      </c>
      <c r="Q33" s="18">
        <f t="shared" si="6"/>
        <v>-1.555333998005981E-2</v>
      </c>
      <c r="R33" s="18">
        <f t="shared" si="7"/>
        <v>-1.4734774066797685E-2</v>
      </c>
      <c r="S33" s="18">
        <f t="shared" si="8"/>
        <v>-6.8292682926829329E-3</v>
      </c>
      <c r="T33" s="18">
        <f t="shared" si="9"/>
        <v>-6.7829457364341206E-3</v>
      </c>
      <c r="U33" s="18">
        <f t="shared" si="10"/>
        <v>-1.9943019943019946E-2</v>
      </c>
      <c r="V33" s="5">
        <f t="shared" si="11"/>
        <v>-1.4977832169447888E-2</v>
      </c>
      <c r="W33" s="5">
        <f t="shared" si="12"/>
        <v>0.17415172293500847</v>
      </c>
    </row>
    <row r="34" spans="1:23" x14ac:dyDescent="0.25">
      <c r="A34" t="s">
        <v>62</v>
      </c>
      <c r="B34" t="s">
        <v>63</v>
      </c>
      <c r="C34" s="6">
        <v>1205</v>
      </c>
      <c r="D34" s="6">
        <v>1203</v>
      </c>
      <c r="E34" s="6">
        <v>1185</v>
      </c>
      <c r="F34" s="6">
        <v>1172</v>
      </c>
      <c r="G34" s="6">
        <v>1150</v>
      </c>
      <c r="H34" s="6">
        <v>924.4</v>
      </c>
      <c r="I34" s="6">
        <v>940.4</v>
      </c>
      <c r="J34" s="6">
        <v>958.1</v>
      </c>
      <c r="K34" s="6">
        <v>967.2</v>
      </c>
      <c r="L34" s="6">
        <v>952.9</v>
      </c>
      <c r="M34" s="18">
        <f t="shared" si="2"/>
        <v>1.6625103906899863E-3</v>
      </c>
      <c r="N34" s="18">
        <f t="shared" si="3"/>
        <v>1.51898734177216E-2</v>
      </c>
      <c r="O34" s="18">
        <f t="shared" si="4"/>
        <v>1.1092150170648463E-2</v>
      </c>
      <c r="P34" s="18">
        <f t="shared" si="5"/>
        <v>1.9130434782608674E-2</v>
      </c>
      <c r="Q34" s="18">
        <f t="shared" si="6"/>
        <v>0.24405019472090017</v>
      </c>
      <c r="R34" s="18">
        <f t="shared" si="7"/>
        <v>-1.7014036580178638E-2</v>
      </c>
      <c r="S34" s="18">
        <f t="shared" si="8"/>
        <v>-1.8474063250182748E-2</v>
      </c>
      <c r="T34" s="18">
        <f t="shared" si="9"/>
        <v>-9.4086021505376261E-3</v>
      </c>
      <c r="U34" s="18">
        <f t="shared" si="10"/>
        <v>1.5006821282401273E-2</v>
      </c>
      <c r="V34" s="5">
        <f t="shared" si="11"/>
        <v>2.9026142531563461E-2</v>
      </c>
      <c r="W34" s="5">
        <f t="shared" si="12"/>
        <v>-99.999989999999997</v>
      </c>
    </row>
    <row r="35" spans="1:23" x14ac:dyDescent="0.25">
      <c r="A35" t="s">
        <v>64</v>
      </c>
      <c r="B35" t="s">
        <v>65</v>
      </c>
      <c r="C35" s="6">
        <v>4335</v>
      </c>
      <c r="D35" s="6">
        <v>4502</v>
      </c>
      <c r="E35" s="6">
        <v>4734</v>
      </c>
      <c r="F35" s="6">
        <v>4979</v>
      </c>
      <c r="G35" s="6">
        <v>4727</v>
      </c>
      <c r="H35" s="6">
        <v>4976</v>
      </c>
      <c r="I35" s="6">
        <v>5382</v>
      </c>
      <c r="J35" s="6">
        <v>5729</v>
      </c>
      <c r="K35" s="6">
        <v>6133</v>
      </c>
      <c r="L35" s="6">
        <v>6401</v>
      </c>
      <c r="M35" s="18">
        <f t="shared" si="2"/>
        <v>-3.7094624611283877E-2</v>
      </c>
      <c r="N35" s="18">
        <f t="shared" si="3"/>
        <v>-4.9007182087030032E-2</v>
      </c>
      <c r="O35" s="18">
        <f t="shared" si="4"/>
        <v>-4.9206668005623566E-2</v>
      </c>
      <c r="P35" s="18">
        <f t="shared" si="5"/>
        <v>5.3310767928918867E-2</v>
      </c>
      <c r="Q35" s="18">
        <f t="shared" si="6"/>
        <v>-5.0040192926045002E-2</v>
      </c>
      <c r="R35" s="18">
        <f t="shared" si="7"/>
        <v>-7.5436640654031994E-2</v>
      </c>
      <c r="S35" s="18">
        <f t="shared" si="8"/>
        <v>-6.0569034735555971E-2</v>
      </c>
      <c r="T35" s="18">
        <f t="shared" si="9"/>
        <v>-6.5873145279634726E-2</v>
      </c>
      <c r="U35" s="18">
        <f t="shared" si="10"/>
        <v>-4.1868458053429203E-2</v>
      </c>
      <c r="V35" s="5">
        <f t="shared" si="11"/>
        <v>-4.1753908713746166E-2</v>
      </c>
      <c r="W35" s="5">
        <f t="shared" si="12"/>
        <v>-0.11158917203189567</v>
      </c>
    </row>
    <row r="36" spans="1:23" x14ac:dyDescent="0.25">
      <c r="A36" t="s">
        <v>66</v>
      </c>
      <c r="B36" t="s">
        <v>67</v>
      </c>
      <c r="C36" s="6">
        <v>10061</v>
      </c>
      <c r="D36" s="6">
        <v>10406</v>
      </c>
      <c r="E36" s="6">
        <v>10573</v>
      </c>
      <c r="F36" s="6">
        <v>10615</v>
      </c>
      <c r="G36" s="6">
        <v>10663</v>
      </c>
      <c r="H36" s="6">
        <v>10537</v>
      </c>
      <c r="I36" s="6">
        <v>9988</v>
      </c>
      <c r="J36" s="6">
        <v>10277</v>
      </c>
      <c r="K36" s="6">
        <v>10484</v>
      </c>
      <c r="L36" s="6">
        <v>10586</v>
      </c>
      <c r="M36" s="18">
        <f t="shared" si="2"/>
        <v>-3.3153949644435854E-2</v>
      </c>
      <c r="N36" s="18">
        <f t="shared" si="3"/>
        <v>-1.5794949399413616E-2</v>
      </c>
      <c r="O36" s="18">
        <f t="shared" si="4"/>
        <v>-3.9566650965614514E-3</v>
      </c>
      <c r="P36" s="18">
        <f t="shared" si="5"/>
        <v>-4.5015474069211026E-3</v>
      </c>
      <c r="Q36" s="18">
        <f t="shared" si="6"/>
        <v>1.1957862769289118E-2</v>
      </c>
      <c r="R36" s="18">
        <f t="shared" si="7"/>
        <v>5.4965959150981236E-2</v>
      </c>
      <c r="S36" s="18">
        <f t="shared" si="8"/>
        <v>-2.8121046998151211E-2</v>
      </c>
      <c r="T36" s="18">
        <f t="shared" si="9"/>
        <v>-1.9744372376955366E-2</v>
      </c>
      <c r="U36" s="18">
        <f t="shared" si="10"/>
        <v>-9.6353674664650946E-3</v>
      </c>
      <c r="V36" s="5">
        <f t="shared" si="11"/>
        <v>-5.331564052070371E-3</v>
      </c>
      <c r="W36" s="5">
        <f t="shared" si="12"/>
        <v>5.2184284612620191</v>
      </c>
    </row>
    <row r="37" spans="1:23" x14ac:dyDescent="0.25">
      <c r="A37" t="s">
        <v>68</v>
      </c>
      <c r="B37" t="s">
        <v>69</v>
      </c>
      <c r="C37" s="6">
        <v>446.36</v>
      </c>
      <c r="D37" s="6">
        <v>465.15</v>
      </c>
      <c r="E37" s="6">
        <v>485.47</v>
      </c>
      <c r="F37" s="6">
        <v>507.5</v>
      </c>
      <c r="G37" s="6">
        <v>515.1</v>
      </c>
      <c r="H37" s="6">
        <v>442.5</v>
      </c>
      <c r="I37" s="6">
        <v>390.8</v>
      </c>
      <c r="J37" s="6">
        <v>425.8</v>
      </c>
      <c r="K37" s="6">
        <v>437.2</v>
      </c>
      <c r="L37" s="6">
        <v>481</v>
      </c>
      <c r="M37" s="18">
        <f t="shared" si="2"/>
        <v>-4.0395571321079182E-2</v>
      </c>
      <c r="N37" s="18">
        <f t="shared" si="3"/>
        <v>-4.1856345397244032E-2</v>
      </c>
      <c r="O37" s="18">
        <f t="shared" si="4"/>
        <v>-4.3408866995073847E-2</v>
      </c>
      <c r="P37" s="18">
        <f t="shared" si="5"/>
        <v>-1.4754416618132482E-2</v>
      </c>
      <c r="Q37" s="18">
        <f t="shared" si="6"/>
        <v>0.16406779661016957</v>
      </c>
      <c r="R37" s="18">
        <f t="shared" si="7"/>
        <v>0.13229273285568066</v>
      </c>
      <c r="S37" s="18">
        <f t="shared" si="8"/>
        <v>-8.2198215124471563E-2</v>
      </c>
      <c r="T37" s="18">
        <f t="shared" si="9"/>
        <v>-2.6075022872827036E-2</v>
      </c>
      <c r="U37" s="18">
        <f t="shared" si="10"/>
        <v>-9.1060291060291121E-2</v>
      </c>
      <c r="V37" s="5">
        <f t="shared" si="11"/>
        <v>-4.8209111025854477E-3</v>
      </c>
      <c r="W37" s="5">
        <f t="shared" si="12"/>
        <v>7.3792400360618746</v>
      </c>
    </row>
    <row r="38" spans="1:23" x14ac:dyDescent="0.25">
      <c r="A38" t="s">
        <v>70</v>
      </c>
      <c r="B38" t="s">
        <v>71</v>
      </c>
      <c r="C38" s="6">
        <v>1054</v>
      </c>
      <c r="D38" s="6">
        <v>1117</v>
      </c>
      <c r="E38" s="6">
        <v>1163</v>
      </c>
      <c r="F38" s="6">
        <v>1220</v>
      </c>
      <c r="G38" s="6">
        <v>1305</v>
      </c>
      <c r="H38" s="6">
        <v>1339</v>
      </c>
      <c r="I38" s="6">
        <v>1385</v>
      </c>
      <c r="J38" s="6">
        <v>1507</v>
      </c>
      <c r="K38" s="6">
        <v>1574</v>
      </c>
      <c r="L38" s="6">
        <v>1646</v>
      </c>
      <c r="M38" s="18">
        <f t="shared" si="2"/>
        <v>-5.6401074306177246E-2</v>
      </c>
      <c r="N38" s="18">
        <f t="shared" si="3"/>
        <v>-3.9552880481513286E-2</v>
      </c>
      <c r="O38" s="18">
        <f t="shared" si="4"/>
        <v>-4.672131147540981E-2</v>
      </c>
      <c r="P38" s="18">
        <f t="shared" si="5"/>
        <v>-6.5134099616858232E-2</v>
      </c>
      <c r="Q38" s="18">
        <f t="shared" si="6"/>
        <v>-2.5392083644510843E-2</v>
      </c>
      <c r="R38" s="18">
        <f t="shared" si="7"/>
        <v>-3.3212996389891725E-2</v>
      </c>
      <c r="S38" s="18">
        <f t="shared" si="8"/>
        <v>-8.095554080955536E-2</v>
      </c>
      <c r="T38" s="18">
        <f t="shared" si="9"/>
        <v>-4.2566709021600979E-2</v>
      </c>
      <c r="U38" s="18">
        <f t="shared" si="10"/>
        <v>-4.3742405832320808E-2</v>
      </c>
      <c r="V38" s="5">
        <f t="shared" si="11"/>
        <v>-4.8186566841982033E-2</v>
      </c>
      <c r="W38" s="5">
        <f t="shared" si="12"/>
        <v>0.17047297623698743</v>
      </c>
    </row>
    <row r="39" spans="1:23" x14ac:dyDescent="0.25">
      <c r="A39" t="s">
        <v>72</v>
      </c>
      <c r="B39" t="s">
        <v>73</v>
      </c>
      <c r="C39" s="6">
        <v>3756</v>
      </c>
      <c r="D39" s="6">
        <v>3804</v>
      </c>
      <c r="E39" s="6">
        <v>3773</v>
      </c>
      <c r="F39" s="6">
        <v>3910</v>
      </c>
      <c r="G39" s="6">
        <v>3942</v>
      </c>
      <c r="H39" s="6">
        <v>3733</v>
      </c>
      <c r="I39" s="6">
        <v>3367</v>
      </c>
      <c r="J39" s="6">
        <v>3462</v>
      </c>
      <c r="K39" s="6">
        <v>3487</v>
      </c>
      <c r="L39" s="6">
        <v>3556</v>
      </c>
      <c r="M39" s="18">
        <f t="shared" si="2"/>
        <v>-1.2618296529968487E-2</v>
      </c>
      <c r="N39" s="18">
        <f t="shared" si="3"/>
        <v>8.216273522396067E-3</v>
      </c>
      <c r="O39" s="18">
        <f t="shared" si="4"/>
        <v>-3.5038363171355447E-2</v>
      </c>
      <c r="P39" s="18">
        <f t="shared" si="5"/>
        <v>-8.1177067478437337E-3</v>
      </c>
      <c r="Q39" s="18">
        <f t="shared" si="6"/>
        <v>5.5987141709081145E-2</v>
      </c>
      <c r="R39" s="18">
        <f t="shared" si="7"/>
        <v>0.10870210870210872</v>
      </c>
      <c r="S39" s="18">
        <f t="shared" si="8"/>
        <v>-2.7440785673021328E-2</v>
      </c>
      <c r="T39" s="18">
        <f t="shared" si="9"/>
        <v>-7.1694866647548094E-3</v>
      </c>
      <c r="U39" s="18">
        <f t="shared" si="10"/>
        <v>-1.9403824521934787E-2</v>
      </c>
      <c r="V39" s="5">
        <f t="shared" si="11"/>
        <v>7.0130067360785935E-3</v>
      </c>
      <c r="W39" s="5">
        <f t="shared" si="12"/>
        <v>2.7992705561016127</v>
      </c>
    </row>
    <row r="40" spans="1:23" x14ac:dyDescent="0.25">
      <c r="A40" t="s">
        <v>74</v>
      </c>
      <c r="B40" t="s">
        <v>75</v>
      </c>
      <c r="C40" s="6">
        <v>2821</v>
      </c>
      <c r="D40" s="6">
        <v>2778</v>
      </c>
      <c r="E40" s="6">
        <v>2724</v>
      </c>
      <c r="F40" s="6">
        <v>2738</v>
      </c>
      <c r="G40" s="6">
        <v>2754</v>
      </c>
      <c r="H40" s="6">
        <v>2769</v>
      </c>
      <c r="I40" s="6">
        <v>2840</v>
      </c>
      <c r="J40" s="6">
        <v>2893</v>
      </c>
      <c r="K40" s="6">
        <v>2975</v>
      </c>
      <c r="L40" s="6">
        <v>2971</v>
      </c>
      <c r="M40" s="18">
        <f t="shared" si="2"/>
        <v>1.5478761699064147E-2</v>
      </c>
      <c r="N40" s="18">
        <f t="shared" si="3"/>
        <v>1.982378854625555E-2</v>
      </c>
      <c r="O40" s="18">
        <f t="shared" si="4"/>
        <v>-5.1132213294375894E-3</v>
      </c>
      <c r="P40" s="18">
        <f t="shared" si="5"/>
        <v>-5.8097312999273454E-3</v>
      </c>
      <c r="Q40" s="18">
        <f t="shared" si="6"/>
        <v>-5.4171180931744667E-3</v>
      </c>
      <c r="R40" s="18">
        <f t="shared" si="7"/>
        <v>-2.5000000000000022E-2</v>
      </c>
      <c r="S40" s="18">
        <f t="shared" si="8"/>
        <v>-1.8320082958866224E-2</v>
      </c>
      <c r="T40" s="18">
        <f t="shared" si="9"/>
        <v>-2.7563025210084025E-2</v>
      </c>
      <c r="U40" s="18">
        <f t="shared" si="10"/>
        <v>1.3463480309661158E-3</v>
      </c>
      <c r="V40" s="5">
        <f t="shared" si="11"/>
        <v>-5.6193645128004288E-3</v>
      </c>
      <c r="W40" s="5">
        <f t="shared" si="12"/>
        <v>-3.7545395326828968</v>
      </c>
    </row>
    <row r="41" spans="1:23" x14ac:dyDescent="0.25">
      <c r="A41" t="s">
        <v>76</v>
      </c>
      <c r="B41" t="s">
        <v>77</v>
      </c>
      <c r="C41" s="6">
        <v>596.30999999999995</v>
      </c>
      <c r="D41" s="6">
        <v>593.37</v>
      </c>
      <c r="E41" s="6"/>
      <c r="F41" s="6"/>
      <c r="G41" s="6"/>
      <c r="H41" s="6"/>
      <c r="I41" s="6"/>
      <c r="J41" s="6"/>
      <c r="K41" s="6"/>
      <c r="L41" s="6"/>
      <c r="M41" s="18">
        <f t="shared" si="2"/>
        <v>4.9547499873603407E-3</v>
      </c>
      <c r="N41" s="18">
        <f t="shared" si="3"/>
        <v>0</v>
      </c>
      <c r="O41" s="18">
        <f t="shared" si="4"/>
        <v>0</v>
      </c>
      <c r="P41" s="18">
        <f t="shared" si="5"/>
        <v>0</v>
      </c>
      <c r="Q41" s="18">
        <f t="shared" si="6"/>
        <v>0</v>
      </c>
      <c r="R41" s="18">
        <f t="shared" si="7"/>
        <v>0</v>
      </c>
      <c r="S41" s="18">
        <f t="shared" si="8"/>
        <v>0</v>
      </c>
      <c r="T41" s="18">
        <f t="shared" si="9"/>
        <v>0</v>
      </c>
      <c r="U41" s="18">
        <f t="shared" si="10"/>
        <v>0</v>
      </c>
      <c r="V41" s="5">
        <f t="shared" si="11"/>
        <v>5.5052777637337117E-4</v>
      </c>
      <c r="W41" s="5">
        <f t="shared" si="12"/>
        <v>-99.999989999999997</v>
      </c>
    </row>
    <row r="42" spans="1:23" x14ac:dyDescent="0.25">
      <c r="A42" t="s">
        <v>78</v>
      </c>
      <c r="B42" t="s">
        <v>79</v>
      </c>
      <c r="C42" s="6">
        <v>990.4</v>
      </c>
      <c r="D42" s="6">
        <v>1003</v>
      </c>
      <c r="E42" s="6">
        <v>1021</v>
      </c>
      <c r="F42" s="6">
        <v>1054</v>
      </c>
      <c r="G42" s="6">
        <v>1107</v>
      </c>
      <c r="H42" s="6">
        <v>1115</v>
      </c>
      <c r="I42" s="6">
        <v>1165</v>
      </c>
      <c r="J42" s="6">
        <v>1204</v>
      </c>
      <c r="K42" s="6">
        <v>1263</v>
      </c>
      <c r="L42" s="6">
        <v>1257</v>
      </c>
      <c r="M42" s="18">
        <f t="shared" si="2"/>
        <v>-1.2562313060817565E-2</v>
      </c>
      <c r="N42" s="18">
        <f t="shared" si="3"/>
        <v>-1.7629774730656189E-2</v>
      </c>
      <c r="O42" s="18">
        <f t="shared" si="4"/>
        <v>-3.1309297912713419E-2</v>
      </c>
      <c r="P42" s="18">
        <f t="shared" si="5"/>
        <v>-4.7877145438121049E-2</v>
      </c>
      <c r="Q42" s="18">
        <f t="shared" si="6"/>
        <v>-7.1748878923766357E-3</v>
      </c>
      <c r="R42" s="18">
        <f t="shared" si="7"/>
        <v>-4.2918454935622297E-2</v>
      </c>
      <c r="S42" s="18">
        <f t="shared" si="8"/>
        <v>-3.2392026578073052E-2</v>
      </c>
      <c r="T42" s="18">
        <f t="shared" si="9"/>
        <v>-4.6714172604908955E-2</v>
      </c>
      <c r="U42" s="18">
        <f t="shared" si="10"/>
        <v>4.7732696897375693E-3</v>
      </c>
      <c r="V42" s="5">
        <f t="shared" si="11"/>
        <v>-2.5978311495950177E-2</v>
      </c>
      <c r="W42" s="5">
        <f t="shared" si="12"/>
        <v>-0.51643073250638571</v>
      </c>
    </row>
    <row r="43" spans="1:23" x14ac:dyDescent="0.25">
      <c r="A43" t="s">
        <v>80</v>
      </c>
      <c r="B43" t="s">
        <v>81</v>
      </c>
      <c r="C43" s="6">
        <v>2928</v>
      </c>
      <c r="D43" s="6">
        <v>3027</v>
      </c>
      <c r="E43" s="6">
        <v>3041</v>
      </c>
      <c r="F43" s="6">
        <v>3082</v>
      </c>
      <c r="G43" s="6">
        <v>3108</v>
      </c>
      <c r="H43" s="6">
        <v>2108</v>
      </c>
      <c r="I43" s="6">
        <v>2173</v>
      </c>
      <c r="J43" s="6">
        <v>2168</v>
      </c>
      <c r="K43" s="6">
        <v>2182</v>
      </c>
      <c r="L43" s="6">
        <v>2209</v>
      </c>
      <c r="M43" s="18">
        <f t="shared" si="2"/>
        <v>-3.2705649157581784E-2</v>
      </c>
      <c r="N43" s="18">
        <f t="shared" si="3"/>
        <v>-4.6037487668529886E-3</v>
      </c>
      <c r="O43" s="18">
        <f t="shared" si="4"/>
        <v>-1.3303049967553493E-2</v>
      </c>
      <c r="P43" s="18">
        <f t="shared" si="5"/>
        <v>-8.3655083655083118E-3</v>
      </c>
      <c r="Q43" s="18">
        <f t="shared" si="6"/>
        <v>0.47438330170777987</v>
      </c>
      <c r="R43" s="18">
        <f t="shared" si="7"/>
        <v>-2.991256327657621E-2</v>
      </c>
      <c r="S43" s="18">
        <f t="shared" si="8"/>
        <v>2.3062730627305683E-3</v>
      </c>
      <c r="T43" s="18">
        <f t="shared" si="9"/>
        <v>-6.4161319890009283E-3</v>
      </c>
      <c r="U43" s="18">
        <f t="shared" si="10"/>
        <v>-1.2222725215029429E-2</v>
      </c>
      <c r="V43" s="5">
        <f t="shared" si="11"/>
        <v>4.1017799781378587E-2</v>
      </c>
      <c r="W43" s="5">
        <f t="shared" si="12"/>
        <v>1.7973525964800681</v>
      </c>
    </row>
    <row r="44" spans="1:23" x14ac:dyDescent="0.25">
      <c r="A44" t="s">
        <v>82</v>
      </c>
      <c r="B44" t="s">
        <v>83</v>
      </c>
      <c r="C44" s="6">
        <v>8328</v>
      </c>
      <c r="D44" s="6">
        <v>8381</v>
      </c>
      <c r="E44" s="6">
        <v>8376</v>
      </c>
      <c r="F44" s="6">
        <v>8668</v>
      </c>
      <c r="G44" s="6">
        <v>8908</v>
      </c>
      <c r="H44" s="6">
        <v>9151</v>
      </c>
      <c r="I44" s="6">
        <v>9380</v>
      </c>
      <c r="J44" s="6">
        <v>10062</v>
      </c>
      <c r="K44" s="6">
        <v>10710</v>
      </c>
      <c r="L44" s="6">
        <v>10862</v>
      </c>
      <c r="M44" s="18">
        <f t="shared" si="2"/>
        <v>-6.3238277055244208E-3</v>
      </c>
      <c r="N44" s="18">
        <f t="shared" si="3"/>
        <v>5.9694364851958781E-4</v>
      </c>
      <c r="O44" s="18">
        <f t="shared" si="4"/>
        <v>-3.3687125057683454E-2</v>
      </c>
      <c r="P44" s="18">
        <f t="shared" si="5"/>
        <v>-2.6942074539739513E-2</v>
      </c>
      <c r="Q44" s="18">
        <f t="shared" si="6"/>
        <v>-2.6554474920773674E-2</v>
      </c>
      <c r="R44" s="18">
        <f t="shared" si="7"/>
        <v>-2.4413646055437055E-2</v>
      </c>
      <c r="S44" s="18">
        <f t="shared" si="8"/>
        <v>-6.7779765454184071E-2</v>
      </c>
      <c r="T44" s="18">
        <f t="shared" si="9"/>
        <v>-6.0504201680672276E-2</v>
      </c>
      <c r="U44" s="18">
        <f t="shared" si="10"/>
        <v>-1.3993739642791381E-2</v>
      </c>
      <c r="V44" s="5">
        <f t="shared" si="11"/>
        <v>-2.8844656823142918E-2</v>
      </c>
      <c r="W44" s="5">
        <f t="shared" si="12"/>
        <v>-0.78076259515590329</v>
      </c>
    </row>
    <row r="45" spans="1:23" x14ac:dyDescent="0.25">
      <c r="A45" t="s">
        <v>84</v>
      </c>
      <c r="B45" t="s">
        <v>85</v>
      </c>
      <c r="C45" s="6">
        <v>1705</v>
      </c>
      <c r="D45" s="6">
        <v>1778</v>
      </c>
      <c r="E45" s="6">
        <v>1768</v>
      </c>
      <c r="F45" s="6">
        <v>1749</v>
      </c>
      <c r="G45" s="6">
        <v>1478</v>
      </c>
      <c r="H45" s="6">
        <v>1469</v>
      </c>
      <c r="I45" s="6">
        <v>1534</v>
      </c>
      <c r="J45" s="6">
        <v>1636</v>
      </c>
      <c r="K45" s="6">
        <v>1670</v>
      </c>
      <c r="L45" s="6"/>
      <c r="M45" s="18">
        <f t="shared" si="2"/>
        <v>-4.1057367829021363E-2</v>
      </c>
      <c r="N45" s="18">
        <f t="shared" si="3"/>
        <v>5.6561085972850478E-3</v>
      </c>
      <c r="O45" s="18">
        <f t="shared" si="4"/>
        <v>1.0863350485992074E-2</v>
      </c>
      <c r="P45" s="18">
        <f t="shared" si="5"/>
        <v>0.18335588633288236</v>
      </c>
      <c r="Q45" s="18">
        <f t="shared" si="6"/>
        <v>6.1266167460858334E-3</v>
      </c>
      <c r="R45" s="18">
        <f t="shared" si="7"/>
        <v>-4.2372881355932202E-2</v>
      </c>
      <c r="S45" s="18">
        <f t="shared" si="8"/>
        <v>-6.2347188264058717E-2</v>
      </c>
      <c r="T45" s="18">
        <f t="shared" si="9"/>
        <v>-2.0359281437125731E-2</v>
      </c>
      <c r="U45" s="18">
        <f t="shared" si="10"/>
        <v>0</v>
      </c>
      <c r="V45" s="5">
        <f t="shared" si="11"/>
        <v>4.4294714751230329E-3</v>
      </c>
      <c r="W45" s="5">
        <f t="shared" si="12"/>
        <v>10.269134717225141</v>
      </c>
    </row>
    <row r="46" spans="1:23" x14ac:dyDescent="0.25">
      <c r="A46" t="s">
        <v>86</v>
      </c>
      <c r="B46" t="s">
        <v>87</v>
      </c>
      <c r="C46" s="6">
        <v>529.03</v>
      </c>
      <c r="D46" s="6">
        <v>534.37</v>
      </c>
      <c r="E46" s="6">
        <v>535.29999999999995</v>
      </c>
      <c r="F46" s="6">
        <v>540.4</v>
      </c>
      <c r="G46" s="6">
        <v>545.9</v>
      </c>
      <c r="H46" s="6">
        <v>548.6</v>
      </c>
      <c r="I46" s="6">
        <v>545.6</v>
      </c>
      <c r="J46" s="6">
        <v>543.20000000000005</v>
      </c>
      <c r="K46" s="6">
        <v>536.4</v>
      </c>
      <c r="L46" s="6">
        <v>528.79999999999995</v>
      </c>
      <c r="M46" s="18">
        <f t="shared" si="2"/>
        <v>-9.9930759586055462E-3</v>
      </c>
      <c r="N46" s="18">
        <f t="shared" si="3"/>
        <v>-1.7373435456752295E-3</v>
      </c>
      <c r="O46" s="18">
        <f t="shared" si="4"/>
        <v>-9.4374537379718904E-3</v>
      </c>
      <c r="P46" s="18">
        <f t="shared" si="5"/>
        <v>-1.0075105330646594E-2</v>
      </c>
      <c r="Q46" s="18">
        <f t="shared" si="6"/>
        <v>-4.921618665694627E-3</v>
      </c>
      <c r="R46" s="18">
        <f t="shared" si="7"/>
        <v>5.4985337243402821E-3</v>
      </c>
      <c r="S46" s="18">
        <f t="shared" si="8"/>
        <v>4.4182621502208974E-3</v>
      </c>
      <c r="T46" s="18">
        <f t="shared" si="9"/>
        <v>1.2677106636838298E-2</v>
      </c>
      <c r="U46" s="18">
        <f t="shared" si="10"/>
        <v>1.4372163388804982E-2</v>
      </c>
      <c r="V46" s="5">
        <f t="shared" si="11"/>
        <v>8.9052073512285723E-5</v>
      </c>
      <c r="W46" s="5">
        <f t="shared" si="12"/>
        <v>113.21609519543517</v>
      </c>
    </row>
    <row r="47" spans="1:23" x14ac:dyDescent="0.25">
      <c r="A47" t="s">
        <v>88</v>
      </c>
      <c r="B47" t="s">
        <v>89</v>
      </c>
      <c r="C47" s="6">
        <v>4646</v>
      </c>
      <c r="D47" s="6">
        <v>4905</v>
      </c>
      <c r="E47" s="6">
        <v>5068</v>
      </c>
      <c r="F47" s="6">
        <v>5026</v>
      </c>
      <c r="G47" s="6">
        <v>5007</v>
      </c>
      <c r="H47" s="6">
        <v>5150</v>
      </c>
      <c r="I47" s="6">
        <v>5107</v>
      </c>
      <c r="J47" s="6">
        <v>5232</v>
      </c>
      <c r="K47" s="6">
        <v>5145</v>
      </c>
      <c r="L47" s="6">
        <v>5171</v>
      </c>
      <c r="M47" s="18">
        <f t="shared" si="2"/>
        <v>-5.2803261977573901E-2</v>
      </c>
      <c r="N47" s="18">
        <f t="shared" si="3"/>
        <v>-3.2162588792423064E-2</v>
      </c>
      <c r="O47" s="18">
        <f t="shared" si="4"/>
        <v>8.3565459610028814E-3</v>
      </c>
      <c r="P47" s="18">
        <f t="shared" si="5"/>
        <v>3.794687437587374E-3</v>
      </c>
      <c r="Q47" s="18">
        <f t="shared" si="6"/>
        <v>-2.7766990291262172E-2</v>
      </c>
      <c r="R47" s="18">
        <f t="shared" si="7"/>
        <v>8.4198159389072824E-3</v>
      </c>
      <c r="S47" s="18">
        <f t="shared" si="8"/>
        <v>-2.3891437308868446E-2</v>
      </c>
      <c r="T47" s="18">
        <f t="shared" si="9"/>
        <v>1.6909620991253593E-2</v>
      </c>
      <c r="U47" s="18">
        <f t="shared" si="10"/>
        <v>-5.0280409978727958E-3</v>
      </c>
      <c r="V47" s="5">
        <f t="shared" si="11"/>
        <v>-1.1574627671027694E-2</v>
      </c>
      <c r="W47" s="5">
        <f t="shared" si="12"/>
        <v>3.5619836316415681</v>
      </c>
    </row>
    <row r="48" spans="1:23" x14ac:dyDescent="0.25">
      <c r="A48" t="s">
        <v>90</v>
      </c>
      <c r="B48" t="s">
        <v>91</v>
      </c>
      <c r="C48" s="6">
        <v>1522</v>
      </c>
      <c r="D48" s="6">
        <v>1543</v>
      </c>
      <c r="E48" s="6">
        <v>1564</v>
      </c>
      <c r="F48" s="6">
        <v>1581</v>
      </c>
      <c r="G48" s="6">
        <v>1565</v>
      </c>
      <c r="H48" s="6">
        <v>1553</v>
      </c>
      <c r="I48" s="6">
        <v>1605</v>
      </c>
      <c r="J48" s="6">
        <v>1638</v>
      </c>
      <c r="K48" s="6">
        <v>1656</v>
      </c>
      <c r="L48" s="6">
        <v>1679</v>
      </c>
      <c r="M48" s="18">
        <f t="shared" si="2"/>
        <v>-1.3609850939727774E-2</v>
      </c>
      <c r="N48" s="18">
        <f t="shared" si="3"/>
        <v>-1.3427109974424534E-2</v>
      </c>
      <c r="O48" s="18">
        <f t="shared" si="4"/>
        <v>-1.0752688172043001E-2</v>
      </c>
      <c r="P48" s="18">
        <f t="shared" si="5"/>
        <v>1.0223642172523917E-2</v>
      </c>
      <c r="Q48" s="18">
        <f t="shared" si="6"/>
        <v>7.726980038634812E-3</v>
      </c>
      <c r="R48" s="18">
        <f t="shared" si="7"/>
        <v>-3.2398753894080978E-2</v>
      </c>
      <c r="S48" s="18">
        <f t="shared" si="8"/>
        <v>-2.0146520146520186E-2</v>
      </c>
      <c r="T48" s="18">
        <f t="shared" si="9"/>
        <v>-1.0869565217391353E-2</v>
      </c>
      <c r="U48" s="18">
        <f t="shared" si="10"/>
        <v>-1.3698630136986356E-2</v>
      </c>
      <c r="V48" s="5">
        <f t="shared" si="11"/>
        <v>-1.0772499585557272E-2</v>
      </c>
      <c r="W48" s="5">
        <f t="shared" si="12"/>
        <v>0.26338839297562378</v>
      </c>
    </row>
    <row r="49" spans="1:23" x14ac:dyDescent="0.25">
      <c r="A49" t="s">
        <v>92</v>
      </c>
      <c r="B49" t="s">
        <v>93</v>
      </c>
      <c r="C49" s="6">
        <v>6399</v>
      </c>
      <c r="D49" s="6">
        <v>7276</v>
      </c>
      <c r="E49" s="6">
        <v>7575</v>
      </c>
      <c r="F49" s="6">
        <v>8012</v>
      </c>
      <c r="G49" s="6">
        <v>8070</v>
      </c>
      <c r="H49" s="6">
        <v>6746</v>
      </c>
      <c r="I49" s="6">
        <v>6761</v>
      </c>
      <c r="J49" s="6">
        <v>7124</v>
      </c>
      <c r="K49" s="6">
        <v>7361</v>
      </c>
      <c r="L49" s="6">
        <v>7473</v>
      </c>
      <c r="M49" s="18">
        <f t="shared" si="2"/>
        <v>-0.12053326003298515</v>
      </c>
      <c r="N49" s="18">
        <f t="shared" si="3"/>
        <v>-3.947194719471947E-2</v>
      </c>
      <c r="O49" s="18">
        <f t="shared" si="4"/>
        <v>-5.4543185222166723E-2</v>
      </c>
      <c r="P49" s="18">
        <f t="shared" si="5"/>
        <v>-7.1871127633209575E-3</v>
      </c>
      <c r="Q49" s="18">
        <f t="shared" si="6"/>
        <v>0.1962644530091906</v>
      </c>
      <c r="R49" s="18">
        <f t="shared" si="7"/>
        <v>-2.2186067149829736E-3</v>
      </c>
      <c r="S49" s="18">
        <f t="shared" si="8"/>
        <v>-5.0954519932622122E-2</v>
      </c>
      <c r="T49" s="18">
        <f t="shared" si="9"/>
        <v>-3.2196712403206096E-2</v>
      </c>
      <c r="U49" s="18">
        <f t="shared" si="10"/>
        <v>-1.4987287568580254E-2</v>
      </c>
      <c r="V49" s="5">
        <f t="shared" si="11"/>
        <v>-1.3980908758154794E-2</v>
      </c>
      <c r="W49" s="5">
        <f t="shared" si="12"/>
        <v>7.6212750628731776</v>
      </c>
    </row>
    <row r="50" spans="1:23" x14ac:dyDescent="0.25">
      <c r="A50" t="s">
        <v>94</v>
      </c>
      <c r="B50" t="s">
        <v>95</v>
      </c>
      <c r="C50" s="6">
        <v>1589</v>
      </c>
      <c r="D50" s="6">
        <v>1564</v>
      </c>
      <c r="E50" s="6">
        <v>1726</v>
      </c>
      <c r="F50" s="6">
        <v>1802</v>
      </c>
      <c r="G50" s="6">
        <v>1887</v>
      </c>
      <c r="H50" s="6">
        <v>2007</v>
      </c>
      <c r="I50" s="6"/>
      <c r="J50" s="6"/>
      <c r="K50" s="6"/>
      <c r="L50" s="6"/>
      <c r="M50" s="18">
        <f t="shared" si="2"/>
        <v>1.5984654731457715E-2</v>
      </c>
      <c r="N50" s="18">
        <f t="shared" si="3"/>
        <v>-9.3858632676709131E-2</v>
      </c>
      <c r="O50" s="18">
        <f t="shared" si="4"/>
        <v>-4.2175360710321907E-2</v>
      </c>
      <c r="P50" s="18">
        <f t="shared" si="5"/>
        <v>-4.5045045045045029E-2</v>
      </c>
      <c r="Q50" s="18">
        <f t="shared" si="6"/>
        <v>-5.9790732436472371E-2</v>
      </c>
      <c r="R50" s="18">
        <f t="shared" si="7"/>
        <v>0</v>
      </c>
      <c r="S50" s="18">
        <f t="shared" si="8"/>
        <v>0</v>
      </c>
      <c r="T50" s="18">
        <f t="shared" si="9"/>
        <v>0</v>
      </c>
      <c r="U50" s="18">
        <f t="shared" si="10"/>
        <v>0</v>
      </c>
      <c r="V50" s="5">
        <f t="shared" si="11"/>
        <v>-2.4987235126343415E-2</v>
      </c>
      <c r="W50" s="5">
        <f t="shared" si="12"/>
        <v>-1.639712823392993</v>
      </c>
    </row>
    <row r="51" spans="1:23" x14ac:dyDescent="0.25">
      <c r="A51" t="s">
        <v>96</v>
      </c>
      <c r="B51" t="s">
        <v>97</v>
      </c>
      <c r="C51" s="6">
        <v>2742</v>
      </c>
      <c r="D51" s="6">
        <v>2748</v>
      </c>
      <c r="E51" s="6">
        <v>2766</v>
      </c>
      <c r="F51" s="6">
        <v>2844</v>
      </c>
      <c r="G51" s="6">
        <v>2915</v>
      </c>
      <c r="H51" s="6">
        <v>3033</v>
      </c>
      <c r="I51" s="6">
        <v>3132</v>
      </c>
      <c r="J51" s="6">
        <v>3179</v>
      </c>
      <c r="K51" s="6">
        <v>2473</v>
      </c>
      <c r="L51" s="6">
        <v>2544</v>
      </c>
      <c r="M51" s="18">
        <f t="shared" si="2"/>
        <v>-2.1834061135370675E-3</v>
      </c>
      <c r="N51" s="18">
        <f t="shared" si="3"/>
        <v>-6.5075921908893664E-3</v>
      </c>
      <c r="O51" s="18">
        <f t="shared" si="4"/>
        <v>-2.7426160337552741E-2</v>
      </c>
      <c r="P51" s="18">
        <f t="shared" si="5"/>
        <v>-2.4356775300171551E-2</v>
      </c>
      <c r="Q51" s="18">
        <f t="shared" si="6"/>
        <v>-3.8905374216946953E-2</v>
      </c>
      <c r="R51" s="18">
        <f t="shared" si="7"/>
        <v>-3.1609195402298895E-2</v>
      </c>
      <c r="S51" s="18">
        <f t="shared" si="8"/>
        <v>-1.478452343504244E-2</v>
      </c>
      <c r="T51" s="18">
        <f t="shared" si="9"/>
        <v>0.28548321876263638</v>
      </c>
      <c r="U51" s="18">
        <f t="shared" si="10"/>
        <v>-2.7908805031446549E-2</v>
      </c>
      <c r="V51" s="5">
        <f t="shared" si="11"/>
        <v>1.2422376303861202E-2</v>
      </c>
      <c r="W51" s="5">
        <f t="shared" si="12"/>
        <v>1.1757639649716944</v>
      </c>
    </row>
    <row r="52" spans="1:23" x14ac:dyDescent="0.25">
      <c r="A52" t="s">
        <v>98</v>
      </c>
      <c r="B52" t="s">
        <v>99</v>
      </c>
      <c r="C52" s="6">
        <v>2862</v>
      </c>
      <c r="D52" s="6">
        <v>2858</v>
      </c>
      <c r="E52" s="6">
        <v>2836</v>
      </c>
      <c r="F52" s="6">
        <v>2828</v>
      </c>
      <c r="G52" s="6">
        <v>2836</v>
      </c>
      <c r="H52" s="6">
        <v>2968</v>
      </c>
      <c r="I52" s="6">
        <v>2968</v>
      </c>
      <c r="J52" s="6">
        <v>2912</v>
      </c>
      <c r="K52" s="6">
        <v>2763</v>
      </c>
      <c r="L52" s="6">
        <v>2768</v>
      </c>
      <c r="M52" s="18">
        <f t="shared" si="2"/>
        <v>1.3995801259623075E-3</v>
      </c>
      <c r="N52" s="18">
        <f t="shared" si="3"/>
        <v>7.7574047954866998E-3</v>
      </c>
      <c r="O52" s="18">
        <f t="shared" si="4"/>
        <v>2.8288543140029265E-3</v>
      </c>
      <c r="P52" s="18">
        <f t="shared" si="5"/>
        <v>-2.8208744710860323E-3</v>
      </c>
      <c r="Q52" s="18">
        <f t="shared" si="6"/>
        <v>-4.4474393530997358E-2</v>
      </c>
      <c r="R52" s="18">
        <f t="shared" si="7"/>
        <v>0</v>
      </c>
      <c r="S52" s="18">
        <f t="shared" si="8"/>
        <v>1.9230769230769162E-2</v>
      </c>
      <c r="T52" s="18">
        <f t="shared" si="9"/>
        <v>5.3926891060441573E-2</v>
      </c>
      <c r="U52" s="18">
        <f t="shared" si="10"/>
        <v>-1.8063583815028927E-3</v>
      </c>
      <c r="V52" s="5">
        <f t="shared" si="11"/>
        <v>4.0046525714529319E-3</v>
      </c>
      <c r="W52" s="5">
        <f t="shared" si="12"/>
        <v>-99.999989999999997</v>
      </c>
    </row>
    <row r="53" spans="1:23" x14ac:dyDescent="0.25">
      <c r="A53" t="s">
        <v>100</v>
      </c>
      <c r="B53" t="s">
        <v>101</v>
      </c>
      <c r="C53" s="6">
        <v>3314</v>
      </c>
      <c r="D53" s="6">
        <v>3418</v>
      </c>
      <c r="E53" s="6">
        <v>3516</v>
      </c>
      <c r="F53" s="6">
        <v>3759</v>
      </c>
      <c r="G53" s="6">
        <v>3925</v>
      </c>
      <c r="H53" s="6">
        <v>3973</v>
      </c>
      <c r="I53" s="6">
        <v>4131</v>
      </c>
      <c r="J53" s="6">
        <v>4165</v>
      </c>
      <c r="K53" s="6">
        <v>4234</v>
      </c>
      <c r="L53" s="6">
        <v>4311</v>
      </c>
      <c r="M53" s="18">
        <f t="shared" si="2"/>
        <v>-3.0427150380339385E-2</v>
      </c>
      <c r="N53" s="18">
        <f t="shared" si="3"/>
        <v>-2.7872582480091057E-2</v>
      </c>
      <c r="O53" s="18">
        <f t="shared" si="4"/>
        <v>-6.464485235434958E-2</v>
      </c>
      <c r="P53" s="18">
        <f t="shared" si="5"/>
        <v>-4.2292993630573261E-2</v>
      </c>
      <c r="Q53" s="18">
        <f t="shared" si="6"/>
        <v>-1.2081550465643076E-2</v>
      </c>
      <c r="R53" s="18">
        <f t="shared" si="7"/>
        <v>-3.8247397724521903E-2</v>
      </c>
      <c r="S53" s="18">
        <f t="shared" si="8"/>
        <v>-8.1632653061224358E-3</v>
      </c>
      <c r="T53" s="18">
        <f t="shared" si="9"/>
        <v>-1.6296646197449194E-2</v>
      </c>
      <c r="U53" s="18">
        <f t="shared" si="10"/>
        <v>-1.7861285084667111E-2</v>
      </c>
      <c r="V53" s="5">
        <f t="shared" si="11"/>
        <v>-2.8654191513750777E-2</v>
      </c>
      <c r="W53" s="5">
        <f t="shared" si="12"/>
        <v>6.1874328777965726E-2</v>
      </c>
    </row>
    <row r="54" spans="1:23" x14ac:dyDescent="0.25">
      <c r="A54" t="s">
        <v>102</v>
      </c>
      <c r="B54" t="s">
        <v>103</v>
      </c>
      <c r="C54" s="6">
        <v>1608</v>
      </c>
      <c r="D54" s="6">
        <v>1607</v>
      </c>
      <c r="E54" s="6">
        <v>1606</v>
      </c>
      <c r="F54" s="6">
        <v>1605</v>
      </c>
      <c r="G54" s="6">
        <v>1604</v>
      </c>
      <c r="H54" s="6"/>
      <c r="I54" s="6"/>
      <c r="J54" s="6"/>
      <c r="K54" s="6"/>
      <c r="L54" s="6"/>
      <c r="M54" s="18">
        <f t="shared" si="2"/>
        <v>6.2227753578092404E-4</v>
      </c>
      <c r="N54" s="18">
        <f t="shared" si="3"/>
        <v>6.2266500622665255E-4</v>
      </c>
      <c r="O54" s="18">
        <f t="shared" si="4"/>
        <v>6.2305295950149109E-4</v>
      </c>
      <c r="P54" s="18">
        <f t="shared" si="5"/>
        <v>6.2344139650871711E-4</v>
      </c>
      <c r="Q54" s="18">
        <f t="shared" si="6"/>
        <v>0</v>
      </c>
      <c r="R54" s="18">
        <f t="shared" si="7"/>
        <v>0</v>
      </c>
      <c r="S54" s="18">
        <f t="shared" si="8"/>
        <v>0</v>
      </c>
      <c r="T54" s="18">
        <f t="shared" si="9"/>
        <v>0</v>
      </c>
      <c r="U54" s="18">
        <f t="shared" si="10"/>
        <v>0</v>
      </c>
      <c r="V54" s="5">
        <f t="shared" si="11"/>
        <v>2.7682632200197606E-4</v>
      </c>
      <c r="W54" s="5">
        <f t="shared" si="12"/>
        <v>-99.999989999999997</v>
      </c>
    </row>
    <row r="55" spans="1:23" x14ac:dyDescent="0.25">
      <c r="A55" t="s">
        <v>104</v>
      </c>
      <c r="B55" t="s">
        <v>105</v>
      </c>
      <c r="C55" s="6">
        <v>0.14000000000000001</v>
      </c>
      <c r="D55" s="6">
        <v>0.14000000000000001</v>
      </c>
      <c r="E55" s="6">
        <v>0.14000000000000001</v>
      </c>
      <c r="F55" s="6">
        <v>0.14000000000000001</v>
      </c>
      <c r="G55" s="6">
        <v>0.1</v>
      </c>
      <c r="H55" s="6">
        <v>0.1</v>
      </c>
      <c r="I55" s="6">
        <v>0.1</v>
      </c>
      <c r="J55" s="6">
        <v>0.1</v>
      </c>
      <c r="K55" s="6">
        <v>0.1</v>
      </c>
      <c r="L55" s="6">
        <v>0.1</v>
      </c>
      <c r="M55" s="18">
        <f t="shared" si="2"/>
        <v>0</v>
      </c>
      <c r="N55" s="18">
        <f t="shared" si="3"/>
        <v>0</v>
      </c>
      <c r="O55" s="18">
        <f t="shared" si="4"/>
        <v>0</v>
      </c>
      <c r="P55" s="18">
        <f t="shared" si="5"/>
        <v>0.40000000000000013</v>
      </c>
      <c r="Q55" s="18">
        <f t="shared" si="6"/>
        <v>0</v>
      </c>
      <c r="R55" s="18">
        <f t="shared" si="7"/>
        <v>0</v>
      </c>
      <c r="S55" s="18">
        <f t="shared" si="8"/>
        <v>0</v>
      </c>
      <c r="T55" s="18">
        <f t="shared" si="9"/>
        <v>0</v>
      </c>
      <c r="U55" s="18">
        <f t="shared" si="10"/>
        <v>0</v>
      </c>
      <c r="V55" s="5">
        <f t="shared" si="11"/>
        <v>4.444444444444446E-2</v>
      </c>
      <c r="W55" s="5">
        <f t="shared" si="12"/>
        <v>-99.999989999999997</v>
      </c>
    </row>
    <row r="56" spans="1:23" x14ac:dyDescent="0.25">
      <c r="A56" t="s">
        <v>106</v>
      </c>
      <c r="B56" t="s">
        <v>107</v>
      </c>
      <c r="C56" s="6">
        <v>91.75</v>
      </c>
      <c r="D56" s="6">
        <v>91.74</v>
      </c>
      <c r="E56" s="6">
        <v>91.25</v>
      </c>
      <c r="F56" s="6">
        <v>92.2</v>
      </c>
      <c r="G56" s="6">
        <v>94.6</v>
      </c>
      <c r="H56" s="6">
        <v>96.9</v>
      </c>
      <c r="I56" s="6">
        <v>100.8</v>
      </c>
      <c r="J56" s="6">
        <v>104</v>
      </c>
      <c r="K56" s="6">
        <v>106.4</v>
      </c>
      <c r="L56" s="6">
        <v>112.6</v>
      </c>
      <c r="M56" s="18">
        <f t="shared" si="2"/>
        <v>1.0900370612598742E-4</v>
      </c>
      <c r="N56" s="18">
        <f t="shared" si="3"/>
        <v>5.3698630136986836E-3</v>
      </c>
      <c r="O56" s="18">
        <f t="shared" si="4"/>
        <v>-1.0303687635574876E-2</v>
      </c>
      <c r="P56" s="18">
        <f t="shared" si="5"/>
        <v>-2.5369978858350906E-2</v>
      </c>
      <c r="Q56" s="18">
        <f t="shared" si="6"/>
        <v>-2.3735810113519218E-2</v>
      </c>
      <c r="R56" s="18">
        <f t="shared" si="7"/>
        <v>-3.8690476190476053E-2</v>
      </c>
      <c r="S56" s="18">
        <f t="shared" si="8"/>
        <v>-3.0769230769230771E-2</v>
      </c>
      <c r="T56" s="18">
        <f t="shared" si="9"/>
        <v>-2.2556390977443663E-2</v>
      </c>
      <c r="U56" s="18">
        <f t="shared" si="10"/>
        <v>-5.5062166962699721E-2</v>
      </c>
      <c r="V56" s="5">
        <f t="shared" si="11"/>
        <v>-2.233431942083006E-2</v>
      </c>
      <c r="W56" s="5">
        <f t="shared" si="12"/>
        <v>-1.0048805474692157</v>
      </c>
    </row>
    <row r="57" spans="1:23" x14ac:dyDescent="0.25">
      <c r="A57" t="s">
        <v>108</v>
      </c>
      <c r="B57" t="s">
        <v>109</v>
      </c>
      <c r="C57" s="6">
        <v>437.96</v>
      </c>
      <c r="D57" s="6">
        <v>437.96</v>
      </c>
      <c r="E57" s="6">
        <v>438</v>
      </c>
      <c r="F57" s="6">
        <v>438</v>
      </c>
      <c r="G57" s="6">
        <v>438</v>
      </c>
      <c r="H57" s="6">
        <v>438</v>
      </c>
      <c r="I57" s="6">
        <v>438</v>
      </c>
      <c r="J57" s="6">
        <v>438</v>
      </c>
      <c r="K57" s="6">
        <v>438</v>
      </c>
      <c r="L57" s="6">
        <v>438</v>
      </c>
      <c r="M57" s="18">
        <f t="shared" si="2"/>
        <v>0</v>
      </c>
      <c r="N57" s="18">
        <f t="shared" si="3"/>
        <v>-9.1324200913289744E-5</v>
      </c>
      <c r="O57" s="18">
        <f t="shared" si="4"/>
        <v>0</v>
      </c>
      <c r="P57" s="18">
        <f t="shared" si="5"/>
        <v>0</v>
      </c>
      <c r="Q57" s="18">
        <f t="shared" si="6"/>
        <v>0</v>
      </c>
      <c r="R57" s="18">
        <f t="shared" si="7"/>
        <v>0</v>
      </c>
      <c r="S57" s="18">
        <f t="shared" si="8"/>
        <v>0</v>
      </c>
      <c r="T57" s="18">
        <f t="shared" si="9"/>
        <v>0</v>
      </c>
      <c r="U57" s="18">
        <f t="shared" si="10"/>
        <v>0</v>
      </c>
      <c r="V57" s="5">
        <f t="shared" si="11"/>
        <v>-1.0147133434809971E-5</v>
      </c>
      <c r="W57" s="5">
        <f t="shared" si="12"/>
        <v>-1</v>
      </c>
    </row>
    <row r="58" spans="1:23" x14ac:dyDescent="0.25">
      <c r="A58" t="s">
        <v>110</v>
      </c>
      <c r="B58" t="s">
        <v>111</v>
      </c>
      <c r="C58" s="6">
        <v>605.9</v>
      </c>
      <c r="D58" s="6">
        <v>608.80999999999995</v>
      </c>
      <c r="E58" s="6">
        <v>602.98</v>
      </c>
      <c r="F58" s="6">
        <v>601</v>
      </c>
      <c r="G58" s="6">
        <v>599</v>
      </c>
      <c r="H58" s="6">
        <v>602.4</v>
      </c>
      <c r="I58" s="6">
        <v>618</v>
      </c>
      <c r="J58" s="6">
        <v>639.6</v>
      </c>
      <c r="K58" s="6">
        <v>658.8</v>
      </c>
      <c r="L58" s="6">
        <v>673.6</v>
      </c>
      <c r="M58" s="18">
        <f t="shared" si="2"/>
        <v>-4.7798163630689006E-3</v>
      </c>
      <c r="N58" s="18">
        <f t="shared" si="3"/>
        <v>9.668645726226277E-3</v>
      </c>
      <c r="O58" s="18">
        <f t="shared" si="4"/>
        <v>3.294509151414271E-3</v>
      </c>
      <c r="P58" s="18">
        <f t="shared" si="5"/>
        <v>3.3388981636059967E-3</v>
      </c>
      <c r="Q58" s="18">
        <f t="shared" si="6"/>
        <v>-5.6440903054448821E-3</v>
      </c>
      <c r="R58" s="18">
        <f t="shared" si="7"/>
        <v>-2.5242718446601975E-2</v>
      </c>
      <c r="S58" s="18">
        <f t="shared" si="8"/>
        <v>-3.3771106941838713E-2</v>
      </c>
      <c r="T58" s="18">
        <f t="shared" si="9"/>
        <v>-2.914389799635686E-2</v>
      </c>
      <c r="U58" s="18">
        <f t="shared" si="10"/>
        <v>-2.1971496437054761E-2</v>
      </c>
      <c r="V58" s="5">
        <f t="shared" si="11"/>
        <v>-1.1583452605457727E-2</v>
      </c>
      <c r="W58" s="5">
        <f t="shared" si="12"/>
        <v>-0.58735823196472403</v>
      </c>
    </row>
    <row r="59" spans="1:23" x14ac:dyDescent="0.25">
      <c r="A59" t="s">
        <v>112</v>
      </c>
      <c r="B59" t="s">
        <v>113</v>
      </c>
      <c r="C59" s="6">
        <v>1324</v>
      </c>
      <c r="D59" s="6">
        <v>1326</v>
      </c>
      <c r="E59" s="6">
        <v>1341</v>
      </c>
      <c r="F59" s="6">
        <v>1311</v>
      </c>
      <c r="G59" s="6">
        <v>1319</v>
      </c>
      <c r="H59" s="6">
        <v>1316</v>
      </c>
      <c r="I59" s="6">
        <v>1366</v>
      </c>
      <c r="J59" s="6">
        <v>1359</v>
      </c>
      <c r="K59" s="6">
        <v>1396</v>
      </c>
      <c r="L59" s="6">
        <v>910.3</v>
      </c>
      <c r="M59" s="18">
        <f t="shared" si="2"/>
        <v>-1.5082956259426794E-3</v>
      </c>
      <c r="N59" s="18">
        <f t="shared" si="3"/>
        <v>-1.1185682326621871E-2</v>
      </c>
      <c r="O59" s="18">
        <f t="shared" si="4"/>
        <v>2.2883295194507935E-2</v>
      </c>
      <c r="P59" s="18">
        <f t="shared" si="5"/>
        <v>-6.0652009097801329E-3</v>
      </c>
      <c r="Q59" s="18">
        <f t="shared" si="6"/>
        <v>2.2796352583587254E-3</v>
      </c>
      <c r="R59" s="18">
        <f t="shared" si="7"/>
        <v>-3.6603221083455373E-2</v>
      </c>
      <c r="S59" s="18">
        <f t="shared" si="8"/>
        <v>5.1508462104488117E-3</v>
      </c>
      <c r="T59" s="18">
        <f t="shared" si="9"/>
        <v>-2.6504297994269344E-2</v>
      </c>
      <c r="U59" s="18">
        <f t="shared" si="10"/>
        <v>0.53356036471492918</v>
      </c>
      <c r="V59" s="5">
        <f t="shared" si="11"/>
        <v>5.3556382604241698E-2</v>
      </c>
      <c r="W59" s="5">
        <f t="shared" si="12"/>
        <v>1.0281627614226361</v>
      </c>
    </row>
    <row r="60" spans="1:23" x14ac:dyDescent="0.25">
      <c r="A60" t="s">
        <v>114</v>
      </c>
      <c r="B60" t="s">
        <v>115</v>
      </c>
      <c r="C60" s="6">
        <v>2754</v>
      </c>
      <c r="D60" s="6">
        <v>2754</v>
      </c>
      <c r="E60" s="6">
        <v>2754</v>
      </c>
      <c r="F60" s="6">
        <v>2754</v>
      </c>
      <c r="G60" s="6">
        <v>2822</v>
      </c>
      <c r="H60" s="6">
        <v>2803</v>
      </c>
      <c r="I60" s="6">
        <v>2931</v>
      </c>
      <c r="J60" s="6">
        <v>3051</v>
      </c>
      <c r="K60" s="6">
        <v>3060</v>
      </c>
      <c r="L60" s="6">
        <v>3058</v>
      </c>
      <c r="M60" s="18">
        <f t="shared" si="2"/>
        <v>0</v>
      </c>
      <c r="N60" s="18">
        <f t="shared" si="3"/>
        <v>0</v>
      </c>
      <c r="O60" s="18">
        <f t="shared" si="4"/>
        <v>0</v>
      </c>
      <c r="P60" s="18">
        <f t="shared" si="5"/>
        <v>-2.4096385542168641E-2</v>
      </c>
      <c r="Q60" s="18">
        <f t="shared" si="6"/>
        <v>6.7784516589368682E-3</v>
      </c>
      <c r="R60" s="18">
        <f t="shared" si="7"/>
        <v>-4.3671102012964869E-2</v>
      </c>
      <c r="S60" s="18">
        <f t="shared" si="8"/>
        <v>-3.9331366764995046E-2</v>
      </c>
      <c r="T60" s="18">
        <f t="shared" si="9"/>
        <v>-2.9411764705882248E-3</v>
      </c>
      <c r="U60" s="18">
        <f t="shared" si="10"/>
        <v>6.5402223675614657E-4</v>
      </c>
      <c r="V60" s="5">
        <f t="shared" si="11"/>
        <v>-1.140083965500264E-2</v>
      </c>
      <c r="W60" s="5">
        <f t="shared" si="12"/>
        <v>-1</v>
      </c>
    </row>
    <row r="61" spans="1:23" x14ac:dyDescent="0.25">
      <c r="A61" t="s">
        <v>116</v>
      </c>
      <c r="B61" t="s">
        <v>117</v>
      </c>
      <c r="C61" s="6">
        <v>1670</v>
      </c>
      <c r="D61" s="6">
        <v>1664</v>
      </c>
      <c r="E61" s="6">
        <v>1659</v>
      </c>
      <c r="F61" s="6">
        <v>1641</v>
      </c>
      <c r="G61" s="6">
        <v>1585</v>
      </c>
      <c r="H61" s="6">
        <v>1506</v>
      </c>
      <c r="I61" s="6">
        <v>1506</v>
      </c>
      <c r="J61" s="6"/>
      <c r="K61" s="6"/>
      <c r="L61" s="6"/>
      <c r="M61" s="18">
        <f t="shared" si="2"/>
        <v>3.6057692307691624E-3</v>
      </c>
      <c r="N61" s="18">
        <f t="shared" si="3"/>
        <v>3.0138637733574392E-3</v>
      </c>
      <c r="O61" s="18">
        <f t="shared" si="4"/>
        <v>1.0968921389396646E-2</v>
      </c>
      <c r="P61" s="18">
        <f t="shared" si="5"/>
        <v>3.5331230283911719E-2</v>
      </c>
      <c r="Q61" s="18">
        <f t="shared" si="6"/>
        <v>5.2456839309428904E-2</v>
      </c>
      <c r="R61" s="18">
        <f t="shared" si="7"/>
        <v>0</v>
      </c>
      <c r="S61" s="18">
        <f t="shared" si="8"/>
        <v>0</v>
      </c>
      <c r="T61" s="18">
        <f t="shared" si="9"/>
        <v>0</v>
      </c>
      <c r="U61" s="18">
        <f t="shared" si="10"/>
        <v>0</v>
      </c>
      <c r="V61" s="5">
        <f t="shared" si="11"/>
        <v>1.1708513776318208E-2</v>
      </c>
      <c r="W61" s="5">
        <f t="shared" si="12"/>
        <v>-99.999989999999997</v>
      </c>
    </row>
    <row r="62" spans="1:23" x14ac:dyDescent="0.25">
      <c r="A62" t="s">
        <v>118</v>
      </c>
      <c r="B62" t="s">
        <v>119</v>
      </c>
      <c r="C62" s="6">
        <v>5342</v>
      </c>
      <c r="D62" s="6">
        <v>5398</v>
      </c>
      <c r="E62" s="6">
        <v>5550</v>
      </c>
      <c r="F62" s="6">
        <v>5668</v>
      </c>
      <c r="G62" s="6">
        <v>5665</v>
      </c>
      <c r="H62" s="6">
        <v>5661</v>
      </c>
      <c r="I62" s="6">
        <v>6013</v>
      </c>
      <c r="J62" s="6">
        <v>5992</v>
      </c>
      <c r="K62" s="6">
        <v>5963</v>
      </c>
      <c r="L62" s="6">
        <v>5938</v>
      </c>
      <c r="M62" s="18">
        <f t="shared" si="2"/>
        <v>-1.0374212671359739E-2</v>
      </c>
      <c r="N62" s="18">
        <f t="shared" si="3"/>
        <v>-2.7387387387387441E-2</v>
      </c>
      <c r="O62" s="18">
        <f t="shared" si="4"/>
        <v>-2.0818630910374059E-2</v>
      </c>
      <c r="P62" s="18">
        <f t="shared" si="5"/>
        <v>5.2956751985888673E-4</v>
      </c>
      <c r="Q62" s="18">
        <f t="shared" si="6"/>
        <v>7.0658894188313504E-4</v>
      </c>
      <c r="R62" s="18">
        <f t="shared" si="7"/>
        <v>-5.853983036753696E-2</v>
      </c>
      <c r="S62" s="18">
        <f t="shared" si="8"/>
        <v>3.5046728971963592E-3</v>
      </c>
      <c r="T62" s="18">
        <f t="shared" si="9"/>
        <v>4.8633238302868698E-3</v>
      </c>
      <c r="U62" s="18">
        <f t="shared" si="10"/>
        <v>4.2101717750084866E-3</v>
      </c>
      <c r="V62" s="5">
        <f t="shared" si="11"/>
        <v>-1.1478415152491607E-2</v>
      </c>
      <c r="W62" s="5">
        <f t="shared" si="12"/>
        <v>-9.6198165553558979E-2</v>
      </c>
    </row>
    <row r="63" spans="1:23" x14ac:dyDescent="0.25">
      <c r="A63" t="s">
        <v>120</v>
      </c>
      <c r="B63" t="s">
        <v>121</v>
      </c>
      <c r="C63" s="6">
        <v>736.5</v>
      </c>
      <c r="D63" s="6">
        <v>734.2</v>
      </c>
      <c r="E63" s="6">
        <v>728.6</v>
      </c>
      <c r="F63" s="6">
        <v>725.9</v>
      </c>
      <c r="G63" s="6">
        <v>722.6</v>
      </c>
      <c r="H63" s="6">
        <v>722.6</v>
      </c>
      <c r="I63" s="6">
        <v>722.4</v>
      </c>
      <c r="J63" s="6"/>
      <c r="K63" s="6"/>
      <c r="L63" s="6"/>
      <c r="M63" s="18">
        <f t="shared" si="2"/>
        <v>3.132661400163439E-3</v>
      </c>
      <c r="N63" s="18">
        <f t="shared" si="3"/>
        <v>7.6859730990941344E-3</v>
      </c>
      <c r="O63" s="18">
        <f t="shared" si="4"/>
        <v>3.7195205951232602E-3</v>
      </c>
      <c r="P63" s="18">
        <f t="shared" si="5"/>
        <v>4.5668419595903398E-3</v>
      </c>
      <c r="Q63" s="18">
        <f t="shared" si="6"/>
        <v>0</v>
      </c>
      <c r="R63" s="18">
        <f t="shared" si="7"/>
        <v>2.7685492801787781E-4</v>
      </c>
      <c r="S63" s="18">
        <f t="shared" si="8"/>
        <v>0</v>
      </c>
      <c r="T63" s="18">
        <f t="shared" si="9"/>
        <v>0</v>
      </c>
      <c r="U63" s="18">
        <f t="shared" si="10"/>
        <v>0</v>
      </c>
      <c r="V63" s="5">
        <f t="shared" si="11"/>
        <v>2.1535391091098946E-3</v>
      </c>
      <c r="W63" s="5">
        <f t="shared" si="12"/>
        <v>-99.999989999999997</v>
      </c>
    </row>
    <row r="64" spans="1:23" x14ac:dyDescent="0.25">
      <c r="A64" t="s">
        <v>122</v>
      </c>
      <c r="B64" t="s">
        <v>123</v>
      </c>
      <c r="C64" s="6">
        <v>1993</v>
      </c>
      <c r="D64" s="6">
        <v>2010</v>
      </c>
      <c r="E64" s="6">
        <v>2046</v>
      </c>
      <c r="F64" s="6">
        <v>2089</v>
      </c>
      <c r="G64" s="6">
        <v>2081</v>
      </c>
      <c r="H64" s="6">
        <v>2061</v>
      </c>
      <c r="I64" s="6">
        <v>2108</v>
      </c>
      <c r="J64" s="6">
        <v>2097</v>
      </c>
      <c r="K64" s="6">
        <v>2084</v>
      </c>
      <c r="L64" s="6">
        <v>2060</v>
      </c>
      <c r="M64" s="18">
        <f t="shared" si="2"/>
        <v>-8.4577114427860645E-3</v>
      </c>
      <c r="N64" s="18">
        <f t="shared" si="3"/>
        <v>-1.7595307917888547E-2</v>
      </c>
      <c r="O64" s="18">
        <f t="shared" si="4"/>
        <v>-2.0584011488750553E-2</v>
      </c>
      <c r="P64" s="18">
        <f t="shared" si="5"/>
        <v>3.844305622296984E-3</v>
      </c>
      <c r="Q64" s="18">
        <f t="shared" si="6"/>
        <v>9.7040271712760529E-3</v>
      </c>
      <c r="R64" s="18">
        <f t="shared" si="7"/>
        <v>-2.2296015180265694E-2</v>
      </c>
      <c r="S64" s="18">
        <f t="shared" si="8"/>
        <v>5.2455889365761177E-3</v>
      </c>
      <c r="T64" s="18">
        <f t="shared" si="9"/>
        <v>6.2380038387714887E-3</v>
      </c>
      <c r="U64" s="18">
        <f t="shared" si="10"/>
        <v>1.1650485436893288E-2</v>
      </c>
      <c r="V64" s="5">
        <f t="shared" si="11"/>
        <v>-3.5834038915418809E-3</v>
      </c>
      <c r="W64" s="5">
        <f t="shared" si="12"/>
        <v>1.3602450906383448</v>
      </c>
    </row>
    <row r="65" spans="1:23" x14ac:dyDescent="0.25">
      <c r="A65" t="s">
        <v>124</v>
      </c>
      <c r="B65" t="s">
        <v>125</v>
      </c>
      <c r="C65" s="6">
        <v>1464</v>
      </c>
      <c r="D65" s="6">
        <v>1907</v>
      </c>
      <c r="E65" s="6">
        <v>1907</v>
      </c>
      <c r="F65" s="6">
        <v>141.1</v>
      </c>
      <c r="G65" s="6">
        <v>141.69999999999999</v>
      </c>
      <c r="H65" s="6">
        <v>134.5</v>
      </c>
      <c r="I65" s="6">
        <v>126.5</v>
      </c>
      <c r="J65" s="6">
        <v>130.1</v>
      </c>
      <c r="K65" s="6">
        <v>129.80000000000001</v>
      </c>
      <c r="L65" s="6">
        <v>129.80000000000001</v>
      </c>
      <c r="M65" s="18">
        <f t="shared" si="2"/>
        <v>-0.23230204509701102</v>
      </c>
      <c r="N65" s="18">
        <f t="shared" si="3"/>
        <v>0</v>
      </c>
      <c r="O65" s="18">
        <f t="shared" si="4"/>
        <v>12.515237420269314</v>
      </c>
      <c r="P65" s="18">
        <f t="shared" si="5"/>
        <v>-4.2342978122794639E-3</v>
      </c>
      <c r="Q65" s="18">
        <f t="shared" si="6"/>
        <v>5.3531598513011147E-2</v>
      </c>
      <c r="R65" s="18">
        <f t="shared" si="7"/>
        <v>6.3241106719367668E-2</v>
      </c>
      <c r="S65" s="18">
        <f t="shared" si="8"/>
        <v>-2.7671022290545744E-2</v>
      </c>
      <c r="T65" s="18">
        <f t="shared" si="9"/>
        <v>2.3112480739597707E-3</v>
      </c>
      <c r="U65" s="18">
        <f t="shared" si="10"/>
        <v>0</v>
      </c>
      <c r="V65" s="5">
        <f t="shared" si="11"/>
        <v>1.3744571120417572</v>
      </c>
      <c r="W65" s="5">
        <f t="shared" si="12"/>
        <v>1.1690136731526866</v>
      </c>
    </row>
    <row r="66" spans="1:23" x14ac:dyDescent="0.25">
      <c r="A66" t="s">
        <v>126</v>
      </c>
      <c r="B66" t="s">
        <v>127</v>
      </c>
      <c r="C66" s="6">
        <v>166.59</v>
      </c>
      <c r="D66" s="6">
        <v>168.88</v>
      </c>
      <c r="E66" s="6">
        <v>138.46</v>
      </c>
      <c r="F66" s="6">
        <v>131.19999999999999</v>
      </c>
      <c r="G66" s="6"/>
      <c r="H66" s="6"/>
      <c r="I66" s="6"/>
      <c r="J66" s="6"/>
      <c r="K66" s="6"/>
      <c r="L66" s="6"/>
      <c r="M66" s="18">
        <f t="shared" si="2"/>
        <v>-1.3559924206537177E-2</v>
      </c>
      <c r="N66" s="18">
        <f t="shared" si="3"/>
        <v>0.21970244113823467</v>
      </c>
      <c r="O66" s="18">
        <f t="shared" si="4"/>
        <v>5.5335365853658613E-2</v>
      </c>
      <c r="P66" s="18">
        <f t="shared" si="5"/>
        <v>0</v>
      </c>
      <c r="Q66" s="18">
        <f t="shared" si="6"/>
        <v>0</v>
      </c>
      <c r="R66" s="18">
        <f t="shared" si="7"/>
        <v>0</v>
      </c>
      <c r="S66" s="18">
        <f t="shared" si="8"/>
        <v>0</v>
      </c>
      <c r="T66" s="18">
        <f t="shared" si="9"/>
        <v>0</v>
      </c>
      <c r="U66" s="18">
        <f t="shared" si="10"/>
        <v>0</v>
      </c>
      <c r="V66" s="5">
        <f t="shared" si="11"/>
        <v>2.9053098087261791E-2</v>
      </c>
      <c r="W66" s="5">
        <f t="shared" si="12"/>
        <v>1.4667290271698241</v>
      </c>
    </row>
    <row r="67" spans="1:23" x14ac:dyDescent="0.25">
      <c r="A67" t="s">
        <v>128</v>
      </c>
      <c r="B67" t="s">
        <v>129</v>
      </c>
      <c r="C67" s="6">
        <v>640.79999999999995</v>
      </c>
      <c r="D67" s="6">
        <v>648.5</v>
      </c>
      <c r="E67" s="6">
        <v>644.79999999999995</v>
      </c>
      <c r="F67" s="6">
        <v>651.20000000000005</v>
      </c>
      <c r="G67" s="6">
        <v>650.79999999999995</v>
      </c>
      <c r="H67" s="6">
        <v>595</v>
      </c>
      <c r="I67" s="6">
        <v>680</v>
      </c>
      <c r="J67" s="6">
        <v>712</v>
      </c>
      <c r="K67" s="6">
        <v>738</v>
      </c>
      <c r="L67" s="6">
        <v>755.8</v>
      </c>
      <c r="M67" s="18">
        <f t="shared" si="2"/>
        <v>-1.1873554356206739E-2</v>
      </c>
      <c r="N67" s="18">
        <f t="shared" si="3"/>
        <v>5.7382133995038664E-3</v>
      </c>
      <c r="O67" s="18">
        <f t="shared" si="4"/>
        <v>-9.8280098280100203E-3</v>
      </c>
      <c r="P67" s="18">
        <f t="shared" si="5"/>
        <v>6.1462814996948723E-4</v>
      </c>
      <c r="Q67" s="18">
        <f t="shared" si="6"/>
        <v>9.3781512605041861E-2</v>
      </c>
      <c r="R67" s="18">
        <f t="shared" si="7"/>
        <v>-0.125</v>
      </c>
      <c r="S67" s="18">
        <f t="shared" si="8"/>
        <v>-4.49438202247191E-2</v>
      </c>
      <c r="T67" s="18">
        <f t="shared" si="9"/>
        <v>-3.5230352303523005E-2</v>
      </c>
      <c r="U67" s="18">
        <f t="shared" si="10"/>
        <v>-2.3551204022227989E-2</v>
      </c>
      <c r="V67" s="5">
        <f t="shared" si="11"/>
        <v>-1.6699176286685737E-2</v>
      </c>
      <c r="W67" s="5">
        <f t="shared" si="12"/>
        <v>-0.28897365041450995</v>
      </c>
    </row>
    <row r="68" spans="1:23" x14ac:dyDescent="0.25">
      <c r="A68" t="s">
        <v>130</v>
      </c>
      <c r="B68" t="s">
        <v>131</v>
      </c>
      <c r="C68" s="6">
        <v>380.8</v>
      </c>
      <c r="D68" s="6">
        <v>389.3</v>
      </c>
      <c r="E68" s="6">
        <v>395.7</v>
      </c>
      <c r="F68" s="6">
        <v>406.9</v>
      </c>
      <c r="G68" s="6">
        <v>416.3</v>
      </c>
      <c r="H68" s="6">
        <v>413.6</v>
      </c>
      <c r="I68" s="6">
        <v>420.9</v>
      </c>
      <c r="J68" s="6">
        <v>455.6</v>
      </c>
      <c r="K68" s="6">
        <v>461.5</v>
      </c>
      <c r="L68" s="6">
        <v>482.9</v>
      </c>
      <c r="M68" s="18">
        <f t="shared" si="2"/>
        <v>-2.183406113537123E-2</v>
      </c>
      <c r="N68" s="18">
        <f t="shared" si="3"/>
        <v>-1.6173869092746984E-2</v>
      </c>
      <c r="O68" s="18">
        <f t="shared" si="4"/>
        <v>-2.7525190464487537E-2</v>
      </c>
      <c r="P68" s="18">
        <f t="shared" si="5"/>
        <v>-2.2579870285851622E-2</v>
      </c>
      <c r="Q68" s="18">
        <f t="shared" si="6"/>
        <v>6.5280464216634915E-3</v>
      </c>
      <c r="R68" s="18">
        <f t="shared" si="7"/>
        <v>-1.7343787122831911E-2</v>
      </c>
      <c r="S68" s="18">
        <f t="shared" si="8"/>
        <v>-7.6163301141352169E-2</v>
      </c>
      <c r="T68" s="18">
        <f t="shared" si="9"/>
        <v>-1.2784398699891564E-2</v>
      </c>
      <c r="U68" s="18">
        <f t="shared" si="10"/>
        <v>-4.4315593290536248E-2</v>
      </c>
      <c r="V68" s="5">
        <f t="shared" si="11"/>
        <v>-2.5799113867933973E-2</v>
      </c>
      <c r="W68" s="5">
        <f t="shared" si="12"/>
        <v>-0.15368949309111557</v>
      </c>
    </row>
  </sheetData>
  <mergeCells count="1">
    <mergeCell ref="M1:U1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"/>
  <sheetViews>
    <sheetView zoomScale="60" zoomScaleNormal="60" workbookViewId="0"/>
  </sheetViews>
  <sheetFormatPr baseColWidth="10" defaultRowHeight="15" x14ac:dyDescent="0.25"/>
  <cols>
    <col min="1" max="1" width="28" customWidth="1"/>
    <col min="2" max="2" width="20.85546875" customWidth="1"/>
    <col min="3" max="3" width="10.85546875" customWidth="1"/>
    <col min="4" max="4" width="11.28515625" customWidth="1"/>
    <col min="5" max="5" width="10.5703125" customWidth="1"/>
    <col min="6" max="13" width="11.140625" bestFit="1" customWidth="1"/>
    <col min="14" max="14" width="12" customWidth="1"/>
    <col min="15" max="15" width="14.140625" customWidth="1"/>
    <col min="16" max="16" width="10.85546875" customWidth="1"/>
    <col min="17" max="17" width="11.28515625" customWidth="1"/>
    <col min="18" max="18" width="16.28515625" bestFit="1" customWidth="1"/>
    <col min="19" max="19" width="29.7109375" bestFit="1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60" t="s">
        <v>145</v>
      </c>
      <c r="Q1" s="60"/>
      <c r="R1" s="1"/>
      <c r="S1" s="1"/>
    </row>
    <row r="2" spans="1:19" x14ac:dyDescent="0.25">
      <c r="A2" s="1"/>
      <c r="B2" s="1"/>
      <c r="C2" s="1">
        <v>2015</v>
      </c>
      <c r="D2" s="1">
        <v>2014</v>
      </c>
      <c r="E2" s="1">
        <v>2013</v>
      </c>
      <c r="F2" s="1">
        <v>2012</v>
      </c>
      <c r="G2" s="1">
        <v>2011</v>
      </c>
      <c r="H2" s="1">
        <v>2010</v>
      </c>
      <c r="I2" s="1">
        <v>2009</v>
      </c>
      <c r="J2" s="1">
        <v>2008</v>
      </c>
      <c r="K2" s="1">
        <v>2007</v>
      </c>
      <c r="L2" s="1">
        <v>2006</v>
      </c>
      <c r="M2" s="1">
        <v>2005</v>
      </c>
      <c r="N2" s="1">
        <v>2004</v>
      </c>
      <c r="O2" s="1"/>
      <c r="P2" s="1">
        <f>C2</f>
        <v>2015</v>
      </c>
      <c r="Q2" s="1">
        <f>D2</f>
        <v>2014</v>
      </c>
      <c r="R2" s="1"/>
      <c r="S2" s="1"/>
    </row>
    <row r="3" spans="1:19" x14ac:dyDescent="0.25">
      <c r="A3" s="1" t="s">
        <v>0</v>
      </c>
      <c r="B3" s="1" t="s">
        <v>1</v>
      </c>
      <c r="C3" s="1" t="s">
        <v>142</v>
      </c>
      <c r="D3" s="1" t="s">
        <v>143</v>
      </c>
      <c r="E3" s="1" t="s">
        <v>132</v>
      </c>
      <c r="F3" s="1" t="s">
        <v>133</v>
      </c>
      <c r="G3" s="1" t="s">
        <v>134</v>
      </c>
      <c r="H3" s="1" t="s">
        <v>135</v>
      </c>
      <c r="I3" s="1" t="s">
        <v>136</v>
      </c>
      <c r="J3" s="1" t="s">
        <v>137</v>
      </c>
      <c r="K3" s="1" t="s">
        <v>138</v>
      </c>
      <c r="L3" s="1" t="s">
        <v>139</v>
      </c>
      <c r="M3" s="1" t="s">
        <v>140</v>
      </c>
      <c r="N3" s="1" t="s">
        <v>141</v>
      </c>
      <c r="O3" s="1" t="s">
        <v>156</v>
      </c>
      <c r="P3" s="1" t="s">
        <v>142</v>
      </c>
      <c r="Q3" s="1" t="s">
        <v>143</v>
      </c>
      <c r="R3" s="1" t="s">
        <v>172</v>
      </c>
      <c r="S3" s="1" t="s">
        <v>157</v>
      </c>
    </row>
    <row r="4" spans="1:19" x14ac:dyDescent="0.25">
      <c r="A4" t="s">
        <v>2</v>
      </c>
      <c r="B4" t="s">
        <v>3</v>
      </c>
      <c r="C4" s="5">
        <f>VLOOKUP(A4,Dividende_je_Aktie!A3:S68,3,FALSE)/VLOOKUP(A4,Ergebnis_je_Aktie_verwässert!A3:S68,3,FALSE)</f>
        <v>0.63557483731019526</v>
      </c>
      <c r="D4" s="5">
        <f>VLOOKUP(A4,Dividende_je_Aktie!A3:S68,4,FALSE)/VLOOKUP(A4,Ergebnis_je_Aktie_verwässert!A3:S68,4,FALSE)</f>
        <v>0.65176470588235291</v>
      </c>
      <c r="E4" s="5">
        <f>VLOOKUP(A4,Dividende_je_Aktie!A3:S68,5,FALSE)/VLOOKUP(A4,Ergebnis_je_Aktie_verwässert!A3:S68,5,FALSE)</f>
        <v>0.65945945945945939</v>
      </c>
      <c r="F4" s="5">
        <f>VLOOKUP(A4,Dividende_je_Aktie!A3:S68,6,FALSE)/VLOOKUP(A4,Ergebnis_je_Aktie_verwässert!A3:S68,6,FALSE)</f>
        <v>0.634961439588689</v>
      </c>
      <c r="G4" s="5">
        <f>VLOOKUP(A4,Dividende_je_Aktie!A3:S68,7,FALSE)/VLOOKUP(A4,Ergebnis_je_Aktie_verwässert!A3:S68,7,FALSE)</f>
        <v>0.64021164021164023</v>
      </c>
      <c r="H4" s="5">
        <f>VLOOKUP(A4,Dividende_je_Aktie!A3:S68,8,FALSE)/VLOOKUP(A4,Ergebnis_je_Aktie_verwässert!A3:S68,8,FALSE)</f>
        <v>0.54929577464788737</v>
      </c>
      <c r="I4" s="5">
        <f>VLOOKUP(A4,Dividende_je_Aktie!A3:S68,9,FALSE)/VLOOKUP(A4,Ergebnis_je_Aktie_verwässert!A3:S68,9,FALSE)</f>
        <v>0.54742547425474253</v>
      </c>
      <c r="J4" s="5">
        <f>VLOOKUP(A4,Dividende_je_Aktie!A3:S68,10,FALSE)/VLOOKUP(A4,Ergebnis_je_Aktie_verwässert!A3:S68,10,FALSE)</f>
        <v>0.52646239554317553</v>
      </c>
      <c r="K4" s="5">
        <f>VLOOKUP(A4,Dividende_je_Aktie!A3:S68,11,FALSE)/VLOOKUP(A4,Ergebnis_je_Aktie_verwässert!A3:S68,11,FALSE)</f>
        <v>0.44099378881987572</v>
      </c>
      <c r="L4" s="5">
        <f>VLOOKUP(A4,Dividende_je_Aktie!A3:S68,12,FALSE)/VLOOKUP(A4,Ergebnis_je_Aktie_verwässert!A3:S68,12,FALSE)</f>
        <v>0.36513157894736847</v>
      </c>
      <c r="M4" s="5">
        <f>VLOOKUP(A4,Dividende_je_Aktie!A3:S68,13,FALSE)/VLOOKUP(A4,Ergebnis_je_Aktie_verwässert!A3:S68,13,FALSE)</f>
        <v>0.33587786259541985</v>
      </c>
      <c r="N4" s="5">
        <f>VLOOKUP(A4,Dividende_je_Aktie!A3:S68,14,FALSE)/VLOOKUP(A4,Ergebnis_je_Aktie_verwässert!A3:S68,14,FALSE)</f>
        <v>0.40528634361233484</v>
      </c>
      <c r="O4" s="11">
        <f>AVERAGEIF(E4:N4,"&gt;0",E4:N4)</f>
        <v>0.51051057576805936</v>
      </c>
      <c r="P4" s="4">
        <f ca="1">360-Q4</f>
        <v>217</v>
      </c>
      <c r="Q4" s="4">
        <f t="shared" ref="Q4:Q35" ca="1" si="0">DAYS360(TODAY(),CONCATENATE("31.12.",Q$2))</f>
        <v>143</v>
      </c>
      <c r="R4" s="11">
        <f ca="1">(C4/360*P4)+(D4/360*Q4)</f>
        <v>0.64200581288191338</v>
      </c>
      <c r="S4" s="5">
        <f ca="1">(R4/O4)-1</f>
        <v>0.25757593153877445</v>
      </c>
    </row>
    <row r="5" spans="1:19" x14ac:dyDescent="0.25">
      <c r="A5" t="s">
        <v>4</v>
      </c>
      <c r="B5" t="s">
        <v>5</v>
      </c>
      <c r="C5" s="5">
        <f>VLOOKUP(A5,Dividende_je_Aktie!A3:S68,3,FALSE)/VLOOKUP(A5,Ergebnis_je_Aktie_verwässert!A3:S68,3,FALSE)</f>
        <v>0.5729032258064517</v>
      </c>
      <c r="D5" s="5">
        <f>VLOOKUP(A5,Dividende_je_Aktie!A3:S68,4,FALSE)/VLOOKUP(A5,Ergebnis_je_Aktie_verwässert!A3:S68,4,FALSE)</f>
        <v>0.57222222222222219</v>
      </c>
      <c r="E5" s="5">
        <f>VLOOKUP(A5,Dividende_je_Aktie!A3:S68,5,FALSE)/VLOOKUP(A5,Ergebnis_je_Aktie_verwässert!A3:S68,5,FALSE)</f>
        <v>0.60324825986078889</v>
      </c>
      <c r="F5" s="5">
        <f>VLOOKUP(A5,Dividende_je_Aktie!A3:S68,6,FALSE)/VLOOKUP(A5,Ergebnis_je_Aktie_verwässert!A3:S68,6,FALSE)</f>
        <v>0.65860215053763438</v>
      </c>
      <c r="G5" s="5">
        <f>VLOOKUP(A5,Dividende_je_Aktie!A3:S68,7,FALSE)/VLOOKUP(A5,Ergebnis_je_Aktie_verwässert!A3:S68,7,FALSE)</f>
        <v>0.61930783242258647</v>
      </c>
      <c r="H5" s="5">
        <f>VLOOKUP(A5,Dividende_je_Aktie!A3:S68,8,FALSE)/VLOOKUP(A5,Ergebnis_je_Aktie_verwässert!A3:S68,8,FALSE)</f>
        <v>0.65281899109792285</v>
      </c>
      <c r="I5" s="5">
        <f>VLOOKUP(A5,Dividende_je_Aktie!A3:S68,9,FALSE)/VLOOKUP(A5,Ergebnis_je_Aktie_verwässert!A3:S68,9,FALSE)</f>
        <v>0.66518847006651893</v>
      </c>
      <c r="J5" s="5">
        <f>VLOOKUP(A5,Dividende_je_Aktie!A3:S68,10,FALSE)/VLOOKUP(A5,Ergebnis_je_Aktie_verwässert!A3:S68,10,FALSE)</f>
        <v>0.48875855327468226</v>
      </c>
      <c r="K5" s="5">
        <f>VLOOKUP(A5,Dividende_je_Aktie!A3:S68,11,FALSE)/VLOOKUP(A5,Ergebnis_je_Aktie_verwässert!A3:S68,11,FALSE)</f>
        <v>0.41218637992831536</v>
      </c>
      <c r="L5" s="5">
        <f>VLOOKUP(A5,Dividende_je_Aktie!A3:S68,12,FALSE)/VLOOKUP(A5,Ergebnis_je_Aktie_verwässert!A3:S68,12,FALSE)</f>
        <v>0.37569060773480661</v>
      </c>
      <c r="M5" s="5">
        <f>VLOOKUP(A5,Dividende_je_Aktie!A3:S68,13,FALSE)/VLOOKUP(A5,Ergebnis_je_Aktie_verwässert!A3:S68,13,FALSE)</f>
        <v>0.37257824143070045</v>
      </c>
      <c r="N5" s="5">
        <f>VLOOKUP(A5,Dividende_je_Aktie!A3:S68,14,FALSE)/VLOOKUP(A5,Ergebnis_je_Aktie_verwässert!A3:S68,14,FALSE)</f>
        <v>0.25608194622279129</v>
      </c>
      <c r="O5" s="11">
        <f t="shared" ref="O5:O68" si="1">AVERAGEIF(E5:N5,"&gt;0",E5:N5)</f>
        <v>0.51044614325767479</v>
      </c>
      <c r="P5" s="4">
        <f t="shared" ref="P5:P68" ca="1" si="2">360-Q5</f>
        <v>217</v>
      </c>
      <c r="Q5" s="4">
        <f t="shared" ca="1" si="0"/>
        <v>143</v>
      </c>
      <c r="R5" s="11">
        <f t="shared" ref="R5:R68" ca="1" si="3">(C5/360*P5)+(D5/360*Q5)</f>
        <v>0.57263271604938271</v>
      </c>
      <c r="S5" s="5">
        <f t="shared" ref="S5:S68" ca="1" si="4">(R5/O5)-1</f>
        <v>0.12182788255550792</v>
      </c>
    </row>
    <row r="6" spans="1:19" x14ac:dyDescent="0.25">
      <c r="A6" t="s">
        <v>6</v>
      </c>
      <c r="B6" t="s">
        <v>7</v>
      </c>
      <c r="C6" s="5">
        <f>VLOOKUP(A6,Dividende_je_Aktie!A3:S68,3,FALSE)/VLOOKUP(A6,Ergebnis_je_Aktie_verwässert!A3:S68,3,FALSE)</f>
        <v>0.64738292011019283</v>
      </c>
      <c r="D6" s="5">
        <f>VLOOKUP(A6,Dividende_je_Aktie!A3:S68,4,FALSE)/VLOOKUP(A6,Ergebnis_je_Aktie_verwässert!A3:S68,4,FALSE)</f>
        <v>0.60989010989010994</v>
      </c>
      <c r="E6" s="5">
        <f>VLOOKUP(A6,Dividende_je_Aktie!A3:S68,5,FALSE)/VLOOKUP(A6,Ergebnis_je_Aktie_verwässert!A3:S68,5,FALSE)</f>
        <v>0.68690095846645371</v>
      </c>
      <c r="F6" s="5">
        <f>VLOOKUP(A6,Dividende_je_Aktie!A3:S68,6,FALSE)/VLOOKUP(A6,Ergebnis_je_Aktie_verwässert!A3:S68,6,FALSE)</f>
        <v>0.61746987951807231</v>
      </c>
      <c r="G6" s="5">
        <f>VLOOKUP(A6,Dividende_je_Aktie!A3:S68,7,FALSE)/VLOOKUP(A6,Ergebnis_je_Aktie_verwässert!A3:S68,7,FALSE)</f>
        <v>0.65878378378378377</v>
      </c>
      <c r="H6" s="5">
        <f>VLOOKUP(A6,Dividende_je_Aktie!A3:S68,8,FALSE)/VLOOKUP(A6,Ergebnis_je_Aktie_verwässert!A3:S68,8,FALSE)</f>
        <v>0.86854460093896724</v>
      </c>
      <c r="I6" s="5">
        <f>VLOOKUP(A6,Dividende_je_Aktie!A3:S68,9,FALSE)/VLOOKUP(A6,Ergebnis_je_Aktie_verwässert!A3:S68,9,FALSE)</f>
        <v>0.54982817869415812</v>
      </c>
      <c r="J6" s="5">
        <f>VLOOKUP(A6,Dividende_je_Aktie!A3:S68,10,FALSE)/VLOOKUP(A6,Ergebnis_je_Aktie_verwässert!A3:S68,10,FALSE)</f>
        <v>0.57377049180327866</v>
      </c>
      <c r="K6" s="5">
        <f>VLOOKUP(A6,Dividende_je_Aktie!A3:S68,11,FALSE)/VLOOKUP(A6,Ergebnis_je_Aktie_verwässert!A3:S68,11,FALSE)</f>
        <v>0.4420289855072464</v>
      </c>
      <c r="L6" s="5">
        <f>VLOOKUP(A6,Dividende_je_Aktie!A3:S68,12,FALSE)/VLOOKUP(A6,Ergebnis_je_Aktie_verwässert!A3:S68,12,FALSE)</f>
        <v>0.44067796610169496</v>
      </c>
      <c r="M6" s="5">
        <f>VLOOKUP(A6,Dividende_je_Aktie!A3:S68,13,FALSE)/VLOOKUP(A6,Ergebnis_je_Aktie_verwässert!A3:S68,13,FALSE)</f>
        <v>0.44117647058823528</v>
      </c>
      <c r="N6" s="5">
        <f>VLOOKUP(A6,Dividende_je_Aktie!A3:S68,14,FALSE)/VLOOKUP(A6,Ergebnis_je_Aktie_verwässert!A3:S68,14,FALSE)</f>
        <v>0.4705882352941177</v>
      </c>
      <c r="O6" s="11">
        <f t="shared" si="1"/>
        <v>0.57497695506960078</v>
      </c>
      <c r="P6" s="4">
        <f t="shared" ca="1" si="2"/>
        <v>217</v>
      </c>
      <c r="Q6" s="4">
        <f t="shared" ca="1" si="0"/>
        <v>143</v>
      </c>
      <c r="R6" s="11">
        <f t="shared" ca="1" si="3"/>
        <v>0.63248994271721548</v>
      </c>
      <c r="S6" s="5">
        <f t="shared" ca="1" si="4"/>
        <v>0.10002659609314746</v>
      </c>
    </row>
    <row r="7" spans="1:19" x14ac:dyDescent="0.25">
      <c r="A7" t="s">
        <v>8</v>
      </c>
      <c r="B7" t="s">
        <v>9</v>
      </c>
      <c r="C7" s="5">
        <f>VLOOKUP(A7,Dividende_je_Aktie!A3:S68,3,FALSE)/VLOOKUP(A7,Ergebnis_je_Aktie_verwässert!A3:S68,3,FALSE)</f>
        <v>0.30059523809523808</v>
      </c>
      <c r="D7" s="5">
        <f>VLOOKUP(A7,Dividende_je_Aktie!A3:S68,4,FALSE)/VLOOKUP(A7,Ergebnis_je_Aktie_verwässert!A3:S68,4,FALSE)</f>
        <v>0.37563451776649748</v>
      </c>
      <c r="E7" s="5">
        <f>VLOOKUP(A7,Dividende_je_Aktie!A3:S68,5,FALSE)/VLOOKUP(A7,Ergebnis_je_Aktie_verwässert!A3:S68,5,FALSE)</f>
        <v>1.1538461538461537</v>
      </c>
      <c r="F7" s="5">
        <f>VLOOKUP(A7,Dividende_je_Aktie!A3:S68,6,FALSE)/VLOOKUP(A7,Ergebnis_je_Aktie_verwässert!A3:S68,6,FALSE)</f>
        <v>3</v>
      </c>
      <c r="G7" s="5">
        <f>VLOOKUP(A7,Dividende_je_Aktie!A3:S68,7,FALSE)/VLOOKUP(A7,Ergebnis_je_Aktie_verwässert!A3:S68,7,FALSE)</f>
        <v>0.1744186046511628</v>
      </c>
      <c r="H7" s="5">
        <f>VLOOKUP(A7,Dividende_je_Aktie!A3:S68,8,FALSE)/VLOOKUP(A7,Ergebnis_je_Aktie_verwässert!A3:S68,8,FALSE)</f>
        <v>0.25684931506849318</v>
      </c>
      <c r="I7" s="5">
        <f>VLOOKUP(A7,Dividende_je_Aktie!A3:S68,9,FALSE)/VLOOKUP(A7,Ergebnis_je_Aktie_verwässert!A3:S68,9,FALSE)</f>
        <v>0.10806916426512968</v>
      </c>
      <c r="J7" s="5">
        <f>VLOOKUP(A7,Dividende_je_Aktie!A3:S68,10,FALSE)/VLOOKUP(A7,Ergebnis_je_Aktie_verwässert!A3:S68,10,FALSE)</f>
        <v>-6.5703022339027597E-2</v>
      </c>
      <c r="K7" s="5">
        <f>VLOOKUP(A7,Dividende_je_Aktie!A3:S68,11,FALSE)/VLOOKUP(A7,Ergebnis_je_Aktie_verwässert!A3:S68,11,FALSE)</f>
        <v>0.34482758620689652</v>
      </c>
      <c r="L7" s="5">
        <f>VLOOKUP(A7,Dividende_je_Aktie!A3:S68,12,FALSE)/VLOOKUP(A7,Ergebnis_je_Aktie_verwässert!A3:S68,12,FALSE)</f>
        <v>0.34632034632034631</v>
      </c>
      <c r="M7" s="5">
        <f>VLOOKUP(A7,Dividende_je_Aktie!A3:S68,13,FALSE)/VLOOKUP(A7,Ergebnis_je_Aktie_verwässert!A3:S68,13,FALSE)</f>
        <v>0.35971223021582732</v>
      </c>
      <c r="N7" s="5">
        <f>VLOOKUP(A7,Dividende_je_Aktie!A3:S68,14,FALSE)/VLOOKUP(A7,Ergebnis_je_Aktie_verwässert!A3:S68,14,FALSE)</f>
        <v>0.37527593818984545</v>
      </c>
      <c r="O7" s="11">
        <f t="shared" si="1"/>
        <v>0.67992437097376157</v>
      </c>
      <c r="P7" s="4">
        <f t="shared" ca="1" si="2"/>
        <v>217</v>
      </c>
      <c r="Q7" s="4">
        <f t="shared" ca="1" si="0"/>
        <v>143</v>
      </c>
      <c r="R7" s="11">
        <f t="shared" ca="1" si="3"/>
        <v>0.33040250752021061</v>
      </c>
      <c r="S7" s="5">
        <f t="shared" ca="1" si="4"/>
        <v>-0.51405991368272208</v>
      </c>
    </row>
    <row r="8" spans="1:19" x14ac:dyDescent="0.25">
      <c r="A8" t="s">
        <v>10</v>
      </c>
      <c r="B8" t="s">
        <v>11</v>
      </c>
      <c r="C8" s="5">
        <f>VLOOKUP(A8,Dividende_je_Aktie!A3:S68,3,FALSE)/VLOOKUP(A8,Ergebnis_je_Aktie_verwässert!A3:S68,3,FALSE)</f>
        <v>0.30141843971631205</v>
      </c>
      <c r="D8" s="5">
        <f>VLOOKUP(A8,Dividende_je_Aktie!A3:S68,4,FALSE)/VLOOKUP(A8,Ergebnis_je_Aktie_verwässert!A3:S68,4,FALSE)</f>
        <v>0.30588235294117649</v>
      </c>
      <c r="E8" s="5">
        <f>VLOOKUP(A8,Dividende_je_Aktie!A3:S68,5,FALSE)/VLOOKUP(A8,Ergebnis_je_Aktie_verwässert!A3:S68,5,FALSE)</f>
        <v>0.2978723404255319</v>
      </c>
      <c r="F8" s="5">
        <f>VLOOKUP(A8,Dividende_je_Aktie!A3:S68,6,FALSE)/VLOOKUP(A8,Ergebnis_je_Aktie_verwässert!A3:S68,6,FALSE)</f>
        <v>0.35897435897435898</v>
      </c>
      <c r="G8" s="5">
        <f>VLOOKUP(A8,Dividende_je_Aktie!A3:S68,7,FALSE)/VLOOKUP(A8,Ergebnis_je_Aktie_verwässert!A3:S68,7,FALSE)</f>
        <v>0.63636363636363624</v>
      </c>
      <c r="H8" s="5">
        <f>VLOOKUP(A8,Dividende_je_Aktie!A3:S68,8,FALSE)/VLOOKUP(A8,Ergebnis_je_Aktie_verwässert!A3:S68,8,FALSE)</f>
        <v>0.5</v>
      </c>
      <c r="I8" s="5">
        <f>VLOOKUP(A8,Dividende_je_Aktie!A3:S68,9,FALSE)/VLOOKUP(A8,Ergebnis_je_Aktie_verwässert!A3:S68,9,FALSE)</f>
        <v>0.42424242424242425</v>
      </c>
      <c r="J8" s="5">
        <f>VLOOKUP(A8,Dividende_je_Aktie!A3:S68,10,FALSE)/VLOOKUP(A8,Ergebnis_je_Aktie_verwässert!A3:S68,10,FALSE)</f>
        <v>0.36290322580645162</v>
      </c>
      <c r="K8" s="5">
        <f>VLOOKUP(A8,Dividende_je_Aktie!A3:S68,11,FALSE)/VLOOKUP(A8,Ergebnis_je_Aktie_verwässert!A3:S68,11,FALSE)</f>
        <v>0.36269430051813473</v>
      </c>
      <c r="L8" s="5">
        <f>VLOOKUP(A8,Dividende_je_Aktie!A3:S68,12,FALSE)/VLOOKUP(A8,Ergebnis_je_Aktie_verwässert!A3:S68,12,FALSE)</f>
        <v>0.43165467625899284</v>
      </c>
      <c r="M8" s="5">
        <f>VLOOKUP(A8,Dividende_je_Aktie!A3:S68,13,FALSE)/VLOOKUP(A8,Ergebnis_je_Aktie_verwässert!A3:S68,13,FALSE)</f>
        <v>0.39310344827586202</v>
      </c>
      <c r="N8" s="5">
        <f>VLOOKUP(A8,Dividende_je_Aktie!A3:S68,14,FALSE)/VLOOKUP(A8,Ergebnis_je_Aktie_verwässert!A3:S68,14,FALSE)</f>
        <v>0.41085271317829458</v>
      </c>
      <c r="O8" s="11">
        <f t="shared" si="1"/>
        <v>0.41786611240436872</v>
      </c>
      <c r="P8" s="4">
        <f t="shared" ca="1" si="2"/>
        <v>217</v>
      </c>
      <c r="Q8" s="4">
        <f t="shared" ca="1" si="0"/>
        <v>143</v>
      </c>
      <c r="R8" s="11">
        <f t="shared" ca="1" si="3"/>
        <v>0.30319160524729988</v>
      </c>
      <c r="S8" s="5">
        <f t="shared" ca="1" si="4"/>
        <v>-0.27442882720793216</v>
      </c>
    </row>
    <row r="9" spans="1:19" x14ac:dyDescent="0.25">
      <c r="A9" t="s">
        <v>12</v>
      </c>
      <c r="B9" t="s">
        <v>13</v>
      </c>
      <c r="C9" s="5">
        <f>VLOOKUP(A9,Dividende_je_Aktie!A3:S68,3,FALSE)/VLOOKUP(A9,Ergebnis_je_Aktie_verwässert!A3:S68,3,FALSE)</f>
        <v>0.49479166666666669</v>
      </c>
      <c r="D9" s="5">
        <f>VLOOKUP(A9,Dividende_je_Aktie!A3:S68,4,FALSE)/VLOOKUP(A9,Ergebnis_je_Aktie_verwässert!A3:S68,4,FALSE)</f>
        <v>0.5</v>
      </c>
      <c r="E9" s="5">
        <f>VLOOKUP(A9,Dividende_je_Aktie!A3:S68,5,FALSE)/VLOOKUP(A9,Ergebnis_je_Aktie_verwässert!A3:S68,5,FALSE)</f>
        <v>0.48192771084337355</v>
      </c>
      <c r="F9" s="5">
        <f>VLOOKUP(A9,Dividende_je_Aktie!A3:S68,6,FALSE)/VLOOKUP(A9,Ergebnis_je_Aktie_verwässert!A3:S68,6,FALSE)</f>
        <v>0.53030303030303028</v>
      </c>
      <c r="G9" s="5">
        <f>VLOOKUP(A9,Dividende_je_Aktie!A3:S68,7,FALSE)/VLOOKUP(A9,Ergebnis_je_Aktie_verwässert!A3:S68,7,FALSE)</f>
        <v>0.72916666666666663</v>
      </c>
      <c r="H9" s="5">
        <f>VLOOKUP(A9,Dividende_je_Aktie!A3:S68,8,FALSE)/VLOOKUP(A9,Ergebnis_je_Aktie_verwässert!A3:S68,8,FALSE)</f>
        <v>0.30952380952380953</v>
      </c>
      <c r="I9" s="5">
        <f>VLOOKUP(A9,Dividende_je_Aktie!A3:S68,9,FALSE)/VLOOKUP(A9,Ergebnis_je_Aktie_verwässert!A3:S68,9,FALSE)</f>
        <v>1.1320754716981132</v>
      </c>
      <c r="J9" s="5">
        <f>VLOOKUP(A9,Dividende_je_Aktie!A3:S68,10,FALSE)/VLOOKUP(A9,Ergebnis_je_Aktie_verwässert!A3:S68,10,FALSE)</f>
        <v>-0.4285714285714286</v>
      </c>
      <c r="K9" s="5">
        <f>VLOOKUP(A9,Dividende_je_Aktie!A3:S68,11,FALSE)/VLOOKUP(A9,Ergebnis_je_Aktie_verwässert!A3:S68,11,FALSE)</f>
        <v>0.78260869565217395</v>
      </c>
      <c r="L9" s="5">
        <f>VLOOKUP(A9,Dividende_je_Aktie!A3:S68,12,FALSE)/VLOOKUP(A9,Ergebnis_je_Aktie_verwässert!A3:S68,12,FALSE)</f>
        <v>0.46875</v>
      </c>
      <c r="M9" s="5">
        <f>VLOOKUP(A9,Dividende_je_Aktie!A3:S68,13,FALSE)/VLOOKUP(A9,Ergebnis_je_Aktie_verwässert!A3:S68,13,FALSE)</f>
        <v>0.35175879396984921</v>
      </c>
      <c r="N9" s="5">
        <f>VLOOKUP(A9,Dividende_je_Aktie!A3:S68,14,FALSE)/VLOOKUP(A9,Ergebnis_je_Aktie_verwässert!A3:S68,14,FALSE)</f>
        <v>0.34965034965034969</v>
      </c>
      <c r="O9" s="11">
        <f t="shared" si="1"/>
        <v>0.57064050314526282</v>
      </c>
      <c r="P9" s="4">
        <f t="shared" ca="1" si="2"/>
        <v>217</v>
      </c>
      <c r="Q9" s="4">
        <f t="shared" ca="1" si="0"/>
        <v>143</v>
      </c>
      <c r="R9" s="11">
        <f t="shared" ca="1" si="3"/>
        <v>0.49686053240740741</v>
      </c>
      <c r="S9" s="5">
        <f t="shared" ca="1" si="4"/>
        <v>-0.12929325964629945</v>
      </c>
    </row>
    <row r="10" spans="1:19" x14ac:dyDescent="0.25">
      <c r="A10" t="s">
        <v>14</v>
      </c>
      <c r="B10" t="s">
        <v>15</v>
      </c>
      <c r="C10" s="5">
        <f>VLOOKUP(A10,Dividende_je_Aktie!A3:S68,3,FALSE)/VLOOKUP(A10,Ergebnis_je_Aktie_verwässert!A3:S68,3,FALSE)</f>
        <v>0.89655172413793116</v>
      </c>
      <c r="D10" s="5">
        <f>VLOOKUP(A10,Dividende_je_Aktie!A3:S68,4,FALSE)/VLOOKUP(A10,Ergebnis_je_Aktie_verwässert!A3:S68,4,FALSE)</f>
        <v>0.86440677966101698</v>
      </c>
      <c r="E10" s="5">
        <f>VLOOKUP(A10,Dividende_je_Aktie!A3:S68,5,FALSE)/VLOOKUP(A10,Ergebnis_je_Aktie_verwässert!A3:S68,5,FALSE)</f>
        <v>2.3809523809523809</v>
      </c>
      <c r="F10" s="5">
        <f>VLOOKUP(A10,Dividende_je_Aktie!A3:S68,6,FALSE)/VLOOKUP(A10,Ergebnis_je_Aktie_verwässert!A3:S68,6,FALSE)</f>
        <v>-0.57377049180327866</v>
      </c>
      <c r="G10" s="5">
        <f>VLOOKUP(A10,Dividende_je_Aktie!A3:S68,7,FALSE)/VLOOKUP(A10,Ergebnis_je_Aktie_verwässert!A3:S68,7,FALSE)</f>
        <v>5.3846153846153841</v>
      </c>
      <c r="H10" s="5">
        <f>VLOOKUP(A10,Dividende_je_Aktie!A3:S68,8,FALSE)/VLOOKUP(A10,Ergebnis_je_Aktie_verwässert!A3:S68,8,FALSE)</f>
        <v>1.7948717948717947</v>
      </c>
      <c r="I10" s="5">
        <f>VLOOKUP(A10,Dividende_je_Aktie!A3:S68,9,FALSE)/VLOOKUP(A10,Ergebnis_je_Aktie_verwässert!A3:S68,9,FALSE)</f>
        <v>9.75</v>
      </c>
      <c r="J10" s="5">
        <f>VLOOKUP(A10,Dividende_je_Aktie!A3:S68,10,FALSE)/VLOOKUP(A10,Ergebnis_je_Aktie_verwässert!A3:S68,10,FALSE)</f>
        <v>2.2941176470588234</v>
      </c>
      <c r="K10" s="5">
        <f>VLOOKUP(A10,Dividende_je_Aktie!A3:S68,11,FALSE)/VLOOKUP(A10,Ergebnis_je_Aktie_verwässert!A3:S68,11,FALSE)</f>
        <v>6</v>
      </c>
      <c r="L10" s="5">
        <f>VLOOKUP(A10,Dividende_je_Aktie!A3:S68,12,FALSE)/VLOOKUP(A10,Ergebnis_je_Aktie_verwässert!A3:S68,12,FALSE)</f>
        <v>0.97297297297297292</v>
      </c>
      <c r="M10" s="5">
        <f>VLOOKUP(A10,Dividende_je_Aktie!A3:S68,13,FALSE)/VLOOKUP(A10,Ergebnis_je_Aktie_verwässert!A3:S68,13,FALSE)</f>
        <v>0.54961832061068694</v>
      </c>
      <c r="N10" s="5">
        <f>VLOOKUP(A10,Dividende_je_Aktie!A3:S68,14,FALSE)/VLOOKUP(A10,Ergebnis_je_Aktie_verwässert!A3:S68,14,FALSE)</f>
        <v>0.5636363636363636</v>
      </c>
      <c r="O10" s="11">
        <f t="shared" si="1"/>
        <v>3.2989760960798225</v>
      </c>
      <c r="P10" s="4">
        <f t="shared" ca="1" si="2"/>
        <v>217</v>
      </c>
      <c r="Q10" s="4">
        <f t="shared" ca="1" si="0"/>
        <v>143</v>
      </c>
      <c r="R10" s="11">
        <f t="shared" ca="1" si="3"/>
        <v>0.88378303785960144</v>
      </c>
      <c r="S10" s="5">
        <f t="shared" ca="1" si="4"/>
        <v>-0.73210383703301096</v>
      </c>
    </row>
    <row r="11" spans="1:19" x14ac:dyDescent="0.25">
      <c r="A11" t="s">
        <v>16</v>
      </c>
      <c r="B11" t="s">
        <v>17</v>
      </c>
      <c r="C11" s="5">
        <f>VLOOKUP(A11,Dividende_je_Aktie!A3:S68,3,FALSE)/VLOOKUP(A11,Ergebnis_je_Aktie_verwässert!A3:S68,3,FALSE)</f>
        <v>0.32848837209302323</v>
      </c>
      <c r="D11" s="5">
        <f>VLOOKUP(A11,Dividende_je_Aktie!A3:S68,4,FALSE)/VLOOKUP(A11,Ergebnis_je_Aktie_verwässert!A3:S68,4,FALSE)</f>
        <v>0.34563758389261745</v>
      </c>
      <c r="E11" s="5">
        <f>VLOOKUP(A11,Dividende_je_Aktie!A3:S68,5,FALSE)/VLOOKUP(A11,Ergebnis_je_Aktie_verwässert!A3:S68,5,FALSE)</f>
        <v>0.35971223021582738</v>
      </c>
      <c r="F11" s="5">
        <f>VLOOKUP(A11,Dividende_je_Aktie!A3:S68,6,FALSE)/VLOOKUP(A11,Ergebnis_je_Aktie_verwässert!A3:S68,6,FALSE)</f>
        <v>0.35864978902953581</v>
      </c>
      <c r="G11" s="5">
        <f>VLOOKUP(A11,Dividende_je_Aktie!A3:S68,7,FALSE)/VLOOKUP(A11,Ergebnis_je_Aktie_verwässert!A3:S68,7,FALSE)</f>
        <v>0.38062283737024222</v>
      </c>
      <c r="H11" s="5">
        <f>VLOOKUP(A11,Dividende_je_Aktie!A3:S68,8,FALSE)/VLOOKUP(A11,Ergebnis_je_Aktie_verwässert!A3:S68,8,FALSE)</f>
        <v>0.39473684210526316</v>
      </c>
      <c r="I11" s="5">
        <f>VLOOKUP(A11,Dividende_je_Aktie!A3:S68,9,FALSE)/VLOOKUP(A11,Ergebnis_je_Aktie_verwässert!A3:S68,9,FALSE)</f>
        <v>0.3401360544217687</v>
      </c>
      <c r="J11" s="5">
        <f>VLOOKUP(A11,Dividende_je_Aktie!A3:S68,10,FALSE)/VLOOKUP(A11,Ergebnis_je_Aktie_verwässert!A3:S68,10,FALSE)</f>
        <v>0.32258064516129031</v>
      </c>
      <c r="K11" s="5">
        <f>VLOOKUP(A11,Dividende_je_Aktie!A3:S68,11,FALSE)/VLOOKUP(A11,Ergebnis_je_Aktie_verwässert!A3:S68,11,FALSE)</f>
        <v>0.31446540880503143</v>
      </c>
      <c r="L11" s="5">
        <f>VLOOKUP(A11,Dividende_je_Aktie!A3:S68,12,FALSE)/VLOOKUP(A11,Ergebnis_je_Aktie_verwässert!A3:S68,12,FALSE)</f>
        <v>0.30263157894736842</v>
      </c>
      <c r="M11" s="5">
        <f>VLOOKUP(A11,Dividende_je_Aktie!A3:S68,13,FALSE)/VLOOKUP(A11,Ergebnis_je_Aktie_verwässert!A3:S68,13,FALSE)</f>
        <v>0.3</v>
      </c>
      <c r="N11" s="5">
        <f>VLOOKUP(A11,Dividende_je_Aktie!A3:S68,14,FALSE)/VLOOKUP(A11,Ergebnis_je_Aktie_verwässert!A3:S68,14,FALSE)</f>
        <v>0.26666666666666666</v>
      </c>
      <c r="O11" s="11">
        <f t="shared" si="1"/>
        <v>0.33402020527229942</v>
      </c>
      <c r="P11" s="4">
        <f t="shared" ca="1" si="2"/>
        <v>217</v>
      </c>
      <c r="Q11" s="4">
        <f t="shared" ca="1" si="0"/>
        <v>143</v>
      </c>
      <c r="R11" s="11">
        <f t="shared" ca="1" si="3"/>
        <v>0.3353004201134176</v>
      </c>
      <c r="S11" s="5">
        <f t="shared" ca="1" si="4"/>
        <v>3.8327467048722141E-3</v>
      </c>
    </row>
    <row r="12" spans="1:19" x14ac:dyDescent="0.25">
      <c r="A12" t="s">
        <v>18</v>
      </c>
      <c r="B12" t="s">
        <v>19</v>
      </c>
      <c r="C12" s="5">
        <f>VLOOKUP(A12,Dividende_je_Aktie!A3:S68,3,FALSE)/VLOOKUP(A12,Ergebnis_je_Aktie_verwässert!A3:S68,3,FALSE)</f>
        <v>0.47612551159618011</v>
      </c>
      <c r="D12" s="5">
        <f>VLOOKUP(A12,Dividende_je_Aktie!A3:S68,4,FALSE)/VLOOKUP(A12,Ergebnis_je_Aktie_verwässert!A3:S68,4,FALSE)</f>
        <v>0.50706436420722134</v>
      </c>
      <c r="E12" s="5">
        <f>VLOOKUP(A12,Dividende_je_Aktie!A3:S68,5,FALSE)/VLOOKUP(A12,Ergebnis_je_Aktie_verwässert!A3:S68,5,FALSE)</f>
        <v>0.59642147117296218</v>
      </c>
      <c r="F12" s="5">
        <f>VLOOKUP(A12,Dividende_je_Aktie!A3:S68,6,FALSE)/VLOOKUP(A12,Ergebnis_je_Aktie_verwässert!A3:S68,6,FALSE)</f>
        <v>0.59523809523809523</v>
      </c>
      <c r="G12" s="5">
        <f>VLOOKUP(A12,Dividende_je_Aktie!A3:S68,7,FALSE)/VLOOKUP(A12,Ergebnis_je_Aktie_verwässert!A3:S68,7,FALSE)</f>
        <v>0.43103448275862072</v>
      </c>
      <c r="H12" s="5">
        <f>VLOOKUP(A12,Dividende_je_Aktie!A3:S68,8,FALSE)/VLOOKUP(A12,Ergebnis_je_Aktie_verwässert!A3:S68,8,FALSE)</f>
        <v>0.60810810810810811</v>
      </c>
      <c r="I12" s="5">
        <f>VLOOKUP(A12,Dividende_je_Aktie!A3:S68,9,FALSE)/VLOOKUP(A12,Ergebnis_je_Aktie_verwässert!A3:S68,9,FALSE)</f>
        <v>0.60836501901140694</v>
      </c>
      <c r="J12" s="5">
        <f>VLOOKUP(A12,Dividende_je_Aktie!A3:S68,10,FALSE)/VLOOKUP(A12,Ergebnis_je_Aktie_verwässert!A3:S68,10,FALSE)</f>
        <v>0.25039123630672927</v>
      </c>
      <c r="K12" s="5">
        <f>VLOOKUP(A12,Dividende_je_Aktie!A3:S68,11,FALSE)/VLOOKUP(A12,Ergebnis_je_Aktie_verwässert!A3:S68,11,FALSE)</f>
        <v>0.39024390243902446</v>
      </c>
      <c r="L12" s="5">
        <f>VLOOKUP(A12,Dividende_je_Aktie!A3:S68,12,FALSE)/VLOOKUP(A12,Ergebnis_je_Aktie_verwässert!A3:S68,12,FALSE)</f>
        <v>0.44478527607361967</v>
      </c>
      <c r="M12" s="5">
        <f>VLOOKUP(A12,Dividende_je_Aktie!A3:S68,13,FALSE)/VLOOKUP(A12,Ergebnis_je_Aktie_verwässert!A3:S68,13,FALSE)</f>
        <v>0.55785123966942152</v>
      </c>
      <c r="N12" s="5">
        <f>VLOOKUP(A12,Dividende_je_Aktie!A3:S68,14,FALSE)/VLOOKUP(A12,Ergebnis_je_Aktie_verwässert!A3:S68,14,FALSE)</f>
        <v>0.34153005464480873</v>
      </c>
      <c r="O12" s="11">
        <f t="shared" si="1"/>
        <v>0.48239688854227952</v>
      </c>
      <c r="P12" s="4">
        <f t="shared" ca="1" si="2"/>
        <v>217</v>
      </c>
      <c r="Q12" s="4">
        <f t="shared" ca="1" si="0"/>
        <v>143</v>
      </c>
      <c r="R12" s="11">
        <f t="shared" ca="1" si="3"/>
        <v>0.4884151113833437</v>
      </c>
      <c r="S12" s="5">
        <f t="shared" ca="1" si="4"/>
        <v>1.2475666788088535E-2</v>
      </c>
    </row>
    <row r="13" spans="1:19" x14ac:dyDescent="0.25">
      <c r="A13" t="s">
        <v>20</v>
      </c>
      <c r="B13" t="s">
        <v>21</v>
      </c>
      <c r="C13" s="5">
        <f>VLOOKUP(A13,Dividende_je_Aktie!A3:S68,3,FALSE)/VLOOKUP(A13,Ergebnis_je_Aktie_verwässert!A3:S68,3,FALSE)</f>
        <v>0.44565217391304346</v>
      </c>
      <c r="D13" s="5">
        <f>VLOOKUP(A13,Dividende_je_Aktie!A3:S68,4,FALSE)/VLOOKUP(A13,Ergebnis_je_Aktie_verwässert!A3:S68,4,FALSE)</f>
        <v>0.43823529411764706</v>
      </c>
      <c r="E13" s="5">
        <f>VLOOKUP(A13,Dividende_je_Aktie!A3:S68,5,FALSE)/VLOOKUP(A13,Ergebnis_je_Aktie_verwässert!A3:S68,5,FALSE)</f>
        <v>0.4061302681992337</v>
      </c>
      <c r="F13" s="5">
        <f>VLOOKUP(A13,Dividende_je_Aktie!A3:S68,6,FALSE)/VLOOKUP(A13,Ergebnis_je_Aktie_verwässert!A3:S68,6,FALSE)</f>
        <v>0.3968253968253968</v>
      </c>
      <c r="G13" s="5">
        <f>VLOOKUP(A13,Dividende_je_Aktie!A3:S68,7,FALSE)/VLOOKUP(A13,Ergebnis_je_Aktie_verwässert!A3:S68,7,FALSE)</f>
        <v>0.82116788321167877</v>
      </c>
      <c r="H13" s="5">
        <f>VLOOKUP(A13,Dividende_je_Aktie!A3:S68,8,FALSE)/VLOOKUP(A13,Ergebnis_je_Aktie_verwässert!A3:S68,8,FALSE)</f>
        <v>0.40467625899280579</v>
      </c>
      <c r="I13" s="5">
        <f>VLOOKUP(A13,Dividende_je_Aktie!A3:S68,9,FALSE)/VLOOKUP(A13,Ergebnis_je_Aktie_verwässert!A3:S68,9,FALSE)</f>
        <v>0.43157894736842101</v>
      </c>
      <c r="J13" s="5">
        <f>VLOOKUP(A13,Dividende_je_Aktie!A3:S68,10,FALSE)/VLOOKUP(A13,Ergebnis_je_Aktie_verwässert!A3:S68,10,FALSE)</f>
        <v>-0.63985374771480807</v>
      </c>
      <c r="K13" s="5">
        <f>VLOOKUP(A13,Dividende_je_Aktie!A3:S68,11,FALSE)/VLOOKUP(A13,Ergebnis_je_Aktie_verwässert!A3:S68,11,FALSE)</f>
        <v>0.3105590062111801</v>
      </c>
      <c r="L13" s="5">
        <f>VLOOKUP(A13,Dividende_je_Aktie!A3:S68,12,FALSE)/VLOOKUP(A13,Ergebnis_je_Aktie_verwässert!A3:S68,12,FALSE)</f>
        <v>0.22646007151370676</v>
      </c>
      <c r="M13" s="5">
        <f>VLOOKUP(A13,Dividende_je_Aktie!A3:S68,13,FALSE)/VLOOKUP(A13,Ergebnis_je_Aktie_verwässert!A3:S68,13,FALSE)</f>
        <v>0.17793594306049823</v>
      </c>
      <c r="N13" s="5">
        <f>VLOOKUP(A13,Dividende_je_Aktie!A3:S68,14,FALSE)/VLOOKUP(A13,Ergebnis_je_Aktie_verwässert!A3:S68,14,FALSE)</f>
        <v>0.2926421404682274</v>
      </c>
      <c r="O13" s="11">
        <f t="shared" si="1"/>
        <v>0.38533065731679428</v>
      </c>
      <c r="P13" s="4">
        <f t="shared" ca="1" si="2"/>
        <v>217</v>
      </c>
      <c r="Q13" s="4">
        <f t="shared" ca="1" si="0"/>
        <v>143</v>
      </c>
      <c r="R13" s="11">
        <f t="shared" ca="1" si="3"/>
        <v>0.44270602443876106</v>
      </c>
      <c r="S13" s="5">
        <f t="shared" ca="1" si="4"/>
        <v>0.14889904561836209</v>
      </c>
    </row>
    <row r="14" spans="1:19" x14ac:dyDescent="0.25">
      <c r="A14" t="s">
        <v>22</v>
      </c>
      <c r="B14" t="s">
        <v>23</v>
      </c>
      <c r="C14" s="5">
        <f>VLOOKUP(A14,Dividende_je_Aktie!A3:S68,3,FALSE)/VLOOKUP(A14,Ergebnis_je_Aktie_verwässert!A3:S68,3,FALSE)</f>
        <v>0.44195402298850578</v>
      </c>
      <c r="D14" s="5">
        <f>VLOOKUP(A14,Dividende_je_Aktie!A3:S68,4,FALSE)/VLOOKUP(A14,Ergebnis_je_Aktie_verwässert!A3:S68,4,FALSE)</f>
        <v>0.43121387283236995</v>
      </c>
      <c r="E14" s="5">
        <f>VLOOKUP(A14,Dividende_je_Aktie!A3:S68,5,FALSE)/VLOOKUP(A14,Ergebnis_je_Aktie_verwässert!A3:S68,5,FALSE)</f>
        <v>0.39189189189189189</v>
      </c>
      <c r="F14" s="5">
        <f>VLOOKUP(A14,Dividende_je_Aktie!A3:S68,6,FALSE)/VLOOKUP(A14,Ergebnis_je_Aktie_verwässert!A3:S68,6,FALSE)</f>
        <v>0.38932146829810899</v>
      </c>
      <c r="G14" s="5">
        <f>VLOOKUP(A14,Dividende_je_Aktie!A3:S68,7,FALSE)/VLOOKUP(A14,Ergebnis_je_Aktie_verwässert!A3:S68,7,FALSE)</f>
        <v>1.5862944162436547</v>
      </c>
      <c r="H14" s="5">
        <f>VLOOKUP(A14,Dividende_je_Aktie!A3:S68,8,FALSE)/VLOOKUP(A14,Ergebnis_je_Aktie_verwässert!A3:S68,8,FALSE)</f>
        <v>0.47856049004594181</v>
      </c>
      <c r="I14" s="5">
        <f>VLOOKUP(A14,Dividende_je_Aktie!A3:S68,9,FALSE)/VLOOKUP(A14,Ergebnis_je_Aktie_verwässert!A3:S68,9,FALSE)</f>
        <v>0.44401544401544402</v>
      </c>
      <c r="J14" s="5">
        <f>VLOOKUP(A14,Dividende_je_Aktie!A3:S68,10,FALSE)/VLOOKUP(A14,Ergebnis_je_Aktie_verwässert!A3:S68,10,FALSE)</f>
        <v>0.73529411764705876</v>
      </c>
      <c r="K14" s="5">
        <f>VLOOKUP(A14,Dividende_je_Aktie!A3:S68,11,FALSE)/VLOOKUP(A14,Ergebnis_je_Aktie_verwässert!A3:S68,11,FALSE)</f>
        <v>0.30726256983240224</v>
      </c>
      <c r="L14" s="5">
        <f>VLOOKUP(A14,Dividende_je_Aktie!A3:S68,12,FALSE)/VLOOKUP(A14,Ergebnis_je_Aktie_verwässert!A3:S68,12,FALSE)</f>
        <v>0.29761904761904762</v>
      </c>
      <c r="M14" s="5">
        <f>VLOOKUP(A14,Dividende_je_Aktie!A3:S68,13,FALSE)/VLOOKUP(A14,Ergebnis_je_Aktie_verwässert!A3:S68,13,FALSE)</f>
        <v>0.26495726495726496</v>
      </c>
      <c r="N14" s="5">
        <f>VLOOKUP(A14,Dividende_je_Aktie!A3:S68,14,FALSE)/VLOOKUP(A14,Ergebnis_je_Aktie_verwässert!A3:S68,14,FALSE)</f>
        <v>0.24968789013732834</v>
      </c>
      <c r="O14" s="11">
        <f t="shared" si="1"/>
        <v>0.51449046006881427</v>
      </c>
      <c r="P14" s="4">
        <f t="shared" ca="1" si="2"/>
        <v>217</v>
      </c>
      <c r="Q14" s="4">
        <f t="shared" ca="1" si="0"/>
        <v>143</v>
      </c>
      <c r="R14" s="11">
        <f t="shared" ca="1" si="3"/>
        <v>0.43768779667648516</v>
      </c>
      <c r="S14" s="5">
        <f t="shared" ca="1" si="4"/>
        <v>-0.14927908164139059</v>
      </c>
    </row>
    <row r="15" spans="1:19" x14ac:dyDescent="0.25">
      <c r="A15" t="s">
        <v>24</v>
      </c>
      <c r="B15" t="s">
        <v>25</v>
      </c>
      <c r="C15" s="5">
        <f>VLOOKUP(A15,Dividende_je_Aktie!A3:S68,3,FALSE)/VLOOKUP(A15,Ergebnis_je_Aktie_verwässert!A3:S68,3,FALSE)</f>
        <v>0.49348534201954397</v>
      </c>
      <c r="D15" s="5">
        <f>VLOOKUP(A15,Dividende_je_Aktie!A3:S68,4,FALSE)/VLOOKUP(A15,Ergebnis_je_Aktie_verwässert!A3:S68,4,FALSE)</f>
        <v>0.5</v>
      </c>
      <c r="E15" s="5">
        <f>VLOOKUP(A15,Dividende_je_Aktie!A3:S68,5,FALSE)/VLOOKUP(A15,Ergebnis_je_Aktie_verwässert!A3:S68,5,FALSE)</f>
        <v>0.51233396584440238</v>
      </c>
      <c r="F15" s="5">
        <f>VLOOKUP(A15,Dividende_je_Aktie!A3:S68,6,FALSE)/VLOOKUP(A15,Ergebnis_je_Aktie_verwässert!A3:S68,6,FALSE)</f>
        <v>0.48964218455743885</v>
      </c>
      <c r="G15" s="5">
        <f>VLOOKUP(A15,Dividende_je_Aktie!A3:S68,7,FALSE)/VLOOKUP(A15,Ergebnis_je_Aktie_verwässert!A3:S68,7,FALSE)</f>
        <v>0.37147102526002967</v>
      </c>
      <c r="H15" s="5">
        <f>VLOOKUP(A15,Dividende_je_Aktie!A3:S68,8,FALSE)/VLOOKUP(A15,Ergebnis_je_Aktie_verwässert!A3:S68,8,FALSE)</f>
        <v>0.44354838709677424</v>
      </c>
      <c r="I15" s="5">
        <f>VLOOKUP(A15,Dividende_je_Aktie!A3:S68,9,FALSE)/VLOOKUP(A15,Ergebnis_je_Aktie_verwässert!A3:S68,9,FALSE)</f>
        <v>1.1038961038961039</v>
      </c>
      <c r="J15" s="5">
        <f>VLOOKUP(A15,Dividende_je_Aktie!A3:S68,10,FALSE)/VLOOKUP(A15,Ergebnis_je_Aktie_verwässert!A3:S68,10,FALSE)</f>
        <v>0.6230031948881789</v>
      </c>
      <c r="K15" s="5">
        <f>VLOOKUP(A15,Dividende_je_Aktie!A3:S68,11,FALSE)/VLOOKUP(A15,Ergebnis_je_Aktie_verwässert!A3:S68,11,FALSE)</f>
        <v>0.46875</v>
      </c>
      <c r="L15" s="5">
        <f>VLOOKUP(A15,Dividende_je_Aktie!A3:S68,12,FALSE)/VLOOKUP(A15,Ergebnis_je_Aktie_verwässert!A3:S68,12,FALSE)</f>
        <v>0.47021943573667713</v>
      </c>
      <c r="M15" s="5">
        <f>VLOOKUP(A15,Dividende_je_Aktie!A3:S68,13,FALSE)/VLOOKUP(A15,Ergebnis_je_Aktie_verwässert!A3:S68,13,FALSE)</f>
        <v>0.34843205574912889</v>
      </c>
      <c r="N15" s="5">
        <f>VLOOKUP(A15,Dividende_je_Aktie!A3:S68,14,FALSE)/VLOOKUP(A15,Ergebnis_je_Aktie_verwässert!A3:S68,14,FALSE)</f>
        <v>0.4941860465116279</v>
      </c>
      <c r="O15" s="11">
        <f t="shared" si="1"/>
        <v>0.53254823995403622</v>
      </c>
      <c r="P15" s="4">
        <f t="shared" ca="1" si="2"/>
        <v>217</v>
      </c>
      <c r="Q15" s="4">
        <f t="shared" ca="1" si="0"/>
        <v>143</v>
      </c>
      <c r="R15" s="11">
        <f t="shared" ca="1" si="3"/>
        <v>0.49607310893955847</v>
      </c>
      <c r="S15" s="5">
        <f t="shared" ca="1" si="4"/>
        <v>-6.8491693855989189E-2</v>
      </c>
    </row>
    <row r="16" spans="1:19" x14ac:dyDescent="0.25">
      <c r="A16" t="s">
        <v>26</v>
      </c>
      <c r="B16" t="s">
        <v>27</v>
      </c>
      <c r="C16" s="5">
        <f>VLOOKUP(A16,Dividende_je_Aktie!A3:S68,3,FALSE)/VLOOKUP(A16,Ergebnis_je_Aktie_verwässert!A3:S68,3,FALSE)</f>
        <v>0.44483985765124556</v>
      </c>
      <c r="D16" s="5">
        <f>VLOOKUP(A16,Dividende_je_Aktie!A3:S68,4,FALSE)/VLOOKUP(A16,Ergebnis_je_Aktie_verwässert!A3:S68,4,FALSE)</f>
        <v>0.46406570841889111</v>
      </c>
      <c r="E16" s="5">
        <f>VLOOKUP(A16,Dividende_je_Aktie!A3:S68,5,FALSE)/VLOOKUP(A16,Ergebnis_je_Aktie_verwässert!A3:S68,5,FALSE)</f>
        <v>0.54404145077720212</v>
      </c>
      <c r="F16" s="5">
        <f>VLOOKUP(A16,Dividende_je_Aktie!A3:S68,6,FALSE)/VLOOKUP(A16,Ergebnis_je_Aktie_verwässert!A3:S68,6,FALSE)</f>
        <v>0.64189189189189189</v>
      </c>
      <c r="G16" s="5">
        <f>VLOOKUP(A16,Dividende_je_Aktie!A3:S68,7,FALSE)/VLOOKUP(A16,Ergebnis_je_Aktie_verwässert!A3:S68,7,FALSE)</f>
        <v>0.55183946488294311</v>
      </c>
      <c r="H16" s="5">
        <f>VLOOKUP(A16,Dividende_je_Aktie!A3:S68,8,FALSE)/VLOOKUP(A16,Ergebnis_je_Aktie_verwässert!A3:S68,8,FALSE)</f>
        <v>0.95541401273885351</v>
      </c>
      <c r="I16" s="5">
        <f>VLOOKUP(A16,Dividende_je_Aktie!A3:S68,9,FALSE)/VLOOKUP(A16,Ergebnis_je_Aktie_verwässert!A3:S68,9,FALSE)</f>
        <v>0.82352941176470584</v>
      </c>
      <c r="J16" s="5">
        <f>VLOOKUP(A16,Dividende_je_Aktie!A3:S68,10,FALSE)/VLOOKUP(A16,Ergebnis_je_Aktie_verwässert!A3:S68,10,FALSE)</f>
        <v>0.63063063063063052</v>
      </c>
      <c r="K16" s="5">
        <f>VLOOKUP(A16,Dividende_je_Aktie!A3:S68,11,FALSE)/VLOOKUP(A16,Ergebnis_je_Aktie_verwässert!A3:S68,11,FALSE)</f>
        <v>0.35526315789473689</v>
      </c>
      <c r="L16" s="5">
        <f>VLOOKUP(A16,Dividende_je_Aktie!A3:S68,12,FALSE)/VLOOKUP(A16,Ergebnis_je_Aktie_verwässert!A3:S68,12,FALSE)</f>
        <v>0.4504504504504504</v>
      </c>
      <c r="M16" s="5">
        <f>VLOOKUP(A16,Dividende_je_Aktie!A3:S68,13,FALSE)/VLOOKUP(A16,Ergebnis_je_Aktie_verwässert!A3:S68,13,FALSE)</f>
        <v>0.43378995433789952</v>
      </c>
      <c r="N16" s="5">
        <f>VLOOKUP(A16,Dividende_je_Aktie!A3:S68,14,FALSE)/VLOOKUP(A16,Ergebnis_je_Aktie_verwässert!A3:S68,14,FALSE)</f>
        <v>0.66265060240963869</v>
      </c>
      <c r="O16" s="11">
        <f t="shared" si="1"/>
        <v>0.60495010277789518</v>
      </c>
      <c r="P16" s="4">
        <f t="shared" ca="1" si="2"/>
        <v>217</v>
      </c>
      <c r="Q16" s="4">
        <f t="shared" ca="1" si="0"/>
        <v>143</v>
      </c>
      <c r="R16" s="11">
        <f t="shared" ca="1" si="3"/>
        <v>0.45247679281728254</v>
      </c>
      <c r="S16" s="5">
        <f t="shared" ca="1" si="4"/>
        <v>-0.25204278710006689</v>
      </c>
    </row>
    <row r="17" spans="1:19" x14ac:dyDescent="0.25">
      <c r="A17" t="s">
        <v>28</v>
      </c>
      <c r="B17" t="s">
        <v>29</v>
      </c>
      <c r="C17" s="5">
        <f>VLOOKUP(A17,Dividende_je_Aktie!A3:S68,3,FALSE)/VLOOKUP(A17,Ergebnis_je_Aktie_verwässert!A3:S68,3,FALSE)</f>
        <v>0.84482758620689657</v>
      </c>
      <c r="D17" s="5">
        <f>VLOOKUP(A17,Dividende_je_Aktie!A3:S68,4,FALSE)/VLOOKUP(A17,Ergebnis_je_Aktie_verwässert!A3:S68,4,FALSE)</f>
        <v>1.1250000000000002</v>
      </c>
      <c r="E17" s="5">
        <f>VLOOKUP(A17,Dividende_je_Aktie!A3:S68,5,FALSE)/VLOOKUP(A17,Ergebnis_je_Aktie_verwässert!A3:S68,5,FALSE)</f>
        <v>1.4999999999999998</v>
      </c>
      <c r="F17" s="5">
        <f>VLOOKUP(A17,Dividende_je_Aktie!A3:S68,6,FALSE)/VLOOKUP(A17,Ergebnis_je_Aktie_verwässert!A3:S68,6,FALSE)</f>
        <v>2.7272727272727271</v>
      </c>
      <c r="G17" s="5">
        <f>VLOOKUP(A17,Dividende_je_Aktie!A3:S68,7,FALSE)/VLOOKUP(A17,Ergebnis_je_Aktie_verwässert!A3:S68,7,FALSE)</f>
        <v>1.3</v>
      </c>
      <c r="H17" s="5">
        <f>VLOOKUP(A17,Dividende_je_Aktie!A3:S68,8,FALSE)/VLOOKUP(A17,Ergebnis_je_Aktie_verwässert!A3:S68,8,FALSE)</f>
        <v>0.63829787234042556</v>
      </c>
      <c r="I17" s="5">
        <f>VLOOKUP(A17,Dividende_je_Aktie!A3:S68,9,FALSE)/VLOOKUP(A17,Ergebnis_je_Aktie_verwässert!A3:S68,9,FALSE)</f>
        <v>0.57692307692307687</v>
      </c>
      <c r="J17" s="5">
        <f>VLOOKUP(A17,Dividende_je_Aktie!A3:S68,10,FALSE)/VLOOKUP(A17,Ergebnis_je_Aktie_verwässert!A3:S68,10,FALSE)</f>
        <v>0.53719008264462809</v>
      </c>
      <c r="K17" s="5">
        <f>VLOOKUP(A17,Dividende_je_Aktie!A3:S68,11,FALSE)/VLOOKUP(A17,Ergebnis_je_Aktie_verwässert!A3:S68,11,FALSE)</f>
        <v>0.46099290780141849</v>
      </c>
      <c r="L17" s="5">
        <f>VLOOKUP(A17,Dividende_je_Aktie!A3:S68,12,FALSE)/VLOOKUP(A17,Ergebnis_je_Aktie_verwässert!A3:S68,12,FALSE)</f>
        <v>0.42975206611570249</v>
      </c>
      <c r="M17" s="5">
        <f>VLOOKUP(A17,Dividende_je_Aktie!A3:S68,13,FALSE)/VLOOKUP(A17,Ergebnis_je_Aktie_verwässert!A3:S68,13,FALSE)</f>
        <v>0.42</v>
      </c>
      <c r="N17" s="5">
        <f>VLOOKUP(A17,Dividende_je_Aktie!A3:S68,14,FALSE)/VLOOKUP(A17,Ergebnis_je_Aktie_verwässert!A3:S68,14,FALSE)</f>
        <v>0.52380952380952384</v>
      </c>
      <c r="O17" s="11">
        <f t="shared" si="1"/>
        <v>0.91142382569074998</v>
      </c>
      <c r="P17" s="4">
        <f t="shared" ca="1" si="2"/>
        <v>217</v>
      </c>
      <c r="Q17" s="4">
        <f t="shared" ca="1" si="0"/>
        <v>143</v>
      </c>
      <c r="R17" s="11">
        <f t="shared" ca="1" si="3"/>
        <v>0.95611829501915713</v>
      </c>
      <c r="S17" s="5">
        <f t="shared" ca="1" si="4"/>
        <v>4.903807434980556E-2</v>
      </c>
    </row>
    <row r="18" spans="1:19" x14ac:dyDescent="0.25">
      <c r="A18" t="s">
        <v>30</v>
      </c>
      <c r="B18" t="s">
        <v>31</v>
      </c>
      <c r="C18" s="5">
        <f>VLOOKUP(A18,Dividende_je_Aktie!A3:S68,3,FALSE)/VLOOKUP(A18,Ergebnis_je_Aktie_verwässert!A3:S68,3,FALSE)</f>
        <v>0.77659574468085113</v>
      </c>
      <c r="D18" s="5">
        <f>VLOOKUP(A18,Dividende_je_Aktie!A3:S68,4,FALSE)/VLOOKUP(A18,Ergebnis_je_Aktie_verwässert!A3:S68,4,FALSE)</f>
        <v>0.82758620689655171</v>
      </c>
      <c r="E18" s="5">
        <f>VLOOKUP(A18,Dividende_je_Aktie!A3:S68,5,FALSE)/VLOOKUP(A18,Ergebnis_je_Aktie_verwässert!A3:S68,5,FALSE)</f>
        <v>0.74257425742574257</v>
      </c>
      <c r="F18" s="5">
        <f>VLOOKUP(A18,Dividende_je_Aktie!A3:S68,6,FALSE)/VLOOKUP(A18,Ergebnis_je_Aktie_verwässert!A3:S68,6,FALSE)</f>
        <v>0.94252873563218387</v>
      </c>
      <c r="G18" s="5">
        <f>VLOOKUP(A18,Dividende_je_Aktie!A3:S68,7,FALSE)/VLOOKUP(A18,Ergebnis_je_Aktie_verwässert!A3:S68,7,FALSE)</f>
        <v>1.2666666666666668</v>
      </c>
      <c r="H18" s="5">
        <f>VLOOKUP(A18,Dividende_je_Aktie!A3:S68,8,FALSE)/VLOOKUP(A18,Ergebnis_je_Aktie_verwässert!A3:S68,8,FALSE)</f>
        <v>0.57777777777777783</v>
      </c>
      <c r="I18" s="5">
        <f>VLOOKUP(A18,Dividende_je_Aktie!A3:S68,9,FALSE)/VLOOKUP(A18,Ergebnis_je_Aktie_verwässert!A3:S68,9,FALSE)</f>
        <v>0.58479532163742687</v>
      </c>
      <c r="J18" s="5">
        <f>VLOOKUP(A18,Dividende_je_Aktie!A3:S68,10,FALSE)/VLOOKUP(A18,Ergebnis_je_Aktie_verwässert!A3:S68,10,FALSE)</f>
        <v>0.55214723926380371</v>
      </c>
      <c r="K18" s="5">
        <f>VLOOKUP(A18,Dividende_je_Aktie!A3:S68,11,FALSE)/VLOOKUP(A18,Ergebnis_je_Aktie_verwässert!A3:S68,11,FALSE)</f>
        <v>0.34759358288770054</v>
      </c>
      <c r="L18" s="5">
        <f>VLOOKUP(A18,Dividende_je_Aktie!A3:S68,12,FALSE)/VLOOKUP(A18,Ergebnis_je_Aktie_verwässert!A3:S68,12,FALSE)</f>
        <v>0.42307692307692307</v>
      </c>
      <c r="M18" s="5">
        <f>VLOOKUP(A18,Dividende_je_Aktie!A3:S68,13,FALSE)/VLOOKUP(A18,Ergebnis_je_Aktie_verwässert!A3:S68,13,FALSE)</f>
        <v>0.54945054945054939</v>
      </c>
      <c r="N18" s="5">
        <f>VLOOKUP(A18,Dividende_je_Aktie!A3:S68,14,FALSE)/VLOOKUP(A18,Ergebnis_je_Aktie_verwässert!A3:S68,14,FALSE)</f>
        <v>0.66666666666666674</v>
      </c>
      <c r="O18" s="11">
        <f t="shared" si="1"/>
        <v>0.66532777204854421</v>
      </c>
      <c r="P18" s="4">
        <f t="shared" ca="1" si="2"/>
        <v>217</v>
      </c>
      <c r="Q18" s="4">
        <f t="shared" ca="1" si="0"/>
        <v>143</v>
      </c>
      <c r="R18" s="11">
        <f t="shared" ca="1" si="3"/>
        <v>0.79685028939430991</v>
      </c>
      <c r="S18" s="5">
        <f t="shared" ca="1" si="4"/>
        <v>0.19768078663063759</v>
      </c>
    </row>
    <row r="19" spans="1:19" x14ac:dyDescent="0.25">
      <c r="A19" t="s">
        <v>32</v>
      </c>
      <c r="B19" t="s">
        <v>33</v>
      </c>
      <c r="C19" s="5">
        <f>VLOOKUP(A19,Dividende_je_Aktie!A3:S68,3,FALSE)/VLOOKUP(A19,Ergebnis_je_Aktie_verwässert!A3:S68,3,FALSE)</f>
        <v>0.48249027237354086</v>
      </c>
      <c r="D19" s="5">
        <f>VLOOKUP(A19,Dividende_je_Aktie!A3:S68,4,FALSE)/VLOOKUP(A19,Ergebnis_je_Aktie_verwässert!A3:S68,4,FALSE)</f>
        <v>0.50414937759336098</v>
      </c>
      <c r="E19" s="5">
        <f>VLOOKUP(A19,Dividende_je_Aktie!A3:S68,5,FALSE)/VLOOKUP(A19,Ergebnis_je_Aktie_verwässert!A3:S68,5,FALSE)</f>
        <v>0.63978494623655913</v>
      </c>
      <c r="F19" s="5">
        <f>VLOOKUP(A19,Dividende_je_Aktie!A3:S68,6,FALSE)/VLOOKUP(A19,Ergebnis_je_Aktie_verwässert!A3:S68,6,FALSE)</f>
        <v>0.49576271186440679</v>
      </c>
      <c r="G19" s="5">
        <f>VLOOKUP(A19,Dividende_je_Aktie!A3:S68,7,FALSE)/VLOOKUP(A19,Ergebnis_je_Aktie_verwässert!A3:S68,7,FALSE)</f>
        <v>0.41911764705882348</v>
      </c>
      <c r="H19" s="5">
        <f>VLOOKUP(A19,Dividende_je_Aktie!A3:S68,8,FALSE)/VLOOKUP(A19,Ergebnis_je_Aktie_verwässert!A3:S68,8,FALSE)</f>
        <v>0.48407643312101906</v>
      </c>
      <c r="I19" s="5">
        <f>VLOOKUP(A19,Dividende_je_Aktie!A3:S68,9,FALSE)/VLOOKUP(A19,Ergebnis_je_Aktie_verwässert!A3:S68,9,FALSE)</f>
        <v>0.60317460317460314</v>
      </c>
      <c r="J19" s="5">
        <f>VLOOKUP(A19,Dividende_je_Aktie!A3:S68,10,FALSE)/VLOOKUP(A19,Ergebnis_je_Aktie_verwässert!A3:S68,10,FALSE)</f>
        <v>0.48407643312101906</v>
      </c>
      <c r="K19" s="5">
        <f>VLOOKUP(A19,Dividende_je_Aktie!A3:S68,11,FALSE)/VLOOKUP(A19,Ergebnis_je_Aktie_verwässert!A3:S68,11,FALSE)</f>
        <v>0.35689655172413792</v>
      </c>
      <c r="L19" s="5">
        <f>VLOOKUP(A19,Dividende_je_Aktie!A3:S68,12,FALSE)/VLOOKUP(A19,Ergebnis_je_Aktie_verwässert!A3:S68,12,FALSE)</f>
        <v>0.36738703339882123</v>
      </c>
      <c r="M19" s="5">
        <f>VLOOKUP(A19,Dividende_je_Aktie!A3:S68,13,FALSE)/VLOOKUP(A19,Ergebnis_je_Aktie_verwässert!A3:S68,13,FALSE)</f>
        <v>0.31153846153846154</v>
      </c>
      <c r="N19" s="5">
        <f>VLOOKUP(A19,Dividende_je_Aktie!A3:S68,14,FALSE)/VLOOKUP(A19,Ergebnis_je_Aktie_verwässert!A3:S68,14,FALSE)</f>
        <v>0.36784741144414174</v>
      </c>
      <c r="O19" s="11">
        <f t="shared" si="1"/>
        <v>0.45296622326819935</v>
      </c>
      <c r="P19" s="4">
        <f t="shared" ca="1" si="2"/>
        <v>217</v>
      </c>
      <c r="Q19" s="4">
        <f t="shared" ca="1" si="0"/>
        <v>143</v>
      </c>
      <c r="R19" s="11">
        <f t="shared" ca="1" si="3"/>
        <v>0.49109375028030278</v>
      </c>
      <c r="S19" s="5">
        <f t="shared" ca="1" si="4"/>
        <v>8.4173002430532939E-2</v>
      </c>
    </row>
    <row r="20" spans="1:19" x14ac:dyDescent="0.25">
      <c r="A20" t="s">
        <v>34</v>
      </c>
      <c r="B20" t="s">
        <v>35</v>
      </c>
      <c r="C20" s="5">
        <f>VLOOKUP(A20,Dividende_je_Aktie!A3:S68,3,FALSE)/VLOOKUP(A20,Ergebnis_je_Aktie_verwässert!A3:S68,3,FALSE)</f>
        <v>0.53156146179401997</v>
      </c>
      <c r="D20" s="5">
        <f>VLOOKUP(A20,Dividende_je_Aktie!A3:S68,4,FALSE)/VLOOKUP(A20,Ergebnis_je_Aktie_verwässert!A3:S68,4,FALSE)</f>
        <v>0.57307692307692304</v>
      </c>
      <c r="E20" s="5">
        <f>VLOOKUP(A20,Dividende_je_Aktie!A3:S68,5,FALSE)/VLOOKUP(A20,Ergebnis_je_Aktie_verwässert!A3:S68,5,FALSE)</f>
        <v>0.59917355371900827</v>
      </c>
      <c r="F20" s="5">
        <f>VLOOKUP(A20,Dividende_je_Aktie!A3:S68,6,FALSE)/VLOOKUP(A20,Ergebnis_je_Aktie_verwässert!A3:S68,6,FALSE)</f>
        <v>0.52346570397111913</v>
      </c>
      <c r="G20" s="5">
        <f>VLOOKUP(A20,Dividende_je_Aktie!A3:S68,7,FALSE)/VLOOKUP(A20,Ergebnis_je_Aktie_verwässert!A3:S68,7,FALSE)</f>
        <v>0.50180505415162446</v>
      </c>
      <c r="H20" s="5">
        <f>VLOOKUP(A20,Dividende_je_Aktie!A3:S68,8,FALSE)/VLOOKUP(A20,Ergebnis_je_Aktie_verwässert!A3:S68,8,FALSE)</f>
        <v>0.42763157894736842</v>
      </c>
      <c r="I20" s="5">
        <f>VLOOKUP(A20,Dividende_je_Aktie!A3:S68,9,FALSE)/VLOOKUP(A20,Ergebnis_je_Aktie_verwässert!A3:S68,9,FALSE)</f>
        <v>0.46692607003891051</v>
      </c>
      <c r="J20" s="5">
        <f>VLOOKUP(A20,Dividende_je_Aktie!A3:S68,10,FALSE)/VLOOKUP(A20,Ergebnis_je_Aktie_verwässert!A3:S68,10,FALSE)</f>
        <v>0.43795620437956201</v>
      </c>
      <c r="K20" s="5">
        <f>VLOOKUP(A20,Dividende_je_Aktie!A3:S68,11,FALSE)/VLOOKUP(A20,Ergebnis_je_Aktie_verwässert!A3:S68,11,FALSE)</f>
        <v>0.60109289617486339</v>
      </c>
      <c r="L20" s="5">
        <f>VLOOKUP(A20,Dividende_je_Aktie!A3:S68,12,FALSE)/VLOOKUP(A20,Ergebnis_je_Aktie_verwässert!A3:S68,12,FALSE)</f>
        <v>0.36101083032490977</v>
      </c>
      <c r="M20" s="5">
        <f>VLOOKUP(A20,Dividende_je_Aktie!A3:S68,13,FALSE)/VLOOKUP(A20,Ergebnis_je_Aktie_verwässert!A3:S68,13,FALSE)</f>
        <v>0.28911564625850339</v>
      </c>
      <c r="N20" s="5">
        <f>VLOOKUP(A20,Dividende_je_Aktie!A3:S68,14,FALSE)/VLOOKUP(A20,Ergebnis_je_Aktie_verwässert!A3:S68,14,FALSE)</f>
        <v>1.0793650793650795</v>
      </c>
      <c r="O20" s="11">
        <f t="shared" si="1"/>
        <v>0.52875426173309492</v>
      </c>
      <c r="P20" s="4">
        <f t="shared" ca="1" si="2"/>
        <v>217</v>
      </c>
      <c r="Q20" s="4">
        <f t="shared" ca="1" si="0"/>
        <v>143</v>
      </c>
      <c r="R20" s="11">
        <f t="shared" ca="1" si="3"/>
        <v>0.54805232558139538</v>
      </c>
      <c r="S20" s="5">
        <f t="shared" ca="1" si="4"/>
        <v>3.6497226112272463E-2</v>
      </c>
    </row>
    <row r="21" spans="1:19" x14ac:dyDescent="0.25">
      <c r="A21" t="s">
        <v>36</v>
      </c>
      <c r="B21" t="s">
        <v>37</v>
      </c>
      <c r="C21" s="5">
        <f>VLOOKUP(A21,Dividende_je_Aktie!A3:S68,3,FALSE)/VLOOKUP(A21,Ergebnis_je_Aktie_verwässert!A3:S68,3,FALSE)</f>
        <v>0.50980392156862753</v>
      </c>
      <c r="D21" s="5">
        <f>VLOOKUP(A21,Dividende_je_Aktie!A3:S68,4,FALSE)/VLOOKUP(A21,Ergebnis_je_Aktie_verwässert!A3:S68,4,FALSE)</f>
        <v>0.45018450184501846</v>
      </c>
      <c r="E21" s="5">
        <f>VLOOKUP(A21,Dividende_je_Aktie!A3:S68,5,FALSE)/VLOOKUP(A21,Ergebnis_je_Aktie_verwässert!A3:S68,5,FALSE)</f>
        <v>0.56862745098039214</v>
      </c>
      <c r="F21" s="5">
        <f>VLOOKUP(A21,Dividende_je_Aktie!A3:S68,6,FALSE)/VLOOKUP(A21,Ergebnis_je_Aktie_verwässert!A3:S68,6,FALSE)</f>
        <v>0.38888888888888895</v>
      </c>
      <c r="G21" s="5">
        <f>VLOOKUP(A21,Dividende_je_Aktie!A3:S68,7,FALSE)/VLOOKUP(A21,Ergebnis_je_Aktie_verwässert!A3:S68,7,FALSE)</f>
        <v>0.23653395784543327</v>
      </c>
      <c r="H21" s="5">
        <f>VLOOKUP(A21,Dividende_je_Aktie!A3:S68,8,FALSE)/VLOOKUP(A21,Ergebnis_je_Aktie_verwässert!A3:S68,8,FALSE)</f>
        <v>0.38157894736842107</v>
      </c>
      <c r="I21" s="5">
        <f>VLOOKUP(A21,Dividende_je_Aktie!A3:S68,9,FALSE)/VLOOKUP(A21,Ergebnis_je_Aktie_verwässert!A3:S68,9,FALSE)</f>
        <v>0.78095238095238084</v>
      </c>
      <c r="J21" s="5">
        <f>VLOOKUP(A21,Dividende_je_Aktie!A3:S68,10,FALSE)/VLOOKUP(A21,Ergebnis_je_Aktie_verwässert!A3:S68,10,FALSE)</f>
        <v>0.20363636363636364</v>
      </c>
      <c r="K21" s="5">
        <f>VLOOKUP(A21,Dividende_je_Aktie!A3:S68,11,FALSE)/VLOOKUP(A21,Ergebnis_je_Aktie_verwässert!A3:S68,11,FALSE)</f>
        <v>0.1703056768558952</v>
      </c>
      <c r="L21" s="5">
        <f>VLOOKUP(A21,Dividende_je_Aktie!A3:S68,12,FALSE)/VLOOKUP(A21,Ergebnis_je_Aktie_verwässert!A3:S68,12,FALSE)</f>
        <v>0.18604651162790697</v>
      </c>
      <c r="M21" s="5">
        <f>VLOOKUP(A21,Dividende_je_Aktie!A3:S68,13,FALSE)/VLOOKUP(A21,Ergebnis_je_Aktie_verwässert!A3:S68,13,FALSE)</f>
        <v>0.23</v>
      </c>
      <c r="N21" s="5" t="e">
        <f>VLOOKUP(A21,Dividende_je_Aktie!A3:S68,14,FALSE)/VLOOKUP(A21,Ergebnis_je_Aktie_verwässert!A3:S68,14,FALSE)</f>
        <v>#DIV/0!</v>
      </c>
      <c r="O21" s="11">
        <f t="shared" si="1"/>
        <v>0.34961890868396467</v>
      </c>
      <c r="P21" s="4">
        <f t="shared" ca="1" si="2"/>
        <v>217</v>
      </c>
      <c r="Q21" s="4">
        <f t="shared" ca="1" si="0"/>
        <v>143</v>
      </c>
      <c r="R21" s="11">
        <f t="shared" ca="1" si="3"/>
        <v>0.48612176317841616</v>
      </c>
      <c r="S21" s="5">
        <f t="shared" ca="1" si="4"/>
        <v>0.39043327206836564</v>
      </c>
    </row>
    <row r="22" spans="1:19" x14ac:dyDescent="0.25">
      <c r="A22" t="s">
        <v>38</v>
      </c>
      <c r="B22" t="s">
        <v>39</v>
      </c>
      <c r="C22" s="5">
        <f>VLOOKUP(A22,Dividende_je_Aktie!A3:S68,3,FALSE)/VLOOKUP(A22,Ergebnis_je_Aktie_verwässert!A3:S68,3,FALSE)</f>
        <v>0.6842105263157896</v>
      </c>
      <c r="D22" s="5">
        <f>VLOOKUP(A22,Dividende_je_Aktie!A3:S68,4,FALSE)/VLOOKUP(A22,Ergebnis_je_Aktie_verwässert!A3:S68,4,FALSE)</f>
        <v>0.69856459330143539</v>
      </c>
      <c r="E22" s="5">
        <f>VLOOKUP(A22,Dividende_je_Aktie!A3:S68,5,FALSE)/VLOOKUP(A22,Ergebnis_je_Aktie_verwässert!A3:S68,5,FALSE)</f>
        <v>0.69268292682926835</v>
      </c>
      <c r="F22" s="5">
        <f>VLOOKUP(A22,Dividende_je_Aktie!A3:S68,6,FALSE)/VLOOKUP(A22,Ergebnis_je_Aktie_verwässert!A3:S68,6,FALSE)</f>
        <v>0.68527918781725894</v>
      </c>
      <c r="G22" s="5">
        <f>VLOOKUP(A22,Dividende_je_Aktie!A3:S68,7,FALSE)/VLOOKUP(A22,Ergebnis_je_Aktie_verwässert!A3:S68,7,FALSE)</f>
        <v>0.8141025641025641</v>
      </c>
      <c r="H22" s="5">
        <f>VLOOKUP(A22,Dividende_je_Aktie!A3:S68,8,FALSE)/VLOOKUP(A22,Ergebnis_je_Aktie_verwässert!A3:S68,8,FALSE)</f>
        <v>0.79166666666666663</v>
      </c>
      <c r="I22" s="5">
        <f>VLOOKUP(A22,Dividende_je_Aktie!A3:S68,9,FALSE)/VLOOKUP(A22,Ergebnis_je_Aktie_verwässert!A3:S68,9,FALSE)</f>
        <v>0.73529411764705876</v>
      </c>
      <c r="J22" s="5">
        <f>VLOOKUP(A22,Dividende_je_Aktie!A3:S68,10,FALSE)/VLOOKUP(A22,Ergebnis_je_Aktie_verwässert!A3:S68,10,FALSE)</f>
        <v>0.68292682926829262</v>
      </c>
      <c r="K22" s="5">
        <f>VLOOKUP(A22,Dividende_je_Aktie!A3:S68,11,FALSE)/VLOOKUP(A22,Ergebnis_je_Aktie_verwässert!A3:S68,11,FALSE)</f>
        <v>0.63461538461538458</v>
      </c>
      <c r="L22" s="5" t="e">
        <f>VLOOKUP(A22,Dividende_je_Aktie!A3:S68,12,FALSE)/VLOOKUP(A22,Ergebnis_je_Aktie_verwässert!A3:S68,12,FALSE)</f>
        <v>#DIV/0!</v>
      </c>
      <c r="M22" s="5" t="e">
        <f>VLOOKUP(A22,Dividende_je_Aktie!A3:S68,13,FALSE)/VLOOKUP(A22,Ergebnis_je_Aktie_verwässert!A3:S68,13,FALSE)</f>
        <v>#DIV/0!</v>
      </c>
      <c r="N22" s="5" t="e">
        <f>VLOOKUP(A22,Dividende_je_Aktie!A3:S68,14,FALSE)/VLOOKUP(A22,Ergebnis_je_Aktie_verwässert!A3:S68,14,FALSE)</f>
        <v>#DIV/0!</v>
      </c>
      <c r="O22" s="11">
        <f t="shared" si="1"/>
        <v>0.71950966813521333</v>
      </c>
      <c r="P22" s="4">
        <f t="shared" ca="1" si="2"/>
        <v>217</v>
      </c>
      <c r="Q22" s="4">
        <f t="shared" ca="1" si="0"/>
        <v>143</v>
      </c>
      <c r="R22" s="11">
        <f t="shared" ca="1" si="3"/>
        <v>0.68991228070175448</v>
      </c>
      <c r="S22" s="5">
        <f t="shared" ca="1" si="4"/>
        <v>-4.1135496497451962E-2</v>
      </c>
    </row>
    <row r="23" spans="1:19" x14ac:dyDescent="0.25">
      <c r="A23" t="s">
        <v>40</v>
      </c>
      <c r="B23" t="s">
        <v>41</v>
      </c>
      <c r="C23" s="5">
        <f>VLOOKUP(A23,Dividende_je_Aktie!A3:S68,3,FALSE)/VLOOKUP(A23,Ergebnis_je_Aktie_verwässert!A3:S68,3,FALSE)</f>
        <v>0.83734939759036142</v>
      </c>
      <c r="D23" s="5">
        <f>VLOOKUP(A23,Dividende_je_Aktie!A3:S68,4,FALSE)/VLOOKUP(A23,Ergebnis_je_Aktie_verwässert!A3:S68,4,FALSE)</f>
        <v>0.85906040268456374</v>
      </c>
      <c r="E23" s="5">
        <f>VLOOKUP(A23,Dividende_je_Aktie!A3:S68,5,FALSE)/VLOOKUP(A23,Ergebnis_je_Aktie_verwässert!A3:S68,5,FALSE)</f>
        <v>1.2083333333333333</v>
      </c>
      <c r="F23" s="5">
        <f>VLOOKUP(A23,Dividende_je_Aktie!A3:S68,6,FALSE)/VLOOKUP(A23,Ergebnis_je_Aktie_verwässert!A3:S68,6,FALSE)</f>
        <v>1.5588235294117647</v>
      </c>
      <c r="G23" s="5">
        <f>VLOOKUP(A23,Dividende_je_Aktie!A3:S68,7,FALSE)/VLOOKUP(A23,Ergebnis_je_Aktie_verwässert!A3:S68,7,FALSE)</f>
        <v>0.53672316384180785</v>
      </c>
      <c r="H23" s="5">
        <f>VLOOKUP(A23,Dividende_je_Aktie!A3:S68,8,FALSE)/VLOOKUP(A23,Ergebnis_je_Aktie_verwässert!A3:S68,8,FALSE)</f>
        <v>0.56756756756756754</v>
      </c>
      <c r="I23" s="5">
        <f>VLOOKUP(A23,Dividende_je_Aktie!A3:S68,9,FALSE)/VLOOKUP(A23,Ergebnis_je_Aktie_verwässert!A3:S68,9,FALSE)</f>
        <v>1.1230769230769231</v>
      </c>
      <c r="J23" s="5">
        <f>VLOOKUP(A23,Dividende_je_Aktie!A3:S68,10,FALSE)/VLOOKUP(A23,Ergebnis_je_Aktie_verwässert!A3:S68,10,FALSE)</f>
        <v>1.26</v>
      </c>
      <c r="K23" s="5">
        <f>VLOOKUP(A23,Dividende_je_Aktie!A3:S68,11,FALSE)/VLOOKUP(A23,Ergebnis_je_Aktie_verwässert!A3:S68,11,FALSE)</f>
        <v>0.51724137931034486</v>
      </c>
      <c r="L23" s="5" t="e">
        <f>VLOOKUP(A23,Dividende_je_Aktie!A3:S68,12,FALSE)/VLOOKUP(A23,Ergebnis_je_Aktie_verwässert!A3:S68,12,FALSE)</f>
        <v>#DIV/0!</v>
      </c>
      <c r="M23" s="5" t="e">
        <f>VLOOKUP(A23,Dividende_je_Aktie!A3:S68,13,FALSE)/VLOOKUP(A23,Ergebnis_je_Aktie_verwässert!A3:S68,13,FALSE)</f>
        <v>#DIV/0!</v>
      </c>
      <c r="N23" s="5" t="e">
        <f>VLOOKUP(A23,Dividende_je_Aktie!A3:S68,14,FALSE)/VLOOKUP(A23,Ergebnis_je_Aktie_verwässert!A3:S68,14,FALSE)</f>
        <v>#DIV/0!</v>
      </c>
      <c r="O23" s="11">
        <f t="shared" si="1"/>
        <v>0.9673951280773917</v>
      </c>
      <c r="P23" s="4">
        <f t="shared" ca="1" si="2"/>
        <v>217</v>
      </c>
      <c r="Q23" s="4">
        <f t="shared" ca="1" si="0"/>
        <v>143</v>
      </c>
      <c r="R23" s="11">
        <f t="shared" ca="1" si="3"/>
        <v>0.84597349128055854</v>
      </c>
      <c r="S23" s="5">
        <f t="shared" ca="1" si="4"/>
        <v>-0.12551400484944286</v>
      </c>
    </row>
    <row r="24" spans="1:19" x14ac:dyDescent="0.25">
      <c r="A24" t="s">
        <v>42</v>
      </c>
      <c r="B24" t="s">
        <v>43</v>
      </c>
      <c r="C24" s="5">
        <f>VLOOKUP(A24,Dividende_je_Aktie!A3:S68,3,FALSE)/VLOOKUP(A24,Ergebnis_je_Aktie_verwässert!A3:S68,3,FALSE)</f>
        <v>0.58163265306122447</v>
      </c>
      <c r="D24" s="5">
        <f>VLOOKUP(A24,Dividende_je_Aktie!A3:S68,4,FALSE)/VLOOKUP(A24,Ergebnis_je_Aktie_verwässert!A3:S68,4,FALSE)</f>
        <v>0.5955056179775281</v>
      </c>
      <c r="E24" s="5">
        <f>VLOOKUP(A24,Dividende_je_Aktie!A3:S68,5,FALSE)/VLOOKUP(A24,Ergebnis_je_Aktie_verwässert!A3:S68,5,FALSE)</f>
        <v>0.58333333333333337</v>
      </c>
      <c r="F24" s="5">
        <f>VLOOKUP(A24,Dividende_je_Aktie!A3:S68,6,FALSE)/VLOOKUP(A24,Ergebnis_je_Aktie_verwässert!A3:S68,6,FALSE)</f>
        <v>0.60810810810810811</v>
      </c>
      <c r="G24" s="5">
        <f>VLOOKUP(A24,Dividende_je_Aktie!A3:S68,7,FALSE)/VLOOKUP(A24,Ergebnis_je_Aktie_verwässert!A3:S68,7,FALSE)</f>
        <v>0.4505494505494505</v>
      </c>
      <c r="H24" s="5">
        <f>VLOOKUP(A24,Dividende_je_Aktie!A3:S68,8,FALSE)/VLOOKUP(A24,Ergebnis_je_Aktie_verwässert!A3:S68,8,FALSE)</f>
        <v>0.5</v>
      </c>
      <c r="I24" s="5">
        <f>VLOOKUP(A24,Dividende_je_Aktie!A3:S68,9,FALSE)/VLOOKUP(A24,Ergebnis_je_Aktie_verwässert!A3:S68,9,FALSE)</f>
        <v>0.94117647058823528</v>
      </c>
      <c r="J24" s="5">
        <f>VLOOKUP(A24,Dividende_je_Aktie!A3:S68,10,FALSE)/VLOOKUP(A24,Ergebnis_je_Aktie_verwässert!A3:S68,10,FALSE)</f>
        <v>1.9787234042553195</v>
      </c>
      <c r="K24" s="5">
        <f>VLOOKUP(A24,Dividende_je_Aktie!A3:S68,11,FALSE)/VLOOKUP(A24,Ergebnis_je_Aktie_verwässert!A3:S68,11,FALSE)</f>
        <v>0.53374233128834359</v>
      </c>
      <c r="L24" s="5">
        <f>VLOOKUP(A24,Dividende_je_Aktie!A3:S68,12,FALSE)/VLOOKUP(A24,Ergebnis_je_Aktie_verwässert!A3:S68,12,FALSE)</f>
        <v>0.5467625899280576</v>
      </c>
      <c r="M24" s="5">
        <f>VLOOKUP(A24,Dividende_je_Aktie!A3:S68,13,FALSE)/VLOOKUP(A24,Ergebnis_je_Aktie_verwässert!A3:S68,13,FALSE)</f>
        <v>0.51111111111111107</v>
      </c>
      <c r="N24" s="5">
        <f>VLOOKUP(A24,Dividende_je_Aktie!A3:S68,14,FALSE)/VLOOKUP(A24,Ergebnis_je_Aktie_verwässert!A3:S68,14,FALSE)</f>
        <v>0.61682242990654201</v>
      </c>
      <c r="O24" s="11">
        <f t="shared" si="1"/>
        <v>0.72703292290685018</v>
      </c>
      <c r="P24" s="4">
        <f t="shared" ca="1" si="2"/>
        <v>217</v>
      </c>
      <c r="Q24" s="4">
        <f t="shared" ca="1" si="0"/>
        <v>143</v>
      </c>
      <c r="R24" s="11">
        <f t="shared" ca="1" si="3"/>
        <v>0.58714330301408957</v>
      </c>
      <c r="S24" s="5">
        <f t="shared" ca="1" si="4"/>
        <v>-0.19241167144597626</v>
      </c>
    </row>
    <row r="25" spans="1:19" x14ac:dyDescent="0.25">
      <c r="A25" t="s">
        <v>44</v>
      </c>
      <c r="B25" t="s">
        <v>45</v>
      </c>
      <c r="C25" s="5">
        <f>VLOOKUP(A25,Dividende_je_Aktie!A3:S68,3,FALSE)/VLOOKUP(A25,Ergebnis_je_Aktie_verwässert!A3:S68,3,FALSE)</f>
        <v>0.37942664418212479</v>
      </c>
      <c r="D25" s="5">
        <f>VLOOKUP(A25,Dividende_je_Aktie!A3:S68,4,FALSE)/VLOOKUP(A25,Ergebnis_je_Aktie_verwässert!A3:S68,4,FALSE)</f>
        <v>0.40269749518304426</v>
      </c>
      <c r="E25" s="5">
        <f>VLOOKUP(A25,Dividende_je_Aktie!A3:S68,5,FALSE)/VLOOKUP(A25,Ergebnis_je_Aktie_verwässert!A3:S68,5,FALSE)</f>
        <v>1.4568527918781726</v>
      </c>
      <c r="F25" s="5">
        <f>VLOOKUP(A25,Dividende_je_Aktie!A3:S68,6,FALSE)/VLOOKUP(A25,Ergebnis_je_Aktie_verwässert!A3:S68,6,FALSE)</f>
        <v>-1.6024844720496894</v>
      </c>
      <c r="G25" s="5">
        <f>VLOOKUP(A25,Dividende_je_Aktie!A3:S68,7,FALSE)/VLOOKUP(A25,Ergebnis_je_Aktie_verwässert!A3:S68,7,FALSE)</f>
        <v>0.6887417218543046</v>
      </c>
      <c r="H25" s="5">
        <f>VLOOKUP(A25,Dividende_je_Aktie!A3:S68,8,FALSE)/VLOOKUP(A25,Ergebnis_je_Aktie_verwässert!A3:S68,8,FALSE)</f>
        <v>0.21074380165289258</v>
      </c>
      <c r="I25" s="5">
        <f>VLOOKUP(A25,Dividende_je_Aktie!A3:S68,9,FALSE)/VLOOKUP(A25,Ergebnis_je_Aktie_verwässert!A3:S68,9,FALSE)</f>
        <v>0.36727272727272725</v>
      </c>
      <c r="J25" s="5">
        <f>VLOOKUP(A25,Dividende_je_Aktie!A3:S68,10,FALSE)/VLOOKUP(A25,Ergebnis_je_Aktie_verwässert!A3:S68,10,FALSE)</f>
        <v>0.58119658119658124</v>
      </c>
      <c r="K25" s="5">
        <f>VLOOKUP(A25,Dividende_je_Aktie!A3:S68,11,FALSE)/VLOOKUP(A25,Ergebnis_je_Aktie_verwässert!A3:S68,11,FALSE)</f>
        <v>0.24028268551236751</v>
      </c>
      <c r="L25" s="5">
        <f>VLOOKUP(A25,Dividende_je_Aktie!A3:S68,12,FALSE)/VLOOKUP(A25,Ergebnis_je_Aktie_verwässert!A3:S68,12,FALSE)</f>
        <v>0.18705035971223025</v>
      </c>
      <c r="M25" s="5">
        <f>VLOOKUP(A25,Dividende_je_Aktie!A3:S68,13,FALSE)/VLOOKUP(A25,Ergebnis_je_Aktie_verwässert!A3:S68,13,FALSE)</f>
        <v>0.20997375328083989</v>
      </c>
      <c r="N25" s="5">
        <f>VLOOKUP(A25,Dividende_je_Aktie!A3:S68,14,FALSE)/VLOOKUP(A25,Ergebnis_je_Aktie_verwässert!A3:S68,14,FALSE)</f>
        <v>0.37931034482758624</v>
      </c>
      <c r="O25" s="11">
        <f t="shared" si="1"/>
        <v>0.48015830746530025</v>
      </c>
      <c r="P25" s="4">
        <f t="shared" ca="1" si="2"/>
        <v>217</v>
      </c>
      <c r="Q25" s="4">
        <f t="shared" ca="1" si="0"/>
        <v>143</v>
      </c>
      <c r="R25" s="11">
        <f t="shared" ca="1" si="3"/>
        <v>0.38867034332971223</v>
      </c>
      <c r="S25" s="5">
        <f t="shared" ca="1" si="4"/>
        <v>-0.190537084776357</v>
      </c>
    </row>
    <row r="26" spans="1:19" x14ac:dyDescent="0.25">
      <c r="A26" t="s">
        <v>46</v>
      </c>
      <c r="B26" t="s">
        <v>47</v>
      </c>
      <c r="C26" s="5">
        <f>VLOOKUP(A26,Dividende_je_Aktie!A3:S68,3,FALSE)/VLOOKUP(A26,Ergebnis_je_Aktie_verwässert!A3:S68,3,FALSE)</f>
        <v>0.5</v>
      </c>
      <c r="D26" s="5">
        <f>VLOOKUP(A26,Dividende_je_Aktie!A3:S68,4,FALSE)/VLOOKUP(A26,Ergebnis_je_Aktie_verwässert!A3:S68,4,FALSE)</f>
        <v>0.50632911392405067</v>
      </c>
      <c r="E26" s="5">
        <f>VLOOKUP(A26,Dividende_je_Aktie!A3:S68,5,FALSE)/VLOOKUP(A26,Ergebnis_je_Aktie_verwässert!A3:S68,5,FALSE)</f>
        <v>0.30081300813008133</v>
      </c>
      <c r="F26" s="5">
        <f>VLOOKUP(A26,Dividende_je_Aktie!A3:S68,6,FALSE)/VLOOKUP(A26,Ergebnis_je_Aktie_verwässert!A3:S68,6,FALSE)</f>
        <v>0.55000000000000004</v>
      </c>
      <c r="G26" s="5">
        <f>VLOOKUP(A26,Dividende_je_Aktie!A3:S68,7,FALSE)/VLOOKUP(A26,Ergebnis_je_Aktie_verwässert!A3:S68,7,FALSE)</f>
        <v>0.20895522388059704</v>
      </c>
      <c r="H26" s="5">
        <f>VLOOKUP(A26,Dividende_je_Aktie!A3:S68,8,FALSE)/VLOOKUP(A26,Ergebnis_je_Aktie_verwässert!A3:S68,8,FALSE)</f>
        <v>-0.70000000000000007</v>
      </c>
      <c r="I26" s="5">
        <f>VLOOKUP(A26,Dividende_je_Aktie!A3:S68,9,FALSE)/VLOOKUP(A26,Ergebnis_je_Aktie_verwässert!A3:S68,9,FALSE)</f>
        <v>0.63636363636363646</v>
      </c>
      <c r="J26" s="5">
        <f>VLOOKUP(A26,Dividende_je_Aktie!A3:S68,10,FALSE)/VLOOKUP(A26,Ergebnis_je_Aktie_verwässert!A3:S68,10,FALSE)</f>
        <v>0.49107142857142855</v>
      </c>
      <c r="K26" s="5">
        <f>VLOOKUP(A26,Dividende_je_Aktie!A3:S68,11,FALSE)/VLOOKUP(A26,Ergebnis_je_Aktie_verwässert!A3:S68,11,FALSE)</f>
        <v>0.38888888888888884</v>
      </c>
      <c r="L26" s="5">
        <f>VLOOKUP(A26,Dividende_je_Aktie!A3:S68,12,FALSE)/VLOOKUP(A26,Ergebnis_je_Aktie_verwässert!A3:S68,12,FALSE)</f>
        <v>0.34862385321100914</v>
      </c>
      <c r="M26" s="5">
        <f>VLOOKUP(A26,Dividende_je_Aktie!A3:S68,13,FALSE)/VLOOKUP(A26,Ergebnis_je_Aktie_verwässert!A3:S68,13,FALSE)</f>
        <v>0.33653846153846151</v>
      </c>
      <c r="N26" s="5">
        <f>VLOOKUP(A26,Dividende_je_Aktie!A3:S68,14,FALSE)/VLOOKUP(A26,Ergebnis_je_Aktie_verwässert!A3:S68,14,FALSE)</f>
        <v>0.39436619718309862</v>
      </c>
      <c r="O26" s="11">
        <f t="shared" si="1"/>
        <v>0.4061800775296891</v>
      </c>
      <c r="P26" s="4">
        <f t="shared" ca="1" si="2"/>
        <v>217</v>
      </c>
      <c r="Q26" s="4">
        <f t="shared" ca="1" si="0"/>
        <v>143</v>
      </c>
      <c r="R26" s="11">
        <f t="shared" ca="1" si="3"/>
        <v>0.50251406469760895</v>
      </c>
      <c r="S26" s="5">
        <f t="shared" ca="1" si="4"/>
        <v>0.23717063562990348</v>
      </c>
    </row>
    <row r="27" spans="1:19" x14ac:dyDescent="0.25">
      <c r="A27" t="s">
        <v>48</v>
      </c>
      <c r="B27" t="s">
        <v>49</v>
      </c>
      <c r="C27" s="5">
        <f>VLOOKUP(A27,Dividende_je_Aktie!A3:S68,3,FALSE)/VLOOKUP(A27,Ergebnis_je_Aktie_verwässert!A3:S68,3,FALSE)</f>
        <v>0.52631578947368418</v>
      </c>
      <c r="D27" s="5">
        <f>VLOOKUP(A27,Dividende_je_Aktie!A3:S68,4,FALSE)/VLOOKUP(A27,Ergebnis_je_Aktie_verwässert!A3:S68,4,FALSE)</f>
        <v>0.52793296089385466</v>
      </c>
      <c r="E27" s="5">
        <f>VLOOKUP(A27,Dividende_je_Aktie!A3:S68,5,FALSE)/VLOOKUP(A27,Ergebnis_je_Aktie_verwässert!A3:S68,5,FALSE)</f>
        <v>0.69230769230769229</v>
      </c>
      <c r="F27" s="5">
        <f>VLOOKUP(A27,Dividende_je_Aktie!A3:S68,6,FALSE)/VLOOKUP(A27,Ergebnis_je_Aktie_verwässert!A3:S68,6,FALSE)</f>
        <v>0.40566037735849053</v>
      </c>
      <c r="G27" s="5">
        <f>VLOOKUP(A27,Dividende_je_Aktie!A3:S68,7,FALSE)/VLOOKUP(A27,Ergebnis_je_Aktie_verwässert!A3:S68,7,FALSE)</f>
        <v>0.3380281690140845</v>
      </c>
      <c r="H27" s="5">
        <f>VLOOKUP(A27,Dividende_je_Aktie!A3:S68,8,FALSE)/VLOOKUP(A27,Ergebnis_je_Aktie_verwässert!A3:S68,8,FALSE)</f>
        <v>0.51219512195121952</v>
      </c>
      <c r="I27" s="5">
        <f>VLOOKUP(A27,Dividende_je_Aktie!A3:S68,9,FALSE)/VLOOKUP(A27,Ergebnis_je_Aktie_verwässert!A3:S68,9,FALSE)</f>
        <v>0.81372549019607843</v>
      </c>
      <c r="J27" s="5">
        <f>VLOOKUP(A27,Dividende_je_Aktie!A3:S68,10,FALSE)/VLOOKUP(A27,Ergebnis_je_Aktie_verwässert!A3:S68,10,FALSE)</f>
        <v>0.37558685446009393</v>
      </c>
      <c r="K27" s="5">
        <f>VLOOKUP(A27,Dividende_je_Aktie!A3:S68,11,FALSE)/VLOOKUP(A27,Ergebnis_je_Aktie_verwässert!A3:S68,11,FALSE)</f>
        <v>0.28857715430861719</v>
      </c>
      <c r="L27" s="5">
        <f>VLOOKUP(A27,Dividende_je_Aktie!A3:S68,12,FALSE)/VLOOKUP(A27,Ergebnis_je_Aktie_verwässert!A3:S68,12,FALSE)</f>
        <v>0.32151898734177214</v>
      </c>
      <c r="M27" s="5">
        <f>VLOOKUP(A27,Dividende_je_Aktie!A3:S68,13,FALSE)/VLOOKUP(A27,Ergebnis_je_Aktie_verwässert!A3:S68,13,FALSE)</f>
        <v>0.29894179894179895</v>
      </c>
      <c r="N27" s="5" t="e">
        <f>VLOOKUP(A27,Dividende_je_Aktie!A3:S68,14,FALSE)/VLOOKUP(A27,Ergebnis_je_Aktie_verwässert!A3:S68,14,FALSE)</f>
        <v>#DIV/0!</v>
      </c>
      <c r="O27" s="11">
        <f t="shared" si="1"/>
        <v>0.44961573843109409</v>
      </c>
      <c r="P27" s="4">
        <f t="shared" ca="1" si="2"/>
        <v>217</v>
      </c>
      <c r="Q27" s="4">
        <f t="shared" ca="1" si="0"/>
        <v>143</v>
      </c>
      <c r="R27" s="11">
        <f t="shared" ca="1" si="3"/>
        <v>0.52695816589891853</v>
      </c>
      <c r="S27" s="5">
        <f t="shared" ca="1" si="4"/>
        <v>0.17201895053252803</v>
      </c>
    </row>
    <row r="28" spans="1:19" x14ac:dyDescent="0.25">
      <c r="A28" t="s">
        <v>50</v>
      </c>
      <c r="B28" t="s">
        <v>51</v>
      </c>
      <c r="C28" s="5">
        <f>VLOOKUP(A28,Dividende_je_Aktie!A3:S68,3,FALSE)/VLOOKUP(A28,Ergebnis_je_Aktie_verwässert!A3:S68,3,FALSE)</f>
        <v>1.8327974276527332</v>
      </c>
      <c r="D28" s="5">
        <f>VLOOKUP(A28,Dividende_je_Aktie!A3:S68,4,FALSE)/VLOOKUP(A28,Ergebnis_je_Aktie_verwässert!A3:S68,4,FALSE)</f>
        <v>4.9549549549549543E-2</v>
      </c>
      <c r="E28" s="5">
        <f>VLOOKUP(A28,Dividende_je_Aktie!A3:S68,5,FALSE)/VLOOKUP(A28,Ergebnis_je_Aktie_verwässert!A3:S68,5,FALSE)</f>
        <v>11.494252873563219</v>
      </c>
      <c r="F28" s="5">
        <f>VLOOKUP(A28,Dividende_je_Aktie!A3:S68,6,FALSE)/VLOOKUP(A28,Ergebnis_je_Aktie_verwässert!A3:S68,6,FALSE)</f>
        <v>0.67857142857142849</v>
      </c>
      <c r="G28" s="5">
        <f>VLOOKUP(A28,Dividende_je_Aktie!A3:S68,7,FALSE)/VLOOKUP(A28,Ergebnis_je_Aktie_verwässert!A3:S68,7,FALSE)</f>
        <v>0.59333333333333338</v>
      </c>
      <c r="H28" s="5">
        <f>VLOOKUP(A28,Dividende_je_Aktie!A3:S68,8,FALSE)/VLOOKUP(A28,Ergebnis_je_Aktie_verwässert!A3:S68,8,FALSE)</f>
        <v>0.51875000000000004</v>
      </c>
      <c r="I28" s="5">
        <f>VLOOKUP(A28,Dividende_je_Aktie!A3:S68,9,FALSE)/VLOOKUP(A28,Ergebnis_je_Aktie_verwässert!A3:S68,9,FALSE)</f>
        <v>0.93333333333333335</v>
      </c>
      <c r="J28" s="5">
        <f>VLOOKUP(A28,Dividende_je_Aktie!A3:S68,10,FALSE)/VLOOKUP(A28,Ergebnis_je_Aktie_verwässert!A3:S68,10,FALSE)</f>
        <v>0.57692307692307687</v>
      </c>
      <c r="K28" s="5">
        <f>VLOOKUP(A28,Dividende_je_Aktie!A3:S68,11,FALSE)/VLOOKUP(A28,Ergebnis_je_Aktie_verwässert!A3:S68,11,FALSE)</f>
        <v>-0.68</v>
      </c>
      <c r="L28" s="5">
        <f>VLOOKUP(A28,Dividende_je_Aktie!A3:S68,12,FALSE)/VLOOKUP(A28,Ergebnis_je_Aktie_verwässert!A3:S68,12,FALSE)</f>
        <v>-0.21785714285714283</v>
      </c>
      <c r="M28" s="5">
        <f>VLOOKUP(A28,Dividende_je_Aktie!A3:S68,13,FALSE)/VLOOKUP(A28,Ergebnis_je_Aktie_verwässert!A3:S68,13,FALSE)</f>
        <v>-0.36363636363636365</v>
      </c>
      <c r="N28" s="5">
        <f>VLOOKUP(A28,Dividende_je_Aktie!A3:S68,14,FALSE)/VLOOKUP(A28,Ergebnis_je_Aktie_verwässert!A3:S68,14,FALSE)</f>
        <v>-0.15384615384615385</v>
      </c>
      <c r="O28" s="11">
        <f t="shared" si="1"/>
        <v>2.465860674287399</v>
      </c>
      <c r="P28" s="4">
        <f t="shared" ca="1" si="2"/>
        <v>217</v>
      </c>
      <c r="Q28" s="4">
        <f t="shared" ca="1" si="0"/>
        <v>143</v>
      </c>
      <c r="R28" s="11">
        <f t="shared" ca="1" si="3"/>
        <v>1.1244517427395242</v>
      </c>
      <c r="S28" s="5">
        <f t="shared" ca="1" si="4"/>
        <v>-0.54399218314940856</v>
      </c>
    </row>
    <row r="29" spans="1:19" x14ac:dyDescent="0.25">
      <c r="A29" t="s">
        <v>52</v>
      </c>
      <c r="B29" t="s">
        <v>53</v>
      </c>
      <c r="C29" s="5">
        <f>VLOOKUP(A29,Dividende_je_Aktie!A3:S68,3,FALSE)/VLOOKUP(A29,Ergebnis_je_Aktie_verwässert!A3:S68,3,FALSE)</f>
        <v>0.6900584795321637</v>
      </c>
      <c r="D29" s="5">
        <f>VLOOKUP(A29,Dividende_je_Aktie!A3:S68,4,FALSE)/VLOOKUP(A29,Ergebnis_je_Aktie_verwässert!A3:S68,4,FALSE)</f>
        <v>0.6875</v>
      </c>
      <c r="E29" s="5">
        <f>VLOOKUP(A29,Dividende_je_Aktie!A3:S68,5,FALSE)/VLOOKUP(A29,Ergebnis_je_Aktie_verwässert!A3:S68,5,FALSE)</f>
        <v>0.6325301204819278</v>
      </c>
      <c r="F29" s="5">
        <f>VLOOKUP(A29,Dividende_je_Aktie!A3:S68,6,FALSE)/VLOOKUP(A29,Ergebnis_je_Aktie_verwässert!A3:S68,6,FALSE)</f>
        <v>0.6298701298701298</v>
      </c>
      <c r="G29" s="5">
        <f>VLOOKUP(A29,Dividende_je_Aktie!A3:S68,7,FALSE)/VLOOKUP(A29,Ergebnis_je_Aktie_verwässert!A3:S68,7,FALSE)</f>
        <v>0.61643835616438358</v>
      </c>
      <c r="H29" s="5">
        <f>VLOOKUP(A29,Dividende_je_Aktie!A3:S68,8,FALSE)/VLOOKUP(A29,Ergebnis_je_Aktie_verwässert!A3:S68,8,FALSE)</f>
        <v>0.56849315068493145</v>
      </c>
      <c r="I29" s="5">
        <f>VLOOKUP(A29,Dividende_je_Aktie!A3:S68,9,FALSE)/VLOOKUP(A29,Ergebnis_je_Aktie_verwässert!A3:S68,9,FALSE)</f>
        <v>0.39316239316239321</v>
      </c>
      <c r="J29" s="5">
        <f>VLOOKUP(A29,Dividende_je_Aktie!A3:S68,10,FALSE)/VLOOKUP(A29,Ergebnis_je_Aktie_verwässert!A3:S68,10,FALSE)</f>
        <v>0.44508670520231214</v>
      </c>
      <c r="K29" s="5">
        <f>VLOOKUP(A29,Dividende_je_Aktie!A3:S68,11,FALSE)/VLOOKUP(A29,Ergebnis_je_Aktie_verwässert!A3:S68,11,FALSE)</f>
        <v>0.5725190839694656</v>
      </c>
      <c r="L29" s="5">
        <f>VLOOKUP(A29,Dividende_je_Aktie!A3:S68,12,FALSE)/VLOOKUP(A29,Ergebnis_je_Aktie_verwässert!A3:S68,12,FALSE)</f>
        <v>0.6</v>
      </c>
      <c r="M29" s="5">
        <f>VLOOKUP(A29,Dividende_je_Aktie!A3:S68,13,FALSE)/VLOOKUP(A29,Ergebnis_je_Aktie_verwässert!A3:S68,13,FALSE)</f>
        <v>0.52800000000000002</v>
      </c>
      <c r="N29" s="5">
        <f>VLOOKUP(A29,Dividende_je_Aktie!A3:S68,14,FALSE)/VLOOKUP(A29,Ergebnis_je_Aktie_verwässert!A3:S68,14,FALSE)</f>
        <v>1.0161290322580645</v>
      </c>
      <c r="O29" s="11">
        <f t="shared" si="1"/>
        <v>0.60022289717936084</v>
      </c>
      <c r="P29" s="4">
        <f t="shared" ca="1" si="2"/>
        <v>217</v>
      </c>
      <c r="Q29" s="4">
        <f t="shared" ca="1" si="0"/>
        <v>143</v>
      </c>
      <c r="R29" s="11">
        <f t="shared" ca="1" si="3"/>
        <v>0.68904219460688754</v>
      </c>
      <c r="S29" s="5">
        <f t="shared" ca="1" si="4"/>
        <v>0.14797718954894412</v>
      </c>
    </row>
    <row r="30" spans="1:19" x14ac:dyDescent="0.25">
      <c r="A30" t="s">
        <v>54</v>
      </c>
      <c r="B30" t="s">
        <v>55</v>
      </c>
      <c r="C30" s="5">
        <f>VLOOKUP(A30,Dividende_je_Aktie!A3:S68,3,FALSE)/VLOOKUP(A30,Ergebnis_je_Aktie_verwässert!A3:S68,3,FALSE)</f>
        <v>0.67625899280575541</v>
      </c>
      <c r="D30" s="5">
        <f>VLOOKUP(A30,Dividende_je_Aktie!A3:S68,4,FALSE)/VLOOKUP(A30,Ergebnis_je_Aktie_verwässert!A3:S68,4,FALSE)</f>
        <v>0.69548872180451127</v>
      </c>
      <c r="E30" s="5">
        <f>VLOOKUP(A30,Dividende_je_Aktie!A3:S68,5,FALSE)/VLOOKUP(A30,Ergebnis_je_Aktie_verwässert!A3:S68,5,FALSE)</f>
        <v>0.53392330383480824</v>
      </c>
      <c r="F30" s="5">
        <f>VLOOKUP(A30,Dividende_je_Aktie!A3:S68,6,FALSE)/VLOOKUP(A30,Ergebnis_je_Aktie_verwässert!A3:S68,6,FALSE)</f>
        <v>1.4159999999999999</v>
      </c>
      <c r="G30" s="5">
        <f>VLOOKUP(A30,Dividende_je_Aktie!A3:S68,7,FALSE)/VLOOKUP(A30,Ergebnis_je_Aktie_verwässert!A3:S68,7,FALSE)</f>
        <v>2.606060606060606</v>
      </c>
      <c r="H30" s="5">
        <f>VLOOKUP(A30,Dividende_je_Aktie!A3:S68,8,FALSE)/VLOOKUP(A30,Ergebnis_je_Aktie_verwässert!A3:S68,8,FALSE)</f>
        <v>0.5014925373134328</v>
      </c>
      <c r="I30" s="5">
        <f>VLOOKUP(A30,Dividende_je_Aktie!A3:S68,9,FALSE)/VLOOKUP(A30,Ergebnis_je_Aktie_verwässert!A3:S68,9,FALSE)</f>
        <v>0.77830188679245271</v>
      </c>
      <c r="J30" s="5">
        <f>VLOOKUP(A30,Dividende_je_Aktie!A3:S68,10,FALSE)/VLOOKUP(A30,Ergebnis_je_Aktie_verwässert!A3:S68,10,FALSE)</f>
        <v>0.74537037037037035</v>
      </c>
      <c r="K30" s="5">
        <f>VLOOKUP(A30,Dividende_je_Aktie!A3:S68,11,FALSE)/VLOOKUP(A30,Ergebnis_je_Aktie_verwässert!A3:S68,11,FALSE)</f>
        <v>0.75773195876288657</v>
      </c>
      <c r="L30" s="5">
        <f>VLOOKUP(A30,Dividende_je_Aktie!A3:S68,12,FALSE)/VLOOKUP(A30,Ergebnis_je_Aktie_verwässert!A3:S68,12,FALSE)</f>
        <v>0.71428571428571441</v>
      </c>
      <c r="M30" s="5">
        <f>VLOOKUP(A30,Dividende_je_Aktie!A3:S68,13,FALSE)/VLOOKUP(A30,Ergebnis_je_Aktie_verwässert!A3:S68,13,FALSE)</f>
        <v>0.91549295774647899</v>
      </c>
      <c r="N30" s="5">
        <f>VLOOKUP(A30,Dividende_je_Aktie!A3:S68,14,FALSE)/VLOOKUP(A30,Ergebnis_je_Aktie_verwässert!A3:S68,14,FALSE)</f>
        <v>0.71186440677966101</v>
      </c>
      <c r="O30" s="11">
        <f t="shared" si="1"/>
        <v>0.96805237419464096</v>
      </c>
      <c r="P30" s="4">
        <f t="shared" ca="1" si="2"/>
        <v>217</v>
      </c>
      <c r="Q30" s="4">
        <f t="shared" ca="1" si="0"/>
        <v>143</v>
      </c>
      <c r="R30" s="11">
        <f t="shared" ca="1" si="3"/>
        <v>0.68389746849137234</v>
      </c>
      <c r="S30" s="5">
        <f t="shared" ca="1" si="4"/>
        <v>-0.29353257455689596</v>
      </c>
    </row>
    <row r="31" spans="1:19" x14ac:dyDescent="0.25">
      <c r="A31" t="s">
        <v>56</v>
      </c>
      <c r="B31" t="s">
        <v>57</v>
      </c>
      <c r="C31" s="5">
        <f>VLOOKUP(A31,Dividende_je_Aktie!A3:S68,3,FALSE)/VLOOKUP(A31,Ergebnis_je_Aktie_verwässert!A3:S68,3,FALSE)</f>
        <v>0.38596491228070179</v>
      </c>
      <c r="D31" s="5">
        <f>VLOOKUP(A31,Dividende_je_Aktie!A3:S68,4,FALSE)/VLOOKUP(A31,Ergebnis_je_Aktie_verwässert!A3:S68,4,FALSE)</f>
        <v>0.38256880733944953</v>
      </c>
      <c r="E31" s="5">
        <f>VLOOKUP(A31,Dividende_je_Aktie!A3:S68,5,FALSE)/VLOOKUP(A31,Ergebnis_je_Aktie_verwässert!A3:S68,5,FALSE)</f>
        <v>0.35166816952209196</v>
      </c>
      <c r="F31" s="5">
        <f>VLOOKUP(A31,Dividende_je_Aktie!A3:S68,6,FALSE)/VLOOKUP(A31,Ergebnis_je_Aktie_verwässert!A3:S68,6,FALSE)</f>
        <v>0.26351351351351349</v>
      </c>
      <c r="G31" s="5">
        <f>VLOOKUP(A31,Dividende_je_Aktie!A3:S68,7,FALSE)/VLOOKUP(A31,Ergebnis_je_Aktie_verwässert!A3:S68,7,FALSE)</f>
        <v>0.22991071428571427</v>
      </c>
      <c r="H31" s="5">
        <f>VLOOKUP(A31,Dividende_je_Aktie!A3:S68,8,FALSE)/VLOOKUP(A31,Ergebnis_je_Aktie_verwässert!A3:S68,8,FALSE)</f>
        <v>0.29957805907172991</v>
      </c>
      <c r="I31" s="5">
        <f>VLOOKUP(A31,Dividende_je_Aktie!A3:S68,9,FALSE)/VLOOKUP(A31,Ergebnis_je_Aktie_verwässert!A3:S68,9,FALSE)</f>
        <v>0.50763358778625955</v>
      </c>
      <c r="J31" s="5">
        <f>VLOOKUP(A31,Dividende_je_Aktie!A3:S68,10,FALSE)/VLOOKUP(A31,Ergebnis_je_Aktie_verwässert!A3:S68,10,FALSE)</f>
        <v>0.21679520137103683</v>
      </c>
      <c r="K31" s="5">
        <f>VLOOKUP(A31,Dividende_je_Aktie!A3:S68,11,FALSE)/VLOOKUP(A31,Ergebnis_je_Aktie_verwässert!A3:S68,11,FALSE)</f>
        <v>0.25769669327251993</v>
      </c>
      <c r="L31" s="5">
        <f>VLOOKUP(A31,Dividende_je_Aktie!A3:S68,12,FALSE)/VLOOKUP(A31,Ergebnis_je_Aktie_verwässert!A3:S68,12,FALSE)</f>
        <v>0.25769230769230766</v>
      </c>
      <c r="M31" s="5">
        <f>VLOOKUP(A31,Dividende_je_Aktie!A3:S68,13,FALSE)/VLOOKUP(A31,Ergebnis_je_Aktie_verwässert!A3:S68,13,FALSE)</f>
        <v>0.26758409785932724</v>
      </c>
      <c r="N31" s="5">
        <f>VLOOKUP(A31,Dividende_je_Aktie!A3:S68,14,FALSE)/VLOOKUP(A31,Ergebnis_je_Aktie_verwässert!A3:S68,14,FALSE)</f>
        <v>0.24363057324840764</v>
      </c>
      <c r="O31" s="11">
        <f t="shared" si="1"/>
        <v>0.28957029176229082</v>
      </c>
      <c r="P31" s="4">
        <f t="shared" ca="1" si="2"/>
        <v>217</v>
      </c>
      <c r="Q31" s="4">
        <f t="shared" ca="1" si="0"/>
        <v>143</v>
      </c>
      <c r="R31" s="11">
        <f t="shared" ca="1" si="3"/>
        <v>0.38461590392903772</v>
      </c>
      <c r="S31" s="5">
        <f t="shared" ca="1" si="4"/>
        <v>0.32822984563889634</v>
      </c>
    </row>
    <row r="32" spans="1:19" x14ac:dyDescent="0.25">
      <c r="A32" t="s">
        <v>58</v>
      </c>
      <c r="B32" t="s">
        <v>59</v>
      </c>
      <c r="C32" s="5">
        <f>VLOOKUP(A32,Dividende_je_Aktie!A3:S68,3,FALSE)/VLOOKUP(A32,Ergebnis_je_Aktie_verwässert!A3:S68,3,FALSE)</f>
        <v>0.5714285714285714</v>
      </c>
      <c r="D32" s="5">
        <f>VLOOKUP(A32,Dividende_je_Aktie!A3:S68,4,FALSE)/VLOOKUP(A32,Ergebnis_je_Aktie_verwässert!A3:S68,4,FALSE)</f>
        <v>0.59512195121951228</v>
      </c>
      <c r="E32" s="5">
        <f>VLOOKUP(A32,Dividende_je_Aktie!A3:S68,5,FALSE)/VLOOKUP(A32,Ergebnis_je_Aktie_verwässert!A3:S68,5,FALSE)</f>
        <v>0.58947368421052637</v>
      </c>
      <c r="F32" s="5">
        <f>VLOOKUP(A32,Dividende_je_Aktie!A3:S68,6,FALSE)/VLOOKUP(A32,Ergebnis_je_Aktie_verwässert!A3:S68,6,FALSE)</f>
        <v>0.51776649746192893</v>
      </c>
      <c r="G32" s="5">
        <f>VLOOKUP(A32,Dividende_je_Aktie!A3:S68,7,FALSE)/VLOOKUP(A32,Ergebnis_je_Aktie_verwässert!A3:S68,7,FALSE)</f>
        <v>0.50810810810810803</v>
      </c>
      <c r="H32" s="5">
        <f>VLOOKUP(A32,Dividende_je_Aktie!A3:S68,8,FALSE)/VLOOKUP(A32,Ergebnis_je_Aktie_verwässert!A3:S68,8,FALSE)</f>
        <v>0.53012048192771088</v>
      </c>
      <c r="I32" s="5">
        <f>VLOOKUP(A32,Dividende_je_Aktie!A3:S68,9,FALSE)/VLOOKUP(A32,Ergebnis_je_Aktie_verwässert!A3:S68,9,FALSE)</f>
        <v>0.55782312925170063</v>
      </c>
      <c r="J32" s="5">
        <f>VLOOKUP(A32,Dividende_je_Aktie!A3:S68,10,FALSE)/VLOOKUP(A32,Ergebnis_je_Aktie_verwässert!A3:S68,10,FALSE)</f>
        <v>0.60799999999999998</v>
      </c>
      <c r="K32" s="5">
        <f>VLOOKUP(A32,Dividende_je_Aktie!A3:S68,11,FALSE)/VLOOKUP(A32,Ergebnis_je_Aktie_verwässert!A3:S68,11,FALSE)</f>
        <v>0.52713178294573648</v>
      </c>
      <c r="L32" s="5">
        <f>VLOOKUP(A32,Dividende_je_Aktie!A3:S68,12,FALSE)/VLOOKUP(A32,Ergebnis_je_Aktie_verwässert!A3:S68,12,FALSE)</f>
        <v>0.57407407407407407</v>
      </c>
      <c r="M32" s="5">
        <f>VLOOKUP(A32,Dividende_je_Aktie!A3:S68,13,FALSE)/VLOOKUP(A32,Ergebnis_je_Aktie_verwässert!A3:S68,13,FALSE)</f>
        <v>0.5490196078431373</v>
      </c>
      <c r="N32" s="5">
        <f>VLOOKUP(A32,Dividende_je_Aktie!A3:S68,14,FALSE)/VLOOKUP(A32,Ergebnis_je_Aktie_verwässert!A3:S68,14,FALSE)</f>
        <v>0.5</v>
      </c>
      <c r="O32" s="11">
        <f t="shared" si="1"/>
        <v>0.54615173658229232</v>
      </c>
      <c r="P32" s="4">
        <f t="shared" ca="1" si="2"/>
        <v>217</v>
      </c>
      <c r="Q32" s="4">
        <f t="shared" ca="1" si="0"/>
        <v>143</v>
      </c>
      <c r="R32" s="11">
        <f t="shared" ca="1" si="3"/>
        <v>0.58084010840108402</v>
      </c>
      <c r="S32" s="5">
        <f t="shared" ca="1" si="4"/>
        <v>6.3514165561139757E-2</v>
      </c>
    </row>
    <row r="33" spans="1:19" x14ac:dyDescent="0.25">
      <c r="A33" t="s">
        <v>60</v>
      </c>
      <c r="B33" t="s">
        <v>61</v>
      </c>
      <c r="C33" s="5">
        <f>VLOOKUP(A33,Dividende_je_Aktie!A3:S68,3,FALSE)/VLOOKUP(A33,Ergebnis_je_Aktie_verwässert!A3:S68,3,FALSE)</f>
        <v>0.49221183800623058</v>
      </c>
      <c r="D33" s="5">
        <f>VLOOKUP(A33,Dividende_je_Aktie!A3:S68,4,FALSE)/VLOOKUP(A33,Ergebnis_je_Aktie_verwässert!A3:S68,4,FALSE)</f>
        <v>0.53874538745387457</v>
      </c>
      <c r="E33" s="5">
        <f>VLOOKUP(A33,Dividende_je_Aktie!A3:S68,5,FALSE)/VLOOKUP(A33,Ergebnis_je_Aktie_verwässert!A3:S68,5,FALSE)</f>
        <v>0.55882352941176472</v>
      </c>
      <c r="F33" s="5">
        <f>VLOOKUP(A33,Dividende_je_Aktie!A3:S68,6,FALSE)/VLOOKUP(A33,Ergebnis_je_Aktie_verwässert!A3:S68,6,FALSE)</f>
        <v>0.47286821705426352</v>
      </c>
      <c r="G33" s="5">
        <f>VLOOKUP(A33,Dividende_je_Aktie!A3:S68,7,FALSE)/VLOOKUP(A33,Ergebnis_je_Aktie_verwässert!A3:S68,7,FALSE)</f>
        <v>0.46153846153846145</v>
      </c>
      <c r="H33" s="5">
        <f>VLOOKUP(A33,Dividende_je_Aktie!A3:S68,8,FALSE)/VLOOKUP(A33,Ergebnis_je_Aktie_verwässert!A3:S68,8,FALSE)</f>
        <v>0.46976744186046515</v>
      </c>
      <c r="I33" s="5">
        <f>VLOOKUP(A33,Dividende_je_Aktie!A3:S68,9,FALSE)/VLOOKUP(A33,Ergebnis_je_Aktie_verwässert!A3:S68,9,FALSE)</f>
        <v>0.39269406392694062</v>
      </c>
      <c r="J33" s="5">
        <f>VLOOKUP(A33,Dividende_je_Aktie!A3:S68,10,FALSE)/VLOOKUP(A33,Ergebnis_je_Aktie_verwässert!A3:S68,10,FALSE)</f>
        <v>0.42622950819672129</v>
      </c>
      <c r="K33" s="5">
        <f>VLOOKUP(A33,Dividende_je_Aktie!A3:S68,11,FALSE)/VLOOKUP(A33,Ergebnis_je_Aktie_verwässert!A3:S68,11,FALSE)</f>
        <v>0.43749999999999994</v>
      </c>
      <c r="L33" s="5">
        <f>VLOOKUP(A33,Dividende_je_Aktie!A3:S68,12,FALSE)/VLOOKUP(A33,Ergebnis_je_Aktie_verwässert!A3:S68,12,FALSE)</f>
        <v>0.51219512195121952</v>
      </c>
      <c r="M33" s="5">
        <f>VLOOKUP(A33,Dividende_je_Aktie!A3:S68,13,FALSE)/VLOOKUP(A33,Ergebnis_je_Aktie_verwässert!A3:S68,13,FALSE)</f>
        <v>0.45901639344262302</v>
      </c>
      <c r="N33" s="5">
        <f>VLOOKUP(A33,Dividende_je_Aktie!A3:S68,14,FALSE)/VLOOKUP(A33,Ergebnis_je_Aktie_verwässert!A3:S68,14,FALSE)</f>
        <v>0.41025641025641024</v>
      </c>
      <c r="O33" s="11">
        <f t="shared" si="1"/>
        <v>0.46008891476388702</v>
      </c>
      <c r="P33" s="4">
        <f t="shared" ca="1" si="2"/>
        <v>217</v>
      </c>
      <c r="Q33" s="4">
        <f t="shared" ca="1" si="0"/>
        <v>143</v>
      </c>
      <c r="R33" s="11">
        <f t="shared" ca="1" si="3"/>
        <v>0.51069599792571141</v>
      </c>
      <c r="S33" s="5">
        <f t="shared" ca="1" si="4"/>
        <v>0.10999413708499239</v>
      </c>
    </row>
    <row r="34" spans="1:19" x14ac:dyDescent="0.25">
      <c r="A34" t="s">
        <v>62</v>
      </c>
      <c r="B34" t="s">
        <v>63</v>
      </c>
      <c r="C34" s="5">
        <f>VLOOKUP(A34,Dividende_je_Aktie!A3:S68,3,FALSE)/VLOOKUP(A34,Ergebnis_je_Aktie_verwässert!A3:S68,3,FALSE)</f>
        <v>0.42776203966005666</v>
      </c>
      <c r="D34" s="5">
        <f>VLOOKUP(A34,Dividende_je_Aktie!A3:S68,4,FALSE)/VLOOKUP(A34,Ergebnis_je_Aktie_verwässert!A3:S68,4,FALSE)</f>
        <v>0.48122866894197946</v>
      </c>
      <c r="E34" s="5">
        <f>VLOOKUP(A34,Dividende_je_Aktie!A3:S68,5,FALSE)/VLOOKUP(A34,Ergebnis_je_Aktie_verwässert!A3:S68,5,FALSE)</f>
        <v>0.34782608695652173</v>
      </c>
      <c r="F34" s="5">
        <f>VLOOKUP(A34,Dividende_je_Aktie!A3:S68,6,FALSE)/VLOOKUP(A34,Ergebnis_je_Aktie_verwässert!A3:S68,6,FALSE)</f>
        <v>1.7285714285714286</v>
      </c>
      <c r="G34" s="5">
        <f>VLOOKUP(A34,Dividende_je_Aktie!A3:S68,7,FALSE)/VLOOKUP(A34,Ergebnis_je_Aktie_verwässert!A3:S68,7,FALSE)</f>
        <v>0.4390243902439025</v>
      </c>
      <c r="H34" s="5">
        <f>VLOOKUP(A34,Dividende_je_Aktie!A3:S68,8,FALSE)/VLOOKUP(A34,Ergebnis_je_Aktie_verwässert!A3:S68,8,FALSE)</f>
        <v>0.34883720930232559</v>
      </c>
      <c r="I34" s="5">
        <f>VLOOKUP(A34,Dividende_je_Aktie!A3:S68,9,FALSE)/VLOOKUP(A34,Ergebnis_je_Aktie_verwässert!A3:S68,9,FALSE)</f>
        <v>1.875</v>
      </c>
      <c r="J34" s="5">
        <f>VLOOKUP(A34,Dividende_je_Aktie!A3:S68,10,FALSE)/VLOOKUP(A34,Ergebnis_je_Aktie_verwässert!A3:S68,10,FALSE)</f>
        <v>2.7096774193548385</v>
      </c>
      <c r="K34" s="5">
        <f>VLOOKUP(A34,Dividende_je_Aktie!A3:S68,11,FALSE)/VLOOKUP(A34,Ergebnis_je_Aktie_verwässert!A3:S68,11,FALSE)</f>
        <v>0.5317725752508361</v>
      </c>
      <c r="L34" s="5">
        <f>VLOOKUP(A34,Dividende_je_Aktie!A3:S68,12,FALSE)/VLOOKUP(A34,Ergebnis_je_Aktie_verwässert!A3:S68,12,FALSE)</f>
        <v>0.38219895287958117</v>
      </c>
      <c r="M34" s="5">
        <f>VLOOKUP(A34,Dividende_je_Aktie!A3:S68,13,FALSE)/VLOOKUP(A34,Ergebnis_je_Aktie_verwässert!A3:S68,13,FALSE)</f>
        <v>0.29004329004329005</v>
      </c>
      <c r="N34" s="5">
        <f>VLOOKUP(A34,Dividende_je_Aktie!A3:S68,14,FALSE)/VLOOKUP(A34,Ergebnis_je_Aktie_verwässert!A3:S68,14,FALSE)</f>
        <v>0.45733788395904434</v>
      </c>
      <c r="O34" s="11">
        <f t="shared" si="1"/>
        <v>0.91102892365617671</v>
      </c>
      <c r="P34" s="4">
        <f t="shared" ca="1" si="2"/>
        <v>217</v>
      </c>
      <c r="Q34" s="4">
        <f t="shared" ca="1" si="0"/>
        <v>143</v>
      </c>
      <c r="R34" s="11">
        <f t="shared" ca="1" si="3"/>
        <v>0.44900017295815375</v>
      </c>
      <c r="S34" s="5">
        <f t="shared" ca="1" si="4"/>
        <v>-0.50715047426133431</v>
      </c>
    </row>
    <row r="35" spans="1:19" x14ac:dyDescent="0.25">
      <c r="A35" t="s">
        <v>64</v>
      </c>
      <c r="B35" t="s">
        <v>65</v>
      </c>
      <c r="C35" s="5">
        <f>VLOOKUP(A35,Dividende_je_Aktie!A3:S68,3,FALSE)/VLOOKUP(A35,Ergebnis_je_Aktie_verwässert!A3:S68,3,FALSE)</f>
        <v>0.36329113924050632</v>
      </c>
      <c r="D35" s="5">
        <f>VLOOKUP(A35,Dividende_je_Aktie!A3:S68,4,FALSE)/VLOOKUP(A35,Ergebnis_je_Aktie_verwässert!A3:S68,4,FALSE)</f>
        <v>0.33924050632911396</v>
      </c>
      <c r="E35" s="5">
        <f>VLOOKUP(A35,Dividende_je_Aktie!A3:S68,5,FALSE)/VLOOKUP(A35,Ergebnis_je_Aktie_verwässert!A3:S68,5,FALSE)</f>
        <v>0.3337856173677069</v>
      </c>
      <c r="F35" s="5">
        <f>VLOOKUP(A35,Dividende_je_Aktie!A3:S68,6,FALSE)/VLOOKUP(A35,Ergebnis_je_Aktie_verwässert!A3:S68,6,FALSE)</f>
        <v>0.22474226804123715</v>
      </c>
      <c r="G35" s="5">
        <f>VLOOKUP(A35,Dividende_je_Aktie!A3:S68,7,FALSE)/VLOOKUP(A35,Ergebnis_je_Aktie_verwässert!A3:S68,7,FALSE)</f>
        <v>0.21971496437054633</v>
      </c>
      <c r="H35" s="5">
        <f>VLOOKUP(A35,Dividende_je_Aktie!A3:S68,8,FALSE)/VLOOKUP(A35,Ergebnis_je_Aktie_verwässert!A3:S68,8,FALSE)</f>
        <v>0.27974276527331193</v>
      </c>
      <c r="I35" s="5">
        <f>VLOOKUP(A35,Dividende_je_Aktie!A3:S68,9,FALSE)/VLOOKUP(A35,Ergebnis_je_Aktie_verwässert!A3:S68,9,FALSE)</f>
        <v>0.41708542713567837</v>
      </c>
      <c r="J35" s="5">
        <f>VLOOKUP(A35,Dividende_je_Aktie!A3:S68,10,FALSE)/VLOOKUP(A35,Ergebnis_je_Aktie_verwässert!A3:S68,10,FALSE)</f>
        <v>0.17836593785960875</v>
      </c>
      <c r="K35" s="5">
        <f>VLOOKUP(A35,Dividende_je_Aktie!A3:S68,11,FALSE)/VLOOKUP(A35,Ergebnis_je_Aktie_verwässert!A3:S68,11,FALSE)</f>
        <v>0.18818681318681318</v>
      </c>
      <c r="L35" s="5">
        <f>VLOOKUP(A35,Dividende_je_Aktie!A3:S68,12,FALSE)/VLOOKUP(A35,Ergebnis_je_Aktie_verwässert!A3:S68,12,FALSE)</f>
        <v>0.19335347432024169</v>
      </c>
      <c r="M35" s="5">
        <f>VLOOKUP(A35,Dividende_je_Aktie!A3:S68,13,FALSE)/VLOOKUP(A35,Ergebnis_je_Aktie_verwässert!A3:S68,13,FALSE)</f>
        <v>0.19964973730297722</v>
      </c>
      <c r="N35" s="5">
        <f>VLOOKUP(A35,Dividende_je_Aktie!A3:S68,14,FALSE)/VLOOKUP(A35,Ergebnis_je_Aktie_verwässert!A3:S68,14,FALSE)</f>
        <v>0.27249357326478152</v>
      </c>
      <c r="O35" s="11">
        <f t="shared" si="1"/>
        <v>0.25071205781229028</v>
      </c>
      <c r="P35" s="4">
        <f t="shared" ca="1" si="2"/>
        <v>217</v>
      </c>
      <c r="Q35" s="4">
        <f t="shared" ca="1" si="0"/>
        <v>143</v>
      </c>
      <c r="R35" s="11">
        <f t="shared" ca="1" si="3"/>
        <v>0.3537376933895921</v>
      </c>
      <c r="S35" s="5">
        <f t="shared" ca="1" si="4"/>
        <v>0.4109321126247456</v>
      </c>
    </row>
    <row r="36" spans="1:19" x14ac:dyDescent="0.25">
      <c r="A36" t="s">
        <v>66</v>
      </c>
      <c r="B36" t="s">
        <v>67</v>
      </c>
      <c r="C36" s="5">
        <f>VLOOKUP(A36,Dividende_je_Aktie!A3:S68,3,FALSE)/VLOOKUP(A36,Ergebnis_je_Aktie_verwässert!A3:S68,3,FALSE)</f>
        <v>0.48863636363636365</v>
      </c>
      <c r="D36" s="5">
        <f>VLOOKUP(A36,Dividende_je_Aktie!A3:S68,4,FALSE)/VLOOKUP(A36,Ergebnis_je_Aktie_verwässert!A3:S68,4,FALSE)</f>
        <v>0.5816993464052288</v>
      </c>
      <c r="E36" s="5">
        <f>VLOOKUP(A36,Dividende_je_Aktie!A3:S68,5,FALSE)/VLOOKUP(A36,Ergebnis_je_Aktie_verwässert!A3:S68,5,FALSE)</f>
        <v>0.62204724409448819</v>
      </c>
      <c r="F36" s="5">
        <f>VLOOKUP(A36,Dividende_je_Aktie!A3:S68,6,FALSE)/VLOOKUP(A36,Ergebnis_je_Aktie_verwässert!A3:S68,6,FALSE)</f>
        <v>0.54263565891472865</v>
      </c>
      <c r="G36" s="5">
        <f>VLOOKUP(A36,Dividende_je_Aktie!A3:S68,7,FALSE)/VLOOKUP(A36,Ergebnis_je_Aktie_verwässert!A3:S68,7,FALSE)</f>
        <v>0.49593495934959347</v>
      </c>
      <c r="H36" s="5">
        <f>VLOOKUP(A36,Dividende_je_Aktie!A3:S68,8,FALSE)/VLOOKUP(A36,Ergebnis_je_Aktie_verwässert!A3:S68,8,FALSE)</f>
        <v>0.43396226415094341</v>
      </c>
      <c r="I36" s="5">
        <f>VLOOKUP(A36,Dividende_je_Aktie!A3:S68,9,FALSE)/VLOOKUP(A36,Ergebnis_je_Aktie_verwässert!A3:S68,9,FALSE)</f>
        <v>0.60396039603960394</v>
      </c>
      <c r="J36" s="5">
        <f>VLOOKUP(A36,Dividende_je_Aktie!A3:S68,10,FALSE)/VLOOKUP(A36,Ergebnis_je_Aktie_verwässert!A3:S68,10,FALSE)</f>
        <v>0.72093023255813959</v>
      </c>
      <c r="K36" s="5">
        <f>VLOOKUP(A36,Dividende_je_Aktie!A3:S68,11,FALSE)/VLOOKUP(A36,Ergebnis_je_Aktie_verwässert!A3:S68,11,FALSE)</f>
        <v>0.52995391705069117</v>
      </c>
      <c r="L36" s="5">
        <f>VLOOKUP(A36,Dividende_je_Aktie!A3:S68,12,FALSE)/VLOOKUP(A36,Ergebnis_je_Aktie_verwässert!A3:S68,12,FALSE)</f>
        <v>0.51500000000000001</v>
      </c>
      <c r="M36" s="5">
        <f>VLOOKUP(A36,Dividende_je_Aktie!A3:S68,13,FALSE)/VLOOKUP(A36,Ergebnis_je_Aktie_verwässert!A3:S68,13,FALSE)</f>
        <v>0.59090909090909094</v>
      </c>
      <c r="N36" s="5">
        <f>VLOOKUP(A36,Dividende_je_Aktie!A3:S68,14,FALSE)/VLOOKUP(A36,Ergebnis_je_Aktie_verwässert!A3:S68,14,FALSE)</f>
        <v>0.51572327044025157</v>
      </c>
      <c r="O36" s="11">
        <f t="shared" si="1"/>
        <v>0.55710570335075305</v>
      </c>
      <c r="P36" s="4">
        <f t="shared" ca="1" si="2"/>
        <v>217</v>
      </c>
      <c r="Q36" s="4">
        <f t="shared" ref="Q36:Q68" ca="1" si="5">DAYS360(TODAY(),CONCATENATE("31.12.",Q$2))</f>
        <v>143</v>
      </c>
      <c r="R36" s="11">
        <f t="shared" ca="1" si="3"/>
        <v>0.52560304845844064</v>
      </c>
      <c r="S36" s="5">
        <f t="shared" ca="1" si="4"/>
        <v>-5.6546997639473795E-2</v>
      </c>
    </row>
    <row r="37" spans="1:19" x14ac:dyDescent="0.25">
      <c r="A37" t="s">
        <v>68</v>
      </c>
      <c r="B37" t="s">
        <v>69</v>
      </c>
      <c r="C37" s="5">
        <f>VLOOKUP(A37,Dividende_je_Aktie!A3:S68,3,FALSE)/VLOOKUP(A37,Ergebnis_je_Aktie_verwässert!A3:S68,3,FALSE)</f>
        <v>0.14226190476190476</v>
      </c>
      <c r="D37" s="5">
        <f>VLOOKUP(A37,Dividende_je_Aktie!A3:S68,4,FALSE)/VLOOKUP(A37,Ergebnis_je_Aktie_verwässert!A3:S68,4,FALSE)</f>
        <v>0.1391304347826087</v>
      </c>
      <c r="E37" s="5">
        <f>VLOOKUP(A37,Dividende_je_Aktie!A3:S68,5,FALSE)/VLOOKUP(A37,Ergebnis_je_Aktie_verwässert!A3:S68,5,FALSE)</f>
        <v>0.13260025873221215</v>
      </c>
      <c r="F37" s="5">
        <f>VLOOKUP(A37,Dividende_je_Aktie!A3:S68,6,FALSE)/VLOOKUP(A37,Ergebnis_je_Aktie_verwässert!A3:S68,6,FALSE)</f>
        <v>0.12526539278131635</v>
      </c>
      <c r="G37" s="5">
        <f>VLOOKUP(A37,Dividende_je_Aktie!A3:S68,7,FALSE)/VLOOKUP(A37,Ergebnis_je_Aktie_verwässert!A3:S68,7,FALSE)</f>
        <v>0.31042128603104213</v>
      </c>
      <c r="H37" s="5">
        <f>VLOOKUP(A37,Dividende_je_Aktie!A3:S68,8,FALSE)/VLOOKUP(A37,Ergebnis_je_Aktie_verwässert!A3:S68,8,FALSE)</f>
        <v>0.1062215477996965</v>
      </c>
      <c r="I37" s="5">
        <f>VLOOKUP(A37,Dividende_je_Aktie!A3:S68,9,FALSE)/VLOOKUP(A37,Ergebnis_je_Aktie_verwässert!A3:S68,9,FALSE)</f>
        <v>4.7446904654315412E-2</v>
      </c>
      <c r="J37" s="5">
        <f>VLOOKUP(A37,Dividende_je_Aktie!A3:S68,10,FALSE)/VLOOKUP(A37,Ergebnis_je_Aktie_verwässert!A3:S68,10,FALSE)</f>
        <v>0.31319910514541388</v>
      </c>
      <c r="K37" s="5">
        <f>VLOOKUP(A37,Dividende_je_Aktie!A3:S68,11,FALSE)/VLOOKUP(A37,Ergebnis_je_Aktie_verwässert!A3:S68,11,FALSE)</f>
        <v>5.6611403154063884E-2</v>
      </c>
      <c r="L37" s="5">
        <f>VLOOKUP(A37,Dividende_je_Aktie!A3:S68,12,FALSE)/VLOOKUP(A37,Ergebnis_je_Aktie_verwässert!A3:S68,12,FALSE)</f>
        <v>6.6023362112747591E-2</v>
      </c>
      <c r="M37" s="5">
        <f>VLOOKUP(A37,Dividende_je_Aktie!A3:S68,13,FALSE)/VLOOKUP(A37,Ergebnis_je_Aktie_verwässert!A3:S68,13,FALSE)</f>
        <v>8.9206066012488844E-2</v>
      </c>
      <c r="N37" s="5">
        <f>VLOOKUP(A37,Dividende_je_Aktie!A3:S68,14,FALSE)/VLOOKUP(A37,Ergebnis_je_Aktie_verwässert!A3:S68,14,FALSE)</f>
        <v>0.11210762331838565</v>
      </c>
      <c r="O37" s="11">
        <f t="shared" si="1"/>
        <v>0.13591029497416823</v>
      </c>
      <c r="P37" s="4">
        <f t="shared" ca="1" si="2"/>
        <v>217</v>
      </c>
      <c r="Q37" s="4">
        <f t="shared" ca="1" si="5"/>
        <v>143</v>
      </c>
      <c r="R37" s="11">
        <f t="shared" ca="1" si="3"/>
        <v>0.14101801529790658</v>
      </c>
      <c r="S37" s="5">
        <f t="shared" ca="1" si="4"/>
        <v>3.7581555721802662E-2</v>
      </c>
    </row>
    <row r="38" spans="1:19" x14ac:dyDescent="0.25">
      <c r="A38" t="s">
        <v>70</v>
      </c>
      <c r="B38" t="s">
        <v>71</v>
      </c>
      <c r="C38" s="5">
        <f>VLOOKUP(A38,Dividende_je_Aktie!A3:S68,3,FALSE)/VLOOKUP(A38,Ergebnis_je_Aktie_verwässert!A3:S68,3,FALSE)</f>
        <v>0.24285714285714285</v>
      </c>
      <c r="D38" s="5">
        <f>VLOOKUP(A38,Dividende_je_Aktie!A3:S68,4,FALSE)/VLOOKUP(A38,Ergebnis_je_Aktie_verwässert!A3:S68,4,FALSE)</f>
        <v>0.24733727810650888</v>
      </c>
      <c r="E38" s="5">
        <f>VLOOKUP(A38,Dividende_je_Aktie!A3:S68,5,FALSE)/VLOOKUP(A38,Ergebnis_je_Aktie_verwässert!A3:S68,5,FALSE)</f>
        <v>0.24765729585006696</v>
      </c>
      <c r="F38" s="5">
        <f>VLOOKUP(A38,Dividende_je_Aktie!A3:S68,6,FALSE)/VLOOKUP(A38,Ergebnis_je_Aktie_verwässert!A3:S68,6,FALSE)</f>
        <v>0.22964509394572025</v>
      </c>
      <c r="G38" s="5">
        <f>VLOOKUP(A38,Dividende_je_Aktie!A3:S68,7,FALSE)/VLOOKUP(A38,Ergebnis_je_Aktie_verwässert!A3:S68,7,FALSE)</f>
        <v>0.22205206738131697</v>
      </c>
      <c r="H38" s="5">
        <f>VLOOKUP(A38,Dividende_je_Aktie!A3:S68,8,FALSE)/VLOOKUP(A38,Ergebnis_je_Aktie_verwässert!A3:S68,8,FALSE)</f>
        <v>0.2170138888888889</v>
      </c>
      <c r="I38" s="5">
        <f>VLOOKUP(A38,Dividende_je_Aktie!A3:S68,9,FALSE)/VLOOKUP(A38,Ergebnis_je_Aktie_verwässert!A3:S68,9,FALSE)</f>
        <v>0.21478521478521478</v>
      </c>
      <c r="J38" s="5">
        <f>VLOOKUP(A38,Dividende_je_Aktie!A3:S68,10,FALSE)/VLOOKUP(A38,Ergebnis_je_Aktie_verwässert!A3:S68,10,FALSE)</f>
        <v>0.21276595744680851</v>
      </c>
      <c r="K38" s="5">
        <f>VLOOKUP(A38,Dividende_je_Aktie!A3:S68,11,FALSE)/VLOOKUP(A38,Ergebnis_je_Aktie_verwässert!A3:S68,11,FALSE)</f>
        <v>0.20891364902506965</v>
      </c>
      <c r="L38" s="5">
        <f>VLOOKUP(A38,Dividende_je_Aktie!A3:S68,12,FALSE)/VLOOKUP(A38,Ergebnis_je_Aktie_verwässert!A3:S68,12,FALSE)</f>
        <v>0.18003273322422259</v>
      </c>
      <c r="M38" s="5">
        <f>VLOOKUP(A38,Dividende_je_Aktie!A3:S68,13,FALSE)/VLOOKUP(A38,Ergebnis_je_Aktie_verwässert!A3:S68,13,FALSE)</f>
        <v>0.1598360655737705</v>
      </c>
      <c r="N38" s="5">
        <f>VLOOKUP(A38,Dividende_je_Aktie!A3:S68,14,FALSE)/VLOOKUP(A38,Ergebnis_je_Aktie_verwässert!A3:S68,14,FALSE)</f>
        <v>0.14198782961460446</v>
      </c>
      <c r="O38" s="11">
        <f t="shared" si="1"/>
        <v>0.20346897957356838</v>
      </c>
      <c r="P38" s="4">
        <f t="shared" ca="1" si="2"/>
        <v>217</v>
      </c>
      <c r="Q38" s="4">
        <f t="shared" ca="1" si="5"/>
        <v>143</v>
      </c>
      <c r="R38" s="11">
        <f t="shared" ca="1" si="3"/>
        <v>0.24463675213675212</v>
      </c>
      <c r="S38" s="5">
        <f t="shared" ca="1" si="4"/>
        <v>0.20232947867268725</v>
      </c>
    </row>
    <row r="39" spans="1:19" x14ac:dyDescent="0.25">
      <c r="A39" t="s">
        <v>72</v>
      </c>
      <c r="B39" t="s">
        <v>73</v>
      </c>
      <c r="C39" s="5">
        <f>VLOOKUP(A39,Dividende_je_Aktie!A3:S68,3,FALSE)/VLOOKUP(A39,Ergebnis_je_Aktie_verwässert!A3:S68,3,FALSE)</f>
        <v>0.28764805414551609</v>
      </c>
      <c r="D39" s="5">
        <f>VLOOKUP(A39,Dividende_je_Aktie!A3:S68,4,FALSE)/VLOOKUP(A39,Ergebnis_je_Aktie_verwässert!A3:S68,4,FALSE)</f>
        <v>0.28702010968921393</v>
      </c>
      <c r="E39" s="5">
        <f>VLOOKUP(A39,Dividende_je_Aktie!A3:S68,5,FALSE)/VLOOKUP(A39,Ergebnis_je_Aktie_verwässert!A3:S68,5,FALSE)</f>
        <v>0.33103448275862069</v>
      </c>
      <c r="F39" s="5">
        <f>VLOOKUP(A39,Dividende_je_Aktie!A3:S68,6,FALSE)/VLOOKUP(A39,Ergebnis_je_Aktie_verwässert!A3:S68,6,FALSE)</f>
        <v>0.23076923076923075</v>
      </c>
      <c r="G39" s="5">
        <f>VLOOKUP(A39,Dividende_je_Aktie!A3:S68,7,FALSE)/VLOOKUP(A39,Ergebnis_je_Aktie_verwässert!A3:S68,7,FALSE)</f>
        <v>0.2232142857142857</v>
      </c>
      <c r="H39" s="5">
        <f>VLOOKUP(A39,Dividende_je_Aktie!A3:S68,8,FALSE)/VLOOKUP(A39,Ergebnis_je_Aktie_verwässert!A3:S68,8,FALSE)</f>
        <v>5.0505050505050511E-2</v>
      </c>
      <c r="I39" s="5">
        <f>VLOOKUP(A39,Dividende_je_Aktie!A3:S68,9,FALSE)/VLOOKUP(A39,Ergebnis_je_Aktie_verwässert!A3:S68,9,FALSE)</f>
        <v>8.8495575221238951E-2</v>
      </c>
      <c r="J39" s="5">
        <f>VLOOKUP(A39,Dividende_je_Aktie!A3:S68,10,FALSE)/VLOOKUP(A39,Ergebnis_je_Aktie_verwässert!A3:S68,10,FALSE)</f>
        <v>1.1094890510948905</v>
      </c>
      <c r="K39" s="5">
        <f>VLOOKUP(A39,Dividende_je_Aktie!A3:S68,11,FALSE)/VLOOKUP(A39,Ergebnis_je_Aktie_verwässert!A3:S68,11,FALSE)</f>
        <v>0.33789954337899542</v>
      </c>
      <c r="L39" s="5">
        <f>VLOOKUP(A39,Dividende_je_Aktie!A3:S68,12,FALSE)/VLOOKUP(A39,Ergebnis_je_Aktie_verwässert!A3:S68,12,FALSE)</f>
        <v>0.33663366336633666</v>
      </c>
      <c r="M39" s="5">
        <f>VLOOKUP(A39,Dividende_je_Aktie!A3:S68,13,FALSE)/VLOOKUP(A39,Ergebnis_je_Aktie_verwässert!A3:S68,13,FALSE)</f>
        <v>0.57142857142857151</v>
      </c>
      <c r="N39" s="5">
        <f>VLOOKUP(A39,Dividende_je_Aktie!A3:S68,14,FALSE)/VLOOKUP(A39,Ergebnis_je_Aktie_verwässert!A3:S68,14,FALSE)</f>
        <v>0.8774193548387097</v>
      </c>
      <c r="O39" s="11">
        <f t="shared" si="1"/>
        <v>0.41568888090759304</v>
      </c>
      <c r="P39" s="4">
        <f t="shared" ca="1" si="2"/>
        <v>217</v>
      </c>
      <c r="Q39" s="4">
        <f t="shared" ca="1" si="5"/>
        <v>143</v>
      </c>
      <c r="R39" s="11">
        <f t="shared" ca="1" si="3"/>
        <v>0.28739862065315158</v>
      </c>
      <c r="S39" s="5">
        <f t="shared" ca="1" si="4"/>
        <v>-0.30862086080902451</v>
      </c>
    </row>
    <row r="40" spans="1:19" x14ac:dyDescent="0.25">
      <c r="A40" t="s">
        <v>74</v>
      </c>
      <c r="B40" t="s">
        <v>75</v>
      </c>
      <c r="C40" s="5">
        <f>VLOOKUP(A40,Dividende_je_Aktie!A3:S68,3,FALSE)/VLOOKUP(A40,Ergebnis_je_Aktie_verwässert!A3:S68,3,FALSE)</f>
        <v>0.45614035087719301</v>
      </c>
      <c r="D40" s="5">
        <f>VLOOKUP(A40,Dividende_je_Aktie!A3:S68,4,FALSE)/VLOOKUP(A40,Ergebnis_je_Aktie_verwässert!A3:S68,4,FALSE)</f>
        <v>0.46945898778359507</v>
      </c>
      <c r="E40" s="5">
        <f>VLOOKUP(A40,Dividende_je_Aktie!A3:S68,5,FALSE)/VLOOKUP(A40,Ergebnis_je_Aktie_verwässert!A3:S68,5,FALSE)</f>
        <v>0.53846153846153844</v>
      </c>
      <c r="F40" s="5">
        <f>VLOOKUP(A40,Dividende_je_Aktie!A3:S68,6,FALSE)/VLOOKUP(A40,Ergebnis_je_Aktie_verwässert!A3:S68,6,FALSE)</f>
        <v>0.62176165803108807</v>
      </c>
      <c r="G40" s="5">
        <f>VLOOKUP(A40,Dividende_je_Aktie!A3:S68,7,FALSE)/VLOOKUP(A40,Ergebnis_je_Aktie_verwässert!A3:S68,7,FALSE)</f>
        <v>0.64469914040114606</v>
      </c>
      <c r="H40" s="5">
        <f>VLOOKUP(A40,Dividende_je_Aktie!A3:S68,8,FALSE)/VLOOKUP(A40,Ergebnis_je_Aktie_verwässert!A3:S68,8,FALSE)</f>
        <v>0.44142259414225937</v>
      </c>
      <c r="I40" s="5">
        <f>VLOOKUP(A40,Dividende_je_Aktie!A3:S68,9,FALSE)/VLOOKUP(A40,Ergebnis_je_Aktie_verwässert!A3:S68,9,FALSE)</f>
        <v>0.4386363636363636</v>
      </c>
      <c r="J40" s="5">
        <f>VLOOKUP(A40,Dividende_je_Aktie!A3:S68,10,FALSE)/VLOOKUP(A40,Ergebnis_je_Aktie_verwässert!A3:S68,10,FALSE)</f>
        <v>0.39168490153172864</v>
      </c>
      <c r="K40" s="5">
        <f>VLOOKUP(A40,Dividende_je_Aktie!A3:S68,11,FALSE)/VLOOKUP(A40,Ergebnis_je_Aktie_verwässert!A3:S68,11,FALSE)</f>
        <v>0.44628099173553726</v>
      </c>
      <c r="L40" s="5">
        <f>VLOOKUP(A40,Dividende_je_Aktie!A3:S68,12,FALSE)/VLOOKUP(A40,Ergebnis_je_Aktie_verwässert!A3:S68,12,FALSE)</f>
        <v>0.39142091152815012</v>
      </c>
      <c r="M40" s="5">
        <f>VLOOKUP(A40,Dividende_je_Aktie!A3:S68,13,FALSE)/VLOOKUP(A40,Ergebnis_je_Aktie_verwässert!A3:S68,13,FALSE)</f>
        <v>0.36705202312138729</v>
      </c>
      <c r="N40" s="5">
        <f>VLOOKUP(A40,Dividende_je_Aktie!A3:S68,14,FALSE)/VLOOKUP(A40,Ergebnis_je_Aktie_verwässert!A3:S68,14,FALSE)</f>
        <v>0.38380281690140849</v>
      </c>
      <c r="O40" s="11">
        <f t="shared" si="1"/>
        <v>0.46652229394906081</v>
      </c>
      <c r="P40" s="4">
        <f t="shared" ca="1" si="2"/>
        <v>217</v>
      </c>
      <c r="Q40" s="4">
        <f t="shared" ca="1" si="5"/>
        <v>143</v>
      </c>
      <c r="R40" s="11">
        <f t="shared" ca="1" si="3"/>
        <v>0.46143080942612491</v>
      </c>
      <c r="S40" s="5">
        <f t="shared" ca="1" si="4"/>
        <v>-1.0913700350388522E-2</v>
      </c>
    </row>
    <row r="41" spans="1:19" x14ac:dyDescent="0.25">
      <c r="A41" t="s">
        <v>76</v>
      </c>
      <c r="B41" t="s">
        <v>77</v>
      </c>
      <c r="C41" s="5">
        <f>VLOOKUP(A41,Dividende_je_Aktie!A3:S68,3,FALSE)/VLOOKUP(A41,Ergebnis_je_Aktie_verwässert!A3:S68,3,FALSE)</f>
        <v>0.65597667638483959</v>
      </c>
      <c r="D41" s="5">
        <f>VLOOKUP(A41,Dividende_je_Aktie!A3:S68,4,FALSE)/VLOOKUP(A41,Ergebnis_je_Aktie_verwässert!A3:S68,4,FALSE)</f>
        <v>0.67192429022082012</v>
      </c>
      <c r="E41" s="5">
        <f>VLOOKUP(A41,Dividende_je_Aktie!A3:S68,5,FALSE)/VLOOKUP(A41,Ergebnis_je_Aktie_verwässert!A3:S68,5,FALSE)</f>
        <v>0.45454545454545453</v>
      </c>
      <c r="F41" s="5">
        <f>VLOOKUP(A41,Dividende_je_Aktie!A3:S68,6,FALSE)/VLOOKUP(A41,Ergebnis_je_Aktie_verwässert!A3:S68,6,FALSE)</f>
        <v>0.18181818181818182</v>
      </c>
      <c r="G41" s="5">
        <f>VLOOKUP(A41,Dividende_je_Aktie!A3:S68,7,FALSE)/VLOOKUP(A41,Ergebnis_je_Aktie_verwässert!A3:S68,7,FALSE)</f>
        <v>0</v>
      </c>
      <c r="H41" s="5">
        <f>VLOOKUP(A41,Dividende_je_Aktie!A3:S68,8,FALSE)/VLOOKUP(A41,Ergebnis_je_Aktie_verwässert!A3:S68,8,FALSE)</f>
        <v>0</v>
      </c>
      <c r="I41" s="5" t="e">
        <f>VLOOKUP(A41,Dividende_je_Aktie!A3:S68,9,FALSE)/VLOOKUP(A41,Ergebnis_je_Aktie_verwässert!A3:S68,9,FALSE)</f>
        <v>#DIV/0!</v>
      </c>
      <c r="J41" s="5" t="e">
        <f>VLOOKUP(A41,Dividende_je_Aktie!A3:S68,10,FALSE)/VLOOKUP(A41,Ergebnis_je_Aktie_verwässert!A3:S68,10,FALSE)</f>
        <v>#DIV/0!</v>
      </c>
      <c r="K41" s="5" t="e">
        <f>VLOOKUP(A41,Dividende_je_Aktie!A3:S68,11,FALSE)/VLOOKUP(A41,Ergebnis_je_Aktie_verwässert!A3:S68,11,FALSE)</f>
        <v>#DIV/0!</v>
      </c>
      <c r="L41" s="5" t="e">
        <f>VLOOKUP(A41,Dividende_je_Aktie!A3:S68,12,FALSE)/VLOOKUP(A41,Ergebnis_je_Aktie_verwässert!A3:S68,12,FALSE)</f>
        <v>#DIV/0!</v>
      </c>
      <c r="M41" s="5" t="e">
        <f>VLOOKUP(A41,Dividende_je_Aktie!A3:S68,13,FALSE)/VLOOKUP(A41,Ergebnis_je_Aktie_verwässert!A3:S68,13,FALSE)</f>
        <v>#DIV/0!</v>
      </c>
      <c r="N41" s="5" t="e">
        <f>VLOOKUP(A41,Dividende_je_Aktie!A3:S68,14,FALSE)/VLOOKUP(A41,Ergebnis_je_Aktie_verwässert!A3:S68,14,FALSE)</f>
        <v>#DIV/0!</v>
      </c>
      <c r="O41" s="11">
        <f t="shared" si="1"/>
        <v>0.31818181818181818</v>
      </c>
      <c r="P41" s="4">
        <f t="shared" ca="1" si="2"/>
        <v>217</v>
      </c>
      <c r="Q41" s="4">
        <f t="shared" ca="1" si="5"/>
        <v>143</v>
      </c>
      <c r="R41" s="11">
        <f t="shared" ca="1" si="3"/>
        <v>0.66231142299190959</v>
      </c>
      <c r="S41" s="5">
        <f t="shared" ca="1" si="4"/>
        <v>1.0815501865460018</v>
      </c>
    </row>
    <row r="42" spans="1:19" x14ac:dyDescent="0.25">
      <c r="A42" t="s">
        <v>78</v>
      </c>
      <c r="B42" t="s">
        <v>79</v>
      </c>
      <c r="C42" s="5">
        <f>VLOOKUP(A42,Dividende_je_Aktie!A3:S68,3,FALSE)/VLOOKUP(A42,Ergebnis_je_Aktie_verwässert!A3:S68,3,FALSE)</f>
        <v>0.56709265175718848</v>
      </c>
      <c r="D42" s="5">
        <f>VLOOKUP(A42,Dividende_je_Aktie!A3:S68,4,FALSE)/VLOOKUP(A42,Ergebnis_je_Aktie_verwässert!A3:S68,4,FALSE)</f>
        <v>0.57491289198606266</v>
      </c>
      <c r="E42" s="5">
        <f>VLOOKUP(A42,Dividende_je_Aktie!A3:S68,5,FALSE)/VLOOKUP(A42,Ergebnis_je_Aktie_verwässert!A3:S68,5,FALSE)</f>
        <v>0.56216216216216219</v>
      </c>
      <c r="F42" s="5">
        <f>VLOOKUP(A42,Dividende_je_Aktie!A3:S68,6,FALSE)/VLOOKUP(A42,Ergebnis_je_Aktie_verwässert!A3:S68,6,FALSE)</f>
        <v>0.53544776119402981</v>
      </c>
      <c r="G42" s="5">
        <f>VLOOKUP(A42,Dividende_je_Aktie!A3:S68,7,FALSE)/VLOOKUP(A42,Ergebnis_je_Aktie_verwässert!A3:S68,7,FALSE)</f>
        <v>0.48007590132827327</v>
      </c>
      <c r="H42" s="5">
        <f>VLOOKUP(A42,Dividende_je_Aktie!A3:S68,8,FALSE)/VLOOKUP(A42,Ergebnis_je_Aktie_verwässert!A3:S68,8,FALSE)</f>
        <v>0.49344978165938858</v>
      </c>
      <c r="I42" s="5">
        <f>VLOOKUP(A42,Dividende_je_Aktie!A3:S68,9,FALSE)/VLOOKUP(A42,Ergebnis_je_Aktie_verwässert!A3:S68,9,FALSE)</f>
        <v>0.49878345498783444</v>
      </c>
      <c r="J42" s="5">
        <f>VLOOKUP(A42,Dividende_je_Aktie!A3:S68,10,FALSE)/VLOOKUP(A42,Ergebnis_je_Aktie_verwässert!A3:S68,10,FALSE)</f>
        <v>0.43351063829787234</v>
      </c>
      <c r="K42" s="5">
        <f>VLOOKUP(A42,Dividende_je_Aktie!A3:S68,11,FALSE)/VLOOKUP(A42,Ergebnis_je_Aktie_verwässert!A3:S68,11,FALSE)</f>
        <v>0.75757575757575757</v>
      </c>
      <c r="L42" s="5">
        <f>VLOOKUP(A42,Dividende_je_Aktie!A3:S68,12,FALSE)/VLOOKUP(A42,Ergebnis_je_Aktie_verwässert!A3:S68,12,FALSE)</f>
        <v>0.35335689045936397</v>
      </c>
      <c r="M42" s="5">
        <f>VLOOKUP(A42,Dividende_je_Aktie!A3:S68,13,FALSE)/VLOOKUP(A42,Ergebnis_je_Aktie_verwässert!A3:S68,13,FALSE)</f>
        <v>0.32843137254901961</v>
      </c>
      <c r="N42" s="5">
        <f>VLOOKUP(A42,Dividende_je_Aktie!A3:S68,14,FALSE)/VLOOKUP(A42,Ergebnis_je_Aktie_verwässert!A3:S68,14,FALSE)</f>
        <v>0.30726256983240224</v>
      </c>
      <c r="O42" s="11">
        <f t="shared" si="1"/>
        <v>0.47500562900461041</v>
      </c>
      <c r="P42" s="4">
        <f t="shared" ca="1" si="2"/>
        <v>217</v>
      </c>
      <c r="Q42" s="4">
        <f t="shared" ca="1" si="5"/>
        <v>143</v>
      </c>
      <c r="R42" s="11">
        <f t="shared" ca="1" si="3"/>
        <v>0.57019902495921349</v>
      </c>
      <c r="S42" s="5">
        <f t="shared" ca="1" si="4"/>
        <v>0.20040477447411287</v>
      </c>
    </row>
    <row r="43" spans="1:19" x14ac:dyDescent="0.25">
      <c r="A43" t="s">
        <v>80</v>
      </c>
      <c r="B43" t="s">
        <v>81</v>
      </c>
      <c r="C43" s="5">
        <f>VLOOKUP(A43,Dividende_je_Aktie!A3:S68,3,FALSE)/VLOOKUP(A43,Ergebnis_je_Aktie_verwässert!A3:S68,3,FALSE)</f>
        <v>0.75949367088607589</v>
      </c>
      <c r="D43" s="5">
        <f>VLOOKUP(A43,Dividende_je_Aktie!A3:S68,4,FALSE)/VLOOKUP(A43,Ergebnis_je_Aktie_verwässert!A3:S68,4,FALSE)</f>
        <v>0.79908675799086759</v>
      </c>
      <c r="E43" s="5">
        <f>VLOOKUP(A43,Dividende_je_Aktie!A3:S68,5,FALSE)/VLOOKUP(A43,Ergebnis_je_Aktie_verwässert!A3:S68,5,FALSE)</f>
        <v>1.1768707482993197</v>
      </c>
      <c r="F43" s="5">
        <f>VLOOKUP(A43,Dividende_je_Aktie!A3:S68,6,FALSE)/VLOOKUP(A43,Ergebnis_je_Aktie_verwässert!A3:S68,6,FALSE)</f>
        <v>0.84</v>
      </c>
      <c r="G43" s="5">
        <f>VLOOKUP(A43,Dividende_je_Aktie!A3:S68,7,FALSE)/VLOOKUP(A43,Ergebnis_je_Aktie_verwässert!A3:S68,7,FALSE)</f>
        <v>0.75247524752475248</v>
      </c>
      <c r="H43" s="5">
        <f>VLOOKUP(A43,Dividende_je_Aktie!A3:S68,8,FALSE)/VLOOKUP(A43,Ergebnis_je_Aktie_verwässert!A3:S68,8,FALSE)</f>
        <v>0.44444444444444448</v>
      </c>
      <c r="I43" s="5">
        <f>VLOOKUP(A43,Dividende_je_Aktie!A3:S68,9,FALSE)/VLOOKUP(A43,Ergebnis_je_Aktie_verwässert!A3:S68,9,FALSE)</f>
        <v>0.26902654867256637</v>
      </c>
      <c r="J43" s="5">
        <f>VLOOKUP(A43,Dividende_je_Aktie!A3:S68,10,FALSE)/VLOOKUP(A43,Ergebnis_je_Aktie_verwässert!A3:S68,10,FALSE)</f>
        <v>0.4175824175824176</v>
      </c>
      <c r="K43" s="5">
        <f>VLOOKUP(A43,Dividende_je_Aktie!A3:S68,11,FALSE)/VLOOKUP(A43,Ergebnis_je_Aktie_verwässert!A3:S68,11,FALSE)</f>
        <v>1.0201342281879195</v>
      </c>
      <c r="L43" s="5">
        <f>VLOOKUP(A43,Dividende_je_Aktie!A3:S68,12,FALSE)/VLOOKUP(A43,Ergebnis_je_Aktie_verwässert!A3:S68,12,FALSE)</f>
        <v>0.74876847290640403</v>
      </c>
      <c r="M43" s="5">
        <f>VLOOKUP(A43,Dividende_je_Aktie!A3:S68,13,FALSE)/VLOOKUP(A43,Ergebnis_je_Aktie_verwässert!A3:S68,13,FALSE)</f>
        <v>0.72380952380952379</v>
      </c>
      <c r="N43" s="5">
        <f>VLOOKUP(A43,Dividende_je_Aktie!A3:S68,14,FALSE)/VLOOKUP(A43,Ergebnis_je_Aktie_verwässert!A3:S68,14,FALSE)</f>
        <v>0.57088122605363989</v>
      </c>
      <c r="O43" s="11">
        <f t="shared" si="1"/>
        <v>0.69639928574809873</v>
      </c>
      <c r="P43" s="4">
        <f t="shared" ca="1" si="2"/>
        <v>217</v>
      </c>
      <c r="Q43" s="4">
        <f t="shared" ca="1" si="5"/>
        <v>143</v>
      </c>
      <c r="R43" s="11">
        <f t="shared" ca="1" si="3"/>
        <v>0.77522092493047923</v>
      </c>
      <c r="S43" s="5">
        <f t="shared" ca="1" si="4"/>
        <v>0.11318454914511755</v>
      </c>
    </row>
    <row r="44" spans="1:19" x14ac:dyDescent="0.25">
      <c r="A44" t="s">
        <v>82</v>
      </c>
      <c r="B44" t="s">
        <v>83</v>
      </c>
      <c r="C44" s="5">
        <f>VLOOKUP(A44,Dividende_je_Aktie!A3:S68,3,FALSE)/VLOOKUP(A44,Ergebnis_je_Aktie_verwässert!A3:S68,3,FALSE)</f>
        <v>0.37630662020905925</v>
      </c>
      <c r="D44" s="5">
        <f>VLOOKUP(A44,Dividende_je_Aktie!A3:S68,4,FALSE)/VLOOKUP(A44,Ergebnis_je_Aktie_verwässert!A3:S68,4,FALSE)</f>
        <v>0.39179104477611942</v>
      </c>
      <c r="E44" s="5">
        <f>VLOOKUP(A44,Dividende_je_Aktie!A3:S68,5,FALSE)/VLOOKUP(A44,Ergebnis_je_Aktie_verwässert!A3:S68,5,FALSE)</f>
        <v>0.35658914728682173</v>
      </c>
      <c r="F44" s="5">
        <f>VLOOKUP(A44,Dividende_je_Aktie!A3:S68,6,FALSE)/VLOOKUP(A44,Ergebnis_je_Aktie_verwässert!A3:S68,6,FALSE)</f>
        <v>0.4</v>
      </c>
      <c r="G44" s="5">
        <f>VLOOKUP(A44,Dividende_je_Aktie!A3:S68,7,FALSE)/VLOOKUP(A44,Ergebnis_je_Aktie_verwässert!A3:S68,7,FALSE)</f>
        <v>0.23791821561338292</v>
      </c>
      <c r="H44" s="5">
        <f>VLOOKUP(A44,Dividende_je_Aktie!A3:S68,8,FALSE)/VLOOKUP(A44,Ergebnis_je_Aktie_verwässert!A3:S68,8,FALSE)</f>
        <v>0.24761904761904763</v>
      </c>
      <c r="I44" s="5">
        <f>VLOOKUP(A44,Dividende_je_Aktie!A3:S68,9,FALSE)/VLOOKUP(A44,Ergebnis_je_Aktie_verwässert!A3:S68,9,FALSE)</f>
        <v>0.32098765432098764</v>
      </c>
      <c r="J44" s="5">
        <f>VLOOKUP(A44,Dividende_je_Aktie!A3:S68,10,FALSE)/VLOOKUP(A44,Ergebnis_je_Aktie_verwässert!A3:S68,10,FALSE)</f>
        <v>0.23529411764705882</v>
      </c>
      <c r="K44" s="5">
        <f>VLOOKUP(A44,Dividende_je_Aktie!A3:S68,11,FALSE)/VLOOKUP(A44,Ergebnis_je_Aktie_verwässert!A3:S68,11,FALSE)</f>
        <v>0.28169014084507044</v>
      </c>
      <c r="L44" s="5">
        <f>VLOOKUP(A44,Dividende_je_Aktie!A3:S68,12,FALSE)/VLOOKUP(A44,Ergebnis_je_Aktie_verwässert!A3:S68,12,FALSE)</f>
        <v>0.29166666666666669</v>
      </c>
      <c r="M44" s="5">
        <f>VLOOKUP(A44,Dividende_je_Aktie!A3:S68,13,FALSE)/VLOOKUP(A44,Ergebnis_je_Aktie_verwässert!A3:S68,13,FALSE)</f>
        <v>3.0357142857142851</v>
      </c>
      <c r="N44" s="5">
        <f>VLOOKUP(A44,Dividende_je_Aktie!A3:S68,14,FALSE)/VLOOKUP(A44,Ergebnis_je_Aktie_verwässert!A3:S68,14,FALSE)</f>
        <v>0.21333333333333335</v>
      </c>
      <c r="O44" s="11">
        <f t="shared" si="1"/>
        <v>0.56208126090466537</v>
      </c>
      <c r="P44" s="4">
        <f t="shared" ca="1" si="2"/>
        <v>217</v>
      </c>
      <c r="Q44" s="4">
        <f t="shared" ca="1" si="5"/>
        <v>143</v>
      </c>
      <c r="R44" s="11">
        <f t="shared" ca="1" si="3"/>
        <v>0.38245737774541927</v>
      </c>
      <c r="S44" s="5">
        <f t="shared" ca="1" si="4"/>
        <v>-0.31956924319117641</v>
      </c>
    </row>
    <row r="45" spans="1:19" x14ac:dyDescent="0.25">
      <c r="A45" t="s">
        <v>84</v>
      </c>
      <c r="B45" t="s">
        <v>85</v>
      </c>
      <c r="C45" s="5">
        <f>VLOOKUP(A45,Dividende_je_Aktie!A3:S68,3,FALSE)/VLOOKUP(A45,Ergebnis_je_Aktie_verwässert!A3:S68,3,FALSE)</f>
        <v>0.33510638297872342</v>
      </c>
      <c r="D45" s="5">
        <f>VLOOKUP(A45,Dividende_je_Aktie!A3:S68,4,FALSE)/VLOOKUP(A45,Ergebnis_je_Aktie_verwässert!A3:S68,4,FALSE)</f>
        <v>0.37419354838709673</v>
      </c>
      <c r="E45" s="5">
        <f>VLOOKUP(A45,Dividende_je_Aktie!A3:S68,5,FALSE)/VLOOKUP(A45,Ergebnis_je_Aktie_verwässert!A3:S68,5,FALSE)</f>
        <v>0.24657534246575344</v>
      </c>
      <c r="F45" s="5">
        <f>VLOOKUP(A45,Dividende_je_Aktie!A3:S68,6,FALSE)/VLOOKUP(A45,Ergebnis_je_Aktie_verwässert!A3:S68,6,FALSE)</f>
        <v>0.59171597633136097</v>
      </c>
      <c r="G45" s="5">
        <f>VLOOKUP(A45,Dividende_je_Aktie!A3:S68,7,FALSE)/VLOOKUP(A45,Ergebnis_je_Aktie_verwässert!A3:S68,7,FALSE)</f>
        <v>0.58291457286432158</v>
      </c>
      <c r="H45" s="5">
        <f>VLOOKUP(A45,Dividende_je_Aktie!A3:S68,8,FALSE)/VLOOKUP(A45,Ergebnis_je_Aktie_verwässert!A3:S68,8,FALSE)</f>
        <v>0.48535564853556479</v>
      </c>
      <c r="I45" s="5">
        <f>VLOOKUP(A45,Dividende_je_Aktie!A3:S68,9,FALSE)/VLOOKUP(A45,Ergebnis_je_Aktie_verwässert!A3:S68,9,FALSE)</f>
        <v>0.5714285714285714</v>
      </c>
      <c r="J45" s="5">
        <f>VLOOKUP(A45,Dividende_je_Aktie!A3:S68,10,FALSE)/VLOOKUP(A45,Ergebnis_je_Aktie_verwässert!A3:S68,10,FALSE)</f>
        <v>0.58333333333333337</v>
      </c>
      <c r="K45" s="5">
        <f>VLOOKUP(A45,Dividende_je_Aktie!A3:S68,11,FALSE)/VLOOKUP(A45,Ergebnis_je_Aktie_verwässert!A3:S68,11,FALSE)</f>
        <v>0.64197530864197527</v>
      </c>
      <c r="L45" s="5">
        <f>VLOOKUP(A45,Dividende_je_Aktie!A3:S68,12,FALSE)/VLOOKUP(A45,Ergebnis_je_Aktie_verwässert!A3:S68,12,FALSE)</f>
        <v>0.51891891891891884</v>
      </c>
      <c r="M45" s="5">
        <f>VLOOKUP(A45,Dividende_je_Aktie!A3:S68,13,FALSE)/VLOOKUP(A45,Ergebnis_je_Aktie_verwässert!A3:S68,13,FALSE)</f>
        <v>0.56129032258064515</v>
      </c>
      <c r="N45" s="5" t="e">
        <f>VLOOKUP(A45,Dividende_je_Aktie!A3:S68,14,FALSE)/VLOOKUP(A45,Ergebnis_je_Aktie_verwässert!A3:S68,14,FALSE)</f>
        <v>#DIV/0!</v>
      </c>
      <c r="O45" s="11">
        <f t="shared" si="1"/>
        <v>0.53150088834449383</v>
      </c>
      <c r="P45" s="4">
        <f t="shared" ca="1" si="2"/>
        <v>217</v>
      </c>
      <c r="Q45" s="4">
        <f t="shared" ca="1" si="5"/>
        <v>143</v>
      </c>
      <c r="R45" s="11">
        <f t="shared" ca="1" si="3"/>
        <v>0.35063267368260503</v>
      </c>
      <c r="S45" s="5">
        <f t="shared" ca="1" si="4"/>
        <v>-0.3402971069818016</v>
      </c>
    </row>
    <row r="46" spans="1:19" x14ac:dyDescent="0.25">
      <c r="A46" t="s">
        <v>86</v>
      </c>
      <c r="B46" t="s">
        <v>87</v>
      </c>
      <c r="C46" s="5">
        <f>VLOOKUP(A46,Dividende_je_Aktie!A3:S68,3,FALSE)/VLOOKUP(A46,Ergebnis_je_Aktie_verwässert!A3:S68,3,FALSE)</f>
        <v>0.30273752012882449</v>
      </c>
      <c r="D46" s="5">
        <f>VLOOKUP(A46,Dividende_je_Aktie!A3:S68,4,FALSE)/VLOOKUP(A46,Ergebnis_je_Aktie_verwässert!A3:S68,4,FALSE)</f>
        <v>0.32442748091603052</v>
      </c>
      <c r="E46" s="5">
        <f>VLOOKUP(A46,Dividende_je_Aktie!A3:S68,5,FALSE)/VLOOKUP(A46,Ergebnis_je_Aktie_verwässert!A3:S68,5,FALSE)</f>
        <v>0.33913043478260874</v>
      </c>
      <c r="F46" s="5">
        <f>VLOOKUP(A46,Dividende_je_Aktie!A3:S68,6,FALSE)/VLOOKUP(A46,Ergebnis_je_Aktie_verwässert!A3:S68,6,FALSE)</f>
        <v>0.33773087071240104</v>
      </c>
      <c r="G46" s="5">
        <f>VLOOKUP(A46,Dividende_je_Aktie!A3:S68,7,FALSE)/VLOOKUP(A46,Ergebnis_je_Aktie_verwässert!A3:S68,7,FALSE)</f>
        <v>0.38513513513513509</v>
      </c>
      <c r="H46" s="5">
        <f>VLOOKUP(A46,Dividende_je_Aktie!A3:S68,8,FALSE)/VLOOKUP(A46,Ergebnis_je_Aktie_verwässert!A3:S68,8,FALSE)</f>
        <v>0.537313432835821</v>
      </c>
      <c r="I46" s="5">
        <f>VLOOKUP(A46,Dividende_je_Aktie!A3:S68,9,FALSE)/VLOOKUP(A46,Ergebnis_je_Aktie_verwässert!A3:S68,9,FALSE)</f>
        <v>0.27368421052631581</v>
      </c>
      <c r="J46" s="5">
        <f>VLOOKUP(A46,Dividende_je_Aktie!A3:S68,10,FALSE)/VLOOKUP(A46,Ergebnis_je_Aktie_verwässert!A3:S68,10,FALSE)</f>
        <v>0.22928176795580107</v>
      </c>
      <c r="K46" s="5">
        <f>VLOOKUP(A46,Dividende_je_Aktie!A3:S68,11,FALSE)/VLOOKUP(A46,Ergebnis_je_Aktie_verwässert!A3:S68,11,FALSE)</f>
        <v>0.30726256983240224</v>
      </c>
      <c r="L46" s="5">
        <f>VLOOKUP(A46,Dividende_je_Aktie!A3:S68,12,FALSE)/VLOOKUP(A46,Ergebnis_je_Aktie_verwässert!A3:S68,12,FALSE)</f>
        <v>0.32</v>
      </c>
      <c r="M46" s="5">
        <f>VLOOKUP(A46,Dividende_je_Aktie!A3:S68,13,FALSE)/VLOOKUP(A46,Ergebnis_je_Aktie_verwässert!A3:S68,13,FALSE)</f>
        <v>0.72340425531914898</v>
      </c>
      <c r="N46" s="5">
        <f>VLOOKUP(A46,Dividende_je_Aktie!A3:S68,14,FALSE)/VLOOKUP(A46,Ergebnis_je_Aktie_verwässert!A3:S68,14,FALSE)</f>
        <v>0.68</v>
      </c>
      <c r="O46" s="11">
        <f t="shared" si="1"/>
        <v>0.41329426770996341</v>
      </c>
      <c r="P46" s="4">
        <f t="shared" ca="1" si="2"/>
        <v>217</v>
      </c>
      <c r="Q46" s="4">
        <f t="shared" ca="1" si="5"/>
        <v>143</v>
      </c>
      <c r="R46" s="11">
        <f t="shared" ca="1" si="3"/>
        <v>0.31135325455263135</v>
      </c>
      <c r="S46" s="5">
        <f t="shared" ca="1" si="4"/>
        <v>-0.24665479567907045</v>
      </c>
    </row>
    <row r="47" spans="1:19" x14ac:dyDescent="0.25">
      <c r="A47" t="s">
        <v>88</v>
      </c>
      <c r="B47" t="s">
        <v>89</v>
      </c>
      <c r="C47" s="5">
        <f>VLOOKUP(A47,Dividende_je_Aktie!A3:S68,3,FALSE)/VLOOKUP(A47,Ergebnis_je_Aktie_verwässert!A3:S68,3,FALSE)</f>
        <v>0.17358490566037738</v>
      </c>
      <c r="D47" s="5">
        <f>VLOOKUP(A47,Dividende_je_Aktie!A3:S68,4,FALSE)/VLOOKUP(A47,Ergebnis_je_Aktie_verwässert!A3:S68,4,FALSE)</f>
        <v>0.20168067226890757</v>
      </c>
      <c r="E47" s="5">
        <f>VLOOKUP(A47,Dividende_je_Aktie!A3:S68,5,FALSE)/VLOOKUP(A47,Ergebnis_je_Aktie_verwässert!A3:S68,5,FALSE)</f>
        <v>0.13274336283185842</v>
      </c>
      <c r="F47" s="5">
        <f>VLOOKUP(A47,Dividende_je_Aktie!A3:S68,6,FALSE)/VLOOKUP(A47,Ergebnis_je_Aktie_verwässert!A3:S68,6,FALSE)</f>
        <v>0.12244897959183673</v>
      </c>
      <c r="G47" s="5">
        <f>VLOOKUP(A47,Dividende_je_Aktie!A3:S68,7,FALSE)/VLOOKUP(A47,Ergebnis_je_Aktie_verwässert!A3:S68,7,FALSE)</f>
        <v>0.12574850299401197</v>
      </c>
      <c r="H47" s="5">
        <f>VLOOKUP(A47,Dividende_je_Aktie!A3:S68,8,FALSE)/VLOOKUP(A47,Ergebnis_je_Aktie_verwässert!A3:S68,8,FALSE)</f>
        <v>0.16528925619834711</v>
      </c>
      <c r="I47" s="5">
        <f>VLOOKUP(A47,Dividende_je_Aktie!A3:S68,9,FALSE)/VLOOKUP(A47,Ergebnis_je_Aktie_verwässert!A3:S68,9,FALSE)</f>
        <v>4.5871559633027525E-2</v>
      </c>
      <c r="J47" s="5">
        <f>VLOOKUP(A47,Dividende_je_Aktie!A3:S68,10,FALSE)/VLOOKUP(A47,Ergebnis_je_Aktie_verwässert!A3:S68,10,FALSE)</f>
        <v>0</v>
      </c>
      <c r="K47" s="5">
        <f>VLOOKUP(A47,Dividende_je_Aktie!A3:S68,11,FALSE)/VLOOKUP(A47,Ergebnis_je_Aktie_verwässert!A3:S68,11,FALSE)</f>
        <v>0</v>
      </c>
      <c r="L47" s="5">
        <f>VLOOKUP(A47,Dividende_je_Aktie!A3:S68,12,FALSE)/VLOOKUP(A47,Ergebnis_je_Aktie_verwässert!A3:S68,12,FALSE)</f>
        <v>0</v>
      </c>
      <c r="M47" s="5">
        <f>VLOOKUP(A47,Dividende_je_Aktie!A3:S68,13,FALSE)/VLOOKUP(A47,Ergebnis_je_Aktie_verwässert!A3:S68,13,FALSE)</f>
        <v>0</v>
      </c>
      <c r="N47" s="5">
        <f>VLOOKUP(A47,Dividende_je_Aktie!A3:S68,14,FALSE)/VLOOKUP(A47,Ergebnis_je_Aktie_verwässert!A3:S68,14,FALSE)</f>
        <v>0</v>
      </c>
      <c r="O47" s="11">
        <f t="shared" si="1"/>
        <v>0.11842033224981634</v>
      </c>
      <c r="P47" s="4">
        <f t="shared" ca="1" si="2"/>
        <v>217</v>
      </c>
      <c r="Q47" s="4">
        <f t="shared" ca="1" si="5"/>
        <v>143</v>
      </c>
      <c r="R47" s="11">
        <f t="shared" ca="1" si="3"/>
        <v>0.18474516850765463</v>
      </c>
      <c r="S47" s="5">
        <f t="shared" ca="1" si="4"/>
        <v>0.5600798021569573</v>
      </c>
    </row>
    <row r="48" spans="1:19" x14ac:dyDescent="0.25">
      <c r="A48" t="s">
        <v>90</v>
      </c>
      <c r="B48" t="s">
        <v>91</v>
      </c>
      <c r="C48" s="5">
        <f>VLOOKUP(A48,Dividende_je_Aktie!A3:S68,3,FALSE)/VLOOKUP(A48,Ergebnis_je_Aktie_verwässert!A3:S68,3,FALSE)</f>
        <v>0.55942622950819676</v>
      </c>
      <c r="D48" s="5">
        <f>VLOOKUP(A48,Dividende_je_Aktie!A3:S68,4,FALSE)/VLOOKUP(A48,Ergebnis_je_Aktie_verwässert!A3:S68,4,FALSE)</f>
        <v>0.55654101995565408</v>
      </c>
      <c r="E48" s="5">
        <f>VLOOKUP(A48,Dividende_je_Aktie!A3:S68,5,FALSE)/VLOOKUP(A48,Ergebnis_je_Aktie_verwässert!A3:S68,5,FALSE)</f>
        <v>0.51851851851851849</v>
      </c>
      <c r="F48" s="5">
        <f>VLOOKUP(A48,Dividende_je_Aktie!A3:S68,6,FALSE)/VLOOKUP(A48,Ergebnis_je_Aktie_verwässert!A3:S68,6,FALSE)</f>
        <v>0.54336734693877553</v>
      </c>
      <c r="G48" s="5">
        <f>VLOOKUP(A48,Dividende_je_Aktie!A3:S68,7,FALSE)/VLOOKUP(A48,Ergebnis_je_Aktie_verwässert!A3:S68,7,FALSE)</f>
        <v>0.50372208436724553</v>
      </c>
      <c r="H48" s="5">
        <f>VLOOKUP(A48,Dividende_je_Aktie!A3:S68,8,FALSE)/VLOOKUP(A48,Ergebnis_je_Aktie_verwässert!A3:S68,8,FALSE)</f>
        <v>0.48337595907928382</v>
      </c>
      <c r="I48" s="5">
        <f>VLOOKUP(A48,Dividende_je_Aktie!A3:S68,9,FALSE)/VLOOKUP(A48,Ergebnis_je_Aktie_verwässert!A3:S68,9,FALSE)</f>
        <v>0.47214854111405835</v>
      </c>
      <c r="J48" s="5">
        <f>VLOOKUP(A48,Dividende_je_Aktie!A3:S68,10,FALSE)/VLOOKUP(A48,Ergebnis_je_Aktie_verwässert!A3:S68,10,FALSE)</f>
        <v>0.51401869158878499</v>
      </c>
      <c r="K48" s="5">
        <f>VLOOKUP(A48,Dividende_je_Aktie!A3:S68,11,FALSE)/VLOOKUP(A48,Ergebnis_je_Aktie_verwässert!A3:S68,11,FALSE)</f>
        <v>0.41935483870967738</v>
      </c>
      <c r="L48" s="5">
        <f>VLOOKUP(A48,Dividende_je_Aktie!A3:S68,12,FALSE)/VLOOKUP(A48,Ergebnis_je_Aktie_verwässert!A3:S68,12,FALSE)</f>
        <v>0.3473053892215569</v>
      </c>
      <c r="M48" s="5">
        <f>VLOOKUP(A48,Dividende_je_Aktie!A3:S68,13,FALSE)/VLOOKUP(A48,Ergebnis_je_Aktie_verwässert!A3:S68,13,FALSE)</f>
        <v>0.42259414225941422</v>
      </c>
      <c r="N48" s="5">
        <f>VLOOKUP(A48,Dividende_je_Aktie!A3:S68,14,FALSE)/VLOOKUP(A48,Ergebnis_je_Aktie_verwässert!A3:S68,14,FALSE)</f>
        <v>0.34979423868312753</v>
      </c>
      <c r="O48" s="11">
        <f t="shared" si="1"/>
        <v>0.45741997504804421</v>
      </c>
      <c r="P48" s="4">
        <f t="shared" ca="1" si="2"/>
        <v>217</v>
      </c>
      <c r="Q48" s="4">
        <f t="shared" ca="1" si="5"/>
        <v>143</v>
      </c>
      <c r="R48" s="11">
        <f t="shared" ca="1" si="3"/>
        <v>0.55828016015815896</v>
      </c>
      <c r="S48" s="5">
        <f t="shared" ca="1" si="4"/>
        <v>0.22049799005721393</v>
      </c>
    </row>
    <row r="49" spans="1:19" x14ac:dyDescent="0.25">
      <c r="A49" t="s">
        <v>92</v>
      </c>
      <c r="B49" t="s">
        <v>93</v>
      </c>
      <c r="C49" s="5">
        <f>VLOOKUP(A49,Dividende_je_Aktie!A3:S68,3,FALSE)/VLOOKUP(A49,Ergebnis_je_Aktie_verwässert!A3:S68,3,FALSE)</f>
        <v>0.66874999999999996</v>
      </c>
      <c r="D49" s="5">
        <f>VLOOKUP(A49,Dividende_je_Aktie!A3:S68,4,FALSE)/VLOOKUP(A49,Ergebnis_je_Aktie_verwässert!A3:S68,4,FALSE)</f>
        <v>0.69594594594594594</v>
      </c>
      <c r="E49" s="5">
        <f>VLOOKUP(A49,Dividende_je_Aktie!A3:S68,5,FALSE)/VLOOKUP(A49,Ergebnis_je_Aktie_verwässert!A3:S68,5,FALSE)</f>
        <v>0.58181818181818179</v>
      </c>
      <c r="F49" s="5">
        <f>VLOOKUP(A49,Dividende_je_Aktie!A3:S68,6,FALSE)/VLOOKUP(A49,Ergebnis_je_Aktie_verwässert!A3:S68,6,FALSE)</f>
        <v>0.45360824742268041</v>
      </c>
      <c r="G49" s="5">
        <f>VLOOKUP(A49,Dividende_je_Aktie!A3:S68,7,FALSE)/VLOOKUP(A49,Ergebnis_je_Aktie_verwässert!A3:S68,7,FALSE)</f>
        <v>0.62992125984251968</v>
      </c>
      <c r="H49" s="5">
        <f>VLOOKUP(A49,Dividende_je_Aktie!A3:S68,8,FALSE)/VLOOKUP(A49,Ergebnis_je_Aktie_verwässert!A3:S68,8,FALSE)</f>
        <v>0.70588235294117641</v>
      </c>
      <c r="I49" s="5">
        <f>VLOOKUP(A49,Dividende_je_Aktie!A3:S68,9,FALSE)/VLOOKUP(A49,Ergebnis_je_Aktie_verwässert!A3:S68,9,FALSE)</f>
        <v>0.65040650406504075</v>
      </c>
      <c r="J49" s="5">
        <f>VLOOKUP(A49,Dividende_je_Aktie!A3:S68,10,FALSE)/VLOOKUP(A49,Ergebnis_je_Aktie_verwässert!A3:S68,10,FALSE)</f>
        <v>1.0666666666666667</v>
      </c>
      <c r="K49" s="5">
        <f>VLOOKUP(A49,Dividende_je_Aktie!A3:S68,11,FALSE)/VLOOKUP(A49,Ergebnis_je_Aktie_verwässert!A3:S68,11,FALSE)</f>
        <v>0.99145299145299148</v>
      </c>
      <c r="L49" s="5">
        <f>VLOOKUP(A49,Dividende_je_Aktie!A3:S68,12,FALSE)/VLOOKUP(A49,Ergebnis_je_Aktie_verwässert!A3:S68,12,FALSE)</f>
        <v>0.63157894736842102</v>
      </c>
      <c r="M49" s="5">
        <f>VLOOKUP(A49,Dividende_je_Aktie!A3:S68,13,FALSE)/VLOOKUP(A49,Ergebnis_je_Aktie_verwässert!A3:S68,13,FALSE)</f>
        <v>0.69724770642201828</v>
      </c>
      <c r="N49" s="5">
        <f>VLOOKUP(A49,Dividende_je_Aktie!A3:S68,14,FALSE)/VLOOKUP(A49,Ergebnis_je_Aktie_verwässert!A3:S68,14,FALSE)</f>
        <v>0.45637583892617456</v>
      </c>
      <c r="O49" s="11">
        <f t="shared" si="1"/>
        <v>0.68649586969258714</v>
      </c>
      <c r="P49" s="4">
        <f t="shared" ca="1" si="2"/>
        <v>217</v>
      </c>
      <c r="Q49" s="4">
        <f t="shared" ca="1" si="5"/>
        <v>143</v>
      </c>
      <c r="R49" s="11">
        <f t="shared" ca="1" si="3"/>
        <v>0.67955283408408407</v>
      </c>
      <c r="S49" s="5">
        <f t="shared" ca="1" si="4"/>
        <v>-1.0113732529246189E-2</v>
      </c>
    </row>
    <row r="50" spans="1:19" x14ac:dyDescent="0.25">
      <c r="A50" t="s">
        <v>94</v>
      </c>
      <c r="B50" t="s">
        <v>95</v>
      </c>
      <c r="C50" s="5">
        <f>VLOOKUP(A50,Dividende_je_Aktie!A3:S68,3,FALSE)/VLOOKUP(A50,Ergebnis_je_Aktie_verwässert!A3:S68,3,FALSE)</f>
        <v>0.72014260249554363</v>
      </c>
      <c r="D50" s="5">
        <f>VLOOKUP(A50,Dividende_je_Aktie!A3:S68,4,FALSE)/VLOOKUP(A50,Ergebnis_je_Aktie_verwässert!A3:S68,4,FALSE)</f>
        <v>0.7504950495049505</v>
      </c>
      <c r="E50" s="5">
        <f>VLOOKUP(A50,Dividende_je_Aktie!A3:S68,5,FALSE)/VLOOKUP(A50,Ergebnis_je_Aktie_verwässert!A3:S68,5,FALSE)</f>
        <v>0.71482889733840305</v>
      </c>
      <c r="F50" s="5">
        <f>VLOOKUP(A50,Dividende_je_Aktie!A3:S68,6,FALSE)/VLOOKUP(A50,Ergebnis_je_Aktie_verwässert!A3:S68,6,FALSE)</f>
        <v>0.62669245647969052</v>
      </c>
      <c r="G50" s="5">
        <f>VLOOKUP(A50,Dividende_je_Aktie!A3:S68,7,FALSE)/VLOOKUP(A50,Ergebnis_je_Aktie_verwässert!A3:S68,7,FALSE)</f>
        <v>0.58144329896907221</v>
      </c>
      <c r="H50" s="5">
        <f>VLOOKUP(A50,Dividende_je_Aktie!A3:S68,8,FALSE)/VLOOKUP(A50,Ergebnis_je_Aktie_verwässert!A3:S68,8,FALSE)</f>
        <v>0.62244897959183676</v>
      </c>
      <c r="I50" s="5">
        <f>VLOOKUP(A50,Dividende_je_Aktie!A3:S68,9,FALSE)/VLOOKUP(A50,Ergebnis_je_Aktie_verwässert!A3:S68,9,FALSE)</f>
        <v>0.6913580246913581</v>
      </c>
      <c r="J50" s="5">
        <f>VLOOKUP(A50,Dividende_je_Aktie!A3:S68,10,FALSE)/VLOOKUP(A50,Ergebnis_je_Aktie_verwässert!A3:S68,10,FALSE)</f>
        <v>0.46525679758308158</v>
      </c>
      <c r="K50" s="5" t="e">
        <f>VLOOKUP(A50,Dividende_je_Aktie!A3:S68,11,FALSE)/VLOOKUP(A50,Ergebnis_je_Aktie_verwässert!A3:S68,11,FALSE)</f>
        <v>#DIV/0!</v>
      </c>
      <c r="L50" s="5" t="e">
        <f>VLOOKUP(A50,Dividende_je_Aktie!A3:S68,12,FALSE)/VLOOKUP(A50,Ergebnis_je_Aktie_verwässert!A3:S68,12,FALSE)</f>
        <v>#DIV/0!</v>
      </c>
      <c r="M50" s="5" t="e">
        <f>VLOOKUP(A50,Dividende_je_Aktie!A3:S68,13,FALSE)/VLOOKUP(A50,Ergebnis_je_Aktie_verwässert!A3:S68,13,FALSE)</f>
        <v>#DIV/0!</v>
      </c>
      <c r="N50" s="5" t="e">
        <f>VLOOKUP(A50,Dividende_je_Aktie!A3:S68,14,FALSE)/VLOOKUP(A50,Ergebnis_je_Aktie_verwässert!A3:S68,14,FALSE)</f>
        <v>#DIV/0!</v>
      </c>
      <c r="O50" s="11">
        <f t="shared" si="1"/>
        <v>0.61700474244224035</v>
      </c>
      <c r="P50" s="4">
        <f t="shared" ca="1" si="2"/>
        <v>217</v>
      </c>
      <c r="Q50" s="4">
        <f t="shared" ca="1" si="5"/>
        <v>143</v>
      </c>
      <c r="R50" s="11">
        <f t="shared" ca="1" si="3"/>
        <v>0.73219926894650245</v>
      </c>
      <c r="S50" s="5">
        <f t="shared" ca="1" si="4"/>
        <v>0.18669958037647638</v>
      </c>
    </row>
    <row r="51" spans="1:19" x14ac:dyDescent="0.25">
      <c r="A51" t="s">
        <v>96</v>
      </c>
      <c r="B51" t="s">
        <v>97</v>
      </c>
      <c r="C51" s="5">
        <f>VLOOKUP(A51,Dividende_je_Aktie!A3:S68,3,FALSE)/VLOOKUP(A51,Ergebnis_je_Aktie_verwässert!A3:S68,3,FALSE)</f>
        <v>0.58574610244988856</v>
      </c>
      <c r="D51" s="5">
        <f>VLOOKUP(A51,Dividende_je_Aktie!A3:S68,4,FALSE)/VLOOKUP(A51,Ergebnis_je_Aktie_verwässert!A3:S68,4,FALSE)</f>
        <v>0.6074074074074074</v>
      </c>
      <c r="E51" s="5">
        <f>VLOOKUP(A51,Dividende_je_Aktie!A3:S68,5,FALSE)/VLOOKUP(A51,Ergebnis_je_Aktie_verwässert!A3:S68,5,FALSE)</f>
        <v>0.59326424870466321</v>
      </c>
      <c r="F51" s="5">
        <f>VLOOKUP(A51,Dividende_je_Aktie!A3:S68,6,FALSE)/VLOOKUP(A51,Ergebnis_je_Aktie_verwässert!A3:S68,6,FALSE)</f>
        <v>0.58469945355191255</v>
      </c>
      <c r="G51" s="5">
        <f>VLOOKUP(A51,Dividende_je_Aktie!A3:S68,7,FALSE)/VLOOKUP(A51,Ergebnis_je_Aktie_verwässert!A3:S68,7,FALSE)</f>
        <v>0.50127226463104324</v>
      </c>
      <c r="H51" s="5">
        <f>VLOOKUP(A51,Dividende_je_Aktie!A3:S68,8,FALSE)/VLOOKUP(A51,Ergebnis_je_Aktie_verwässert!A3:S68,8,FALSE)</f>
        <v>0.43795620437956201</v>
      </c>
      <c r="I51" s="5">
        <f>VLOOKUP(A51,Dividende_je_Aktie!A3:S68,9,FALSE)/VLOOKUP(A51,Ergebnis_je_Aktie_verwässert!A3:S68,9,FALSE)</f>
        <v>0.38497652582159625</v>
      </c>
      <c r="J51" s="5">
        <f>VLOOKUP(A51,Dividende_je_Aktie!A3:S68,10,FALSE)/VLOOKUP(A51,Ergebnis_je_Aktie_verwässert!A3:S68,10,FALSE)</f>
        <v>0.39835164835164832</v>
      </c>
      <c r="K51" s="5">
        <f>VLOOKUP(A51,Dividende_je_Aktie!A3:S68,11,FALSE)/VLOOKUP(A51,Ergebnis_je_Aktie_verwässert!A3:S68,11,FALSE)</f>
        <v>0.42105263157894735</v>
      </c>
      <c r="L51" s="5">
        <f>VLOOKUP(A51,Dividende_je_Aktie!A3:S68,12,FALSE)/VLOOKUP(A51,Ergebnis_je_Aktie_verwässert!A3:S68,12,FALSE)</f>
        <v>0.43560606060606055</v>
      </c>
      <c r="M51" s="5">
        <f>VLOOKUP(A51,Dividende_je_Aktie!A3:S68,13,FALSE)/VLOOKUP(A51,Ergebnis_je_Aktie_verwässert!A3:S68,13,FALSE)</f>
        <v>0.38721804511278196</v>
      </c>
      <c r="N51" s="5">
        <f>VLOOKUP(A51,Dividende_je_Aktie!A3:S68,14,FALSE)/VLOOKUP(A51,Ergebnis_je_Aktie_verwässert!A3:S68,14,FALSE)</f>
        <v>0.40086206896551729</v>
      </c>
      <c r="O51" s="11">
        <f t="shared" si="1"/>
        <v>0.45452591517037322</v>
      </c>
      <c r="P51" s="4">
        <f t="shared" ca="1" si="2"/>
        <v>217</v>
      </c>
      <c r="Q51" s="4">
        <f t="shared" ca="1" si="5"/>
        <v>143</v>
      </c>
      <c r="R51" s="11">
        <f t="shared" ca="1" si="3"/>
        <v>0.59435045414134746</v>
      </c>
      <c r="S51" s="5">
        <f t="shared" ca="1" si="4"/>
        <v>0.30762720959169698</v>
      </c>
    </row>
    <row r="52" spans="1:19" x14ac:dyDescent="0.25">
      <c r="A52" t="s">
        <v>98</v>
      </c>
      <c r="B52" t="s">
        <v>99</v>
      </c>
      <c r="C52" s="5">
        <f>VLOOKUP(A52,Dividende_je_Aktie!A3:S68,3,FALSE)/VLOOKUP(A52,Ergebnis_je_Aktie_verwässert!A3:S68,3,FALSE)</f>
        <v>0.57105943152454774</v>
      </c>
      <c r="D52" s="5">
        <f>VLOOKUP(A52,Dividende_je_Aktie!A3:S68,4,FALSE)/VLOOKUP(A52,Ergebnis_je_Aktie_verwässert!A3:S68,4,FALSE)</f>
        <v>0.5668449197860963</v>
      </c>
      <c r="E52" s="5">
        <f>VLOOKUP(A52,Dividende_je_Aktie!A3:S68,5,FALSE)/VLOOKUP(A52,Ergebnis_je_Aktie_verwässert!A3:S68,5,FALSE)</f>
        <v>0.52249999999999996</v>
      </c>
      <c r="F52" s="5">
        <f>VLOOKUP(A52,Dividende_je_Aktie!A3:S68,6,FALSE)/VLOOKUP(A52,Ergebnis_je_Aktie_verwässert!A3:S68,6,FALSE)</f>
        <v>0.90624999999999978</v>
      </c>
      <c r="G52" s="5">
        <f>VLOOKUP(A52,Dividende_je_Aktie!A3:S68,7,FALSE)/VLOOKUP(A52,Ergebnis_je_Aktie_verwässert!A3:S68,7,FALSE)</f>
        <v>0.92093023255813955</v>
      </c>
      <c r="H52" s="5">
        <f>VLOOKUP(A52,Dividende_je_Aktie!A3:S68,8,FALSE)/VLOOKUP(A52,Ergebnis_je_Aktie_verwässert!A3:S68,8,FALSE)</f>
        <v>0.8772727272727272</v>
      </c>
      <c r="I52" s="5">
        <f>VLOOKUP(A52,Dividende_je_Aktie!A3:S68,9,FALSE)/VLOOKUP(A52,Ergebnis_je_Aktie_verwässert!A3:S68,9,FALSE)</f>
        <v>0.77916666666666679</v>
      </c>
      <c r="J52" s="5">
        <f>VLOOKUP(A52,Dividende_je_Aktie!A3:S68,10,FALSE)/VLOOKUP(A52,Ergebnis_je_Aktie_verwässert!A3:S68,10,FALSE)</f>
        <v>0.78761061946902666</v>
      </c>
      <c r="K52" s="5">
        <f>VLOOKUP(A52,Dividende_je_Aktie!A3:S68,11,FALSE)/VLOOKUP(A52,Ergebnis_je_Aktie_verwässert!A3:S68,11,FALSE)</f>
        <v>0.87894736842105259</v>
      </c>
      <c r="L52" s="5">
        <f>VLOOKUP(A52,Dividende_je_Aktie!A3:S68,12,FALSE)/VLOOKUP(A52,Ergebnis_je_Aktie_verwässert!A3:S68,12,FALSE)</f>
        <v>0.75348837209302333</v>
      </c>
      <c r="M52" s="5">
        <f>VLOOKUP(A52,Dividende_je_Aktie!A3:S68,13,FALSE)/VLOOKUP(A52,Ergebnis_je_Aktie_verwässert!A3:S68,13,FALSE)</f>
        <v>0.61132075471698122</v>
      </c>
      <c r="N52" s="5">
        <f>VLOOKUP(A52,Dividende_je_Aktie!A3:S68,14,FALSE)/VLOOKUP(A52,Ergebnis_je_Aktie_verwässert!A3:S68,14,FALSE)</f>
        <v>0.55197132616487454</v>
      </c>
      <c r="O52" s="11">
        <f t="shared" si="1"/>
        <v>0.75894580673624912</v>
      </c>
      <c r="P52" s="4">
        <f t="shared" ca="1" si="2"/>
        <v>217</v>
      </c>
      <c r="Q52" s="4">
        <f t="shared" ca="1" si="5"/>
        <v>143</v>
      </c>
      <c r="R52" s="11">
        <f t="shared" ca="1" si="3"/>
        <v>0.56938533380621836</v>
      </c>
      <c r="S52" s="5">
        <f t="shared" ca="1" si="4"/>
        <v>-0.24976812737817433</v>
      </c>
    </row>
    <row r="53" spans="1:19" x14ac:dyDescent="0.25">
      <c r="A53" t="s">
        <v>100</v>
      </c>
      <c r="B53" t="s">
        <v>101</v>
      </c>
      <c r="C53" s="5">
        <f>VLOOKUP(A53,Dividende_je_Aktie!A3:S68,3,FALSE)/VLOOKUP(A53,Ergebnis_je_Aktie_verwässert!A3:S68,3,FALSE)</f>
        <v>0.37044145873320539</v>
      </c>
      <c r="D53" s="5">
        <f>VLOOKUP(A53,Dividende_je_Aktie!A3:S68,4,FALSE)/VLOOKUP(A53,Ergebnis_je_Aktie_verwässert!A3:S68,4,FALSE)</f>
        <v>0.38524590163934425</v>
      </c>
      <c r="E53" s="5">
        <f>VLOOKUP(A53,Dividende_je_Aktie!A3:S68,5,FALSE)/VLOOKUP(A53,Ergebnis_je_Aktie_verwässert!A3:S68,5,FALSE)</f>
        <v>0.31673306772908372</v>
      </c>
      <c r="F53" s="5">
        <f>VLOOKUP(A53,Dividende_je_Aktie!A3:S68,6,FALSE)/VLOOKUP(A53,Ergebnis_je_Aktie_verwässert!A3:S68,6,FALSE)</f>
        <v>0.32300884955752213</v>
      </c>
      <c r="G53" s="5">
        <f>VLOOKUP(A53,Dividende_je_Aktie!A3:S68,7,FALSE)/VLOOKUP(A53,Ergebnis_je_Aktie_verwässert!A3:S68,7,FALSE)</f>
        <v>0.27069351230425054</v>
      </c>
      <c r="H53" s="5">
        <f>VLOOKUP(A53,Dividende_je_Aktie!A3:S68,8,FALSE)/VLOOKUP(A53,Ergebnis_je_Aktie_verwässert!A3:S68,8,FALSE)</f>
        <v>0.29459459459459458</v>
      </c>
      <c r="I53" s="5">
        <f>VLOOKUP(A53,Dividende_je_Aktie!A3:S68,9,FALSE)/VLOOKUP(A53,Ergebnis_je_Aktie_verwässert!A3:S68,9,FALSE)</f>
        <v>0.28023598820058992</v>
      </c>
      <c r="J53" s="5">
        <f>VLOOKUP(A53,Dividende_je_Aktie!A3:S68,10,FALSE)/VLOOKUP(A53,Ergebnis_je_Aktie_verwässert!A3:S68,10,FALSE)</f>
        <v>0.28115015974440893</v>
      </c>
      <c r="K53" s="5">
        <f>VLOOKUP(A53,Dividende_je_Aktie!A3:S68,11,FALSE)/VLOOKUP(A53,Ergebnis_je_Aktie_verwässert!A3:S68,11,FALSE)</f>
        <v>0.24723247232472326</v>
      </c>
      <c r="L53" s="5">
        <f>VLOOKUP(A53,Dividende_je_Aktie!A3:S68,12,FALSE)/VLOOKUP(A53,Ergebnis_je_Aktie_verwässert!A3:S68,12,FALSE)</f>
        <v>0.22388059701492535</v>
      </c>
      <c r="M53" s="5">
        <f>VLOOKUP(A53,Dividende_je_Aktie!A3:S68,13,FALSE)/VLOOKUP(A53,Ergebnis_je_Aktie_verwässert!A3:S68,13,FALSE)</f>
        <v>0.21576763485477177</v>
      </c>
      <c r="N53" s="5">
        <f>VLOOKUP(A53,Dividende_je_Aktie!A3:S68,14,FALSE)/VLOOKUP(A53,Ergebnis_je_Aktie_verwässert!A3:S68,14,FALSE)</f>
        <v>0.17391304347826086</v>
      </c>
      <c r="O53" s="11">
        <f t="shared" si="1"/>
        <v>0.26272099198031312</v>
      </c>
      <c r="P53" s="4">
        <f t="shared" ca="1" si="2"/>
        <v>217</v>
      </c>
      <c r="Q53" s="4">
        <f t="shared" ca="1" si="5"/>
        <v>143</v>
      </c>
      <c r="R53" s="11">
        <f t="shared" ca="1" si="3"/>
        <v>0.37632211244314384</v>
      </c>
      <c r="S53" s="5">
        <f t="shared" ca="1" si="4"/>
        <v>0.43240214497722107</v>
      </c>
    </row>
    <row r="54" spans="1:19" x14ac:dyDescent="0.25">
      <c r="A54" t="s">
        <v>102</v>
      </c>
      <c r="B54" t="s">
        <v>103</v>
      </c>
      <c r="C54" s="5">
        <f>VLOOKUP(A54,Dividende_je_Aktie!A3:S68,3,FALSE)/VLOOKUP(A54,Ergebnis_je_Aktie_verwässert!A3:S68,3,FALSE)</f>
        <v>0.60273972602739723</v>
      </c>
      <c r="D54" s="5">
        <f>VLOOKUP(A54,Dividende_je_Aktie!A3:S68,4,FALSE)/VLOOKUP(A54,Ergebnis_je_Aktie_verwässert!A3:S68,4,FALSE)</f>
        <v>0.58476190476190471</v>
      </c>
      <c r="E54" s="5">
        <f>VLOOKUP(A54,Dividende_je_Aktie!A3:S68,5,FALSE)/VLOOKUP(A54,Ergebnis_je_Aktie_verwässert!A3:S68,5,FALSE)</f>
        <v>0.41751527494908347</v>
      </c>
      <c r="F54" s="5">
        <f>VLOOKUP(A54,Dividende_je_Aktie!A3:S68,6,FALSE)/VLOOKUP(A54,Ergebnis_je_Aktie_verwässert!A3:S68,6,FALSE)</f>
        <v>0.50112359550561791</v>
      </c>
      <c r="G54" s="5">
        <f>VLOOKUP(A54,Dividende_je_Aktie!A3:S68,7,FALSE)/VLOOKUP(A54,Ergebnis_je_Aktie_verwässert!A3:S68,7,FALSE)</f>
        <v>0.4269972451790634</v>
      </c>
      <c r="H54" s="5">
        <f>VLOOKUP(A54,Dividende_je_Aktie!A3:S68,8,FALSE)/VLOOKUP(A54,Ergebnis_je_Aktie_verwässert!A3:S68,8,FALSE)</f>
        <v>0.42800000000000005</v>
      </c>
      <c r="I54" s="5">
        <f>VLOOKUP(A54,Dividende_je_Aktie!A3:S68,9,FALSE)/VLOOKUP(A54,Ergebnis_je_Aktie_verwässert!A3:S68,9,FALSE)</f>
        <v>0.18965517241379312</v>
      </c>
      <c r="J54" s="5">
        <f>VLOOKUP(A54,Dividende_je_Aktie!A3:S68,10,FALSE)/VLOOKUP(A54,Ergebnis_je_Aktie_verwässert!A3:S68,10,FALSE)</f>
        <v>0.18134715025906736</v>
      </c>
      <c r="K54" s="5" t="e">
        <f>VLOOKUP(A54,Dividende_je_Aktie!A3:S68,11,FALSE)/VLOOKUP(A54,Ergebnis_je_Aktie_verwässert!A3:S68,11,FALSE)</f>
        <v>#DIV/0!</v>
      </c>
      <c r="L54" s="5" t="e">
        <f>VLOOKUP(A54,Dividende_je_Aktie!A3:S68,12,FALSE)/VLOOKUP(A54,Ergebnis_je_Aktie_verwässert!A3:S68,12,FALSE)</f>
        <v>#DIV/0!</v>
      </c>
      <c r="M54" s="5" t="e">
        <f>VLOOKUP(A54,Dividende_je_Aktie!A3:S68,13,FALSE)/VLOOKUP(A54,Ergebnis_je_Aktie_verwässert!A3:S68,13,FALSE)</f>
        <v>#DIV/0!</v>
      </c>
      <c r="N54" s="5" t="e">
        <f>VLOOKUP(A54,Dividende_je_Aktie!A3:S68,14,FALSE)/VLOOKUP(A54,Ergebnis_je_Aktie_verwässert!A3:S68,14,FALSE)</f>
        <v>#DIV/0!</v>
      </c>
      <c r="O54" s="11">
        <f t="shared" si="1"/>
        <v>0.35743973971777093</v>
      </c>
      <c r="P54" s="4">
        <f t="shared" ca="1" si="2"/>
        <v>217</v>
      </c>
      <c r="Q54" s="4">
        <f t="shared" ca="1" si="5"/>
        <v>143</v>
      </c>
      <c r="R54" s="11">
        <f t="shared" ca="1" si="3"/>
        <v>0.59559853591360434</v>
      </c>
      <c r="S54" s="5">
        <f t="shared" ca="1" si="4"/>
        <v>0.66629076102136842</v>
      </c>
    </row>
    <row r="55" spans="1:19" x14ac:dyDescent="0.25">
      <c r="A55" t="s">
        <v>104</v>
      </c>
      <c r="B55" t="s">
        <v>105</v>
      </c>
      <c r="C55" s="5">
        <f>VLOOKUP(A55,Dividende_je_Aktie!A3:S68,3,FALSE)/VLOOKUP(A55,Ergebnis_je_Aktie_verwässert!A3:S68,3,FALSE)</f>
        <v>0.48591971240263632</v>
      </c>
      <c r="D55" s="5">
        <f>VLOOKUP(A55,Dividende_je_Aktie!A3:S68,4,FALSE)/VLOOKUP(A55,Ergebnis_je_Aktie_verwässert!A3:S68,4,FALSE)</f>
        <v>0.50240880935994492</v>
      </c>
      <c r="E55" s="5">
        <f>VLOOKUP(A55,Dividende_je_Aktie!A3:S68,5,FALSE)/VLOOKUP(A55,Ergebnis_je_Aktie_verwässert!A3:S68,5,FALSE)</f>
        <v>0.49467275494672752</v>
      </c>
      <c r="F55" s="5">
        <f>VLOOKUP(A55,Dividende_je_Aktie!A3:S68,6,FALSE)/VLOOKUP(A55,Ergebnis_je_Aktie_verwässert!A3:S68,6,FALSE)</f>
        <v>0.48441449031171019</v>
      </c>
      <c r="G55" s="5">
        <f>VLOOKUP(A55,Dividende_je_Aktie!A3:S68,7,FALSE)/VLOOKUP(A55,Ergebnis_je_Aktie_verwässert!A3:S68,7,FALSE)</f>
        <v>0.46382189239332094</v>
      </c>
      <c r="H55" s="5">
        <f>VLOOKUP(A55,Dividende_je_Aktie!A3:S68,8,FALSE)/VLOOKUP(A55,Ergebnis_je_Aktie_verwässert!A3:S68,8,FALSE)</f>
        <v>0.42654028436018959</v>
      </c>
      <c r="I55" s="5">
        <f>VLOOKUP(A55,Dividende_je_Aktie!A3:S68,9,FALSE)/VLOOKUP(A55,Ergebnis_je_Aktie_verwässert!A3:S68,9,FALSE)</f>
        <v>0.47009049241979084</v>
      </c>
      <c r="J55" s="5">
        <f>VLOOKUP(A55,Dividende_je_Aktie!A3:S68,10,FALSE)/VLOOKUP(A55,Ergebnis_je_Aktie_verwässert!A3:S68,10,FALSE)</f>
        <v>0.31578947368421051</v>
      </c>
      <c r="K55" s="5">
        <f>VLOOKUP(A55,Dividende_je_Aktie!A3:S68,11,FALSE)/VLOOKUP(A55,Ergebnis_je_Aktie_verwässert!A3:S68,11,FALSE)</f>
        <v>0.30247479376718606</v>
      </c>
      <c r="L55" s="5">
        <f>VLOOKUP(A55,Dividende_je_Aktie!A3:S68,12,FALSE)/VLOOKUP(A55,Ergebnis_je_Aktie_verwässert!A3:S68,12,FALSE)</f>
        <v>0.29852366478506293</v>
      </c>
      <c r="M55" s="5">
        <f>VLOOKUP(A55,Dividende_je_Aktie!A3:S68,13,FALSE)/VLOOKUP(A55,Ergebnis_je_Aktie_verwässert!A3:S68,13,FALSE)</f>
        <v>0.29289247591772977</v>
      </c>
      <c r="N55" s="5">
        <f>VLOOKUP(A55,Dividende_je_Aktie!A3:S68,14,FALSE)/VLOOKUP(A55,Ergebnis_je_Aktie_verwässert!A3:S68,14,FALSE)</f>
        <v>0.25974025974025972</v>
      </c>
      <c r="O55" s="11">
        <f t="shared" si="1"/>
        <v>0.38089605823261879</v>
      </c>
      <c r="P55" s="4">
        <f t="shared" ca="1" si="2"/>
        <v>217</v>
      </c>
      <c r="Q55" s="4">
        <f t="shared" ca="1" si="5"/>
        <v>143</v>
      </c>
      <c r="R55" s="11">
        <f t="shared" ca="1" si="3"/>
        <v>0.49246954813845611</v>
      </c>
      <c r="S55" s="5">
        <f t="shared" ca="1" si="4"/>
        <v>0.29292371893672309</v>
      </c>
    </row>
    <row r="56" spans="1:19" x14ac:dyDescent="0.25">
      <c r="A56" t="s">
        <v>106</v>
      </c>
      <c r="B56" t="s">
        <v>107</v>
      </c>
      <c r="C56" s="5">
        <f>VLOOKUP(A56,Dividende_je_Aktie!A3:S68,3,FALSE)/VLOOKUP(A56,Ergebnis_je_Aktie_verwässert!A3:S68,3,FALSE)</f>
        <v>0.56194690265486724</v>
      </c>
      <c r="D56" s="5">
        <f>VLOOKUP(A56,Dividende_je_Aktie!A3:S68,4,FALSE)/VLOOKUP(A56,Ergebnis_je_Aktie_verwässert!A3:S68,4,FALSE)</f>
        <v>0.60103626943005173</v>
      </c>
      <c r="E56" s="5">
        <f>VLOOKUP(A56,Dividende_je_Aktie!A3:S68,5,FALSE)/VLOOKUP(A56,Ergebnis_je_Aktie_verwässert!A3:S68,5,FALSE)</f>
        <v>0.63048368953880762</v>
      </c>
      <c r="F56" s="5">
        <f>VLOOKUP(A56,Dividende_je_Aktie!A3:S68,6,FALSE)/VLOOKUP(A56,Ergebnis_je_Aktie_verwässert!A3:S68,6,FALSE)</f>
        <v>0.51082677165354329</v>
      </c>
      <c r="G56" s="5">
        <f>VLOOKUP(A56,Dividende_je_Aktie!A3:S68,7,FALSE)/VLOOKUP(A56,Ergebnis_je_Aktie_verwässert!A3:S68,7,FALSE)</f>
        <v>0.50953206239168114</v>
      </c>
      <c r="H56" s="5">
        <f>VLOOKUP(A56,Dividende_je_Aktie!A3:S68,8,FALSE)/VLOOKUP(A56,Ergebnis_je_Aktie_verwässert!A3:S68,8,FALSE)</f>
        <v>0.50967311541027349</v>
      </c>
      <c r="I56" s="5">
        <f>VLOOKUP(A56,Dividende_je_Aktie!A3:S68,9,FALSE)/VLOOKUP(A56,Ergebnis_je_Aktie_verwässert!A3:S68,9,FALSE)</f>
        <v>0.38372093023255816</v>
      </c>
      <c r="J56" s="5">
        <f>VLOOKUP(A56,Dividende_je_Aktie!A3:S68,10,FALSE)/VLOOKUP(A56,Ergebnis_je_Aktie_verwässert!A3:S68,10,FALSE)</f>
        <v>0.36021872863978122</v>
      </c>
      <c r="K56" s="5">
        <f>VLOOKUP(A56,Dividende_je_Aktie!A3:S68,11,FALSE)/VLOOKUP(A56,Ergebnis_je_Aktie_verwässert!A3:S68,11,FALSE)</f>
        <v>0.41681260945709281</v>
      </c>
      <c r="L56" s="5">
        <f>VLOOKUP(A56,Dividende_je_Aktie!A3:S68,12,FALSE)/VLOOKUP(A56,Ergebnis_je_Aktie_verwässert!A3:S68,12,FALSE)</f>
        <v>0.41574803149606304</v>
      </c>
      <c r="M56" s="5">
        <f>VLOOKUP(A56,Dividende_je_Aktie!A3:S68,13,FALSE)/VLOOKUP(A56,Ergebnis_je_Aktie_verwässert!A3:S68,13,FALSE)</f>
        <v>0</v>
      </c>
      <c r="N56" s="5">
        <f>VLOOKUP(A56,Dividende_je_Aktie!A3:S68,14,FALSE)/VLOOKUP(A56,Ergebnis_je_Aktie_verwässert!A3:S68,14,FALSE)</f>
        <v>0</v>
      </c>
      <c r="O56" s="11">
        <f t="shared" si="1"/>
        <v>0.46712699235247507</v>
      </c>
      <c r="P56" s="4">
        <f t="shared" ca="1" si="2"/>
        <v>217</v>
      </c>
      <c r="Q56" s="4">
        <f t="shared" ca="1" si="5"/>
        <v>143</v>
      </c>
      <c r="R56" s="11">
        <f t="shared" ca="1" si="3"/>
        <v>0.57747406779056554</v>
      </c>
      <c r="S56" s="5">
        <f t="shared" ca="1" si="4"/>
        <v>0.23622500357424658</v>
      </c>
    </row>
    <row r="57" spans="1:19" x14ac:dyDescent="0.25">
      <c r="A57" t="s">
        <v>108</v>
      </c>
      <c r="B57" t="s">
        <v>109</v>
      </c>
      <c r="C57" s="5">
        <f>VLOOKUP(A57,Dividende_je_Aktie!A3:S68,3,FALSE)/VLOOKUP(A57,Ergebnis_je_Aktie_verwässert!A3:S68,3,FALSE)</f>
        <v>0.31788079470198671</v>
      </c>
      <c r="D57" s="5">
        <f>VLOOKUP(A57,Dividende_je_Aktie!A3:S68,4,FALSE)/VLOOKUP(A57,Ergebnis_je_Aktie_verwässert!A3:S68,4,FALSE)</f>
        <v>0.31566265060240961</v>
      </c>
      <c r="E57" s="5">
        <f>VLOOKUP(A57,Dividende_je_Aktie!A3:S68,5,FALSE)/VLOOKUP(A57,Ergebnis_je_Aktie_verwässert!A3:S68,5,FALSE)</f>
        <v>0.33242506811989103</v>
      </c>
      <c r="F57" s="5">
        <f>VLOOKUP(A57,Dividende_je_Aktie!A3:S68,6,FALSE)/VLOOKUP(A57,Ergebnis_je_Aktie_verwässert!A3:S68,6,FALSE)</f>
        <v>0.27220630372492832</v>
      </c>
      <c r="G57" s="5">
        <f>VLOOKUP(A57,Dividende_je_Aktie!A3:S68,7,FALSE)/VLOOKUP(A57,Ergebnis_je_Aktie_verwässert!A3:S68,7,FALSE)</f>
        <v>0.27681660899653981</v>
      </c>
      <c r="H57" s="5">
        <f>VLOOKUP(A57,Dividende_je_Aktie!A3:S68,8,FALSE)/VLOOKUP(A57,Ergebnis_je_Aktie_verwässert!A3:S68,8,FALSE)</f>
        <v>0.27906976744186046</v>
      </c>
      <c r="I57" s="5">
        <f>VLOOKUP(A57,Dividende_je_Aktie!A3:S68,9,FALSE)/VLOOKUP(A57,Ergebnis_je_Aktie_verwässert!A3:S68,9,FALSE)</f>
        <v>0.37857142857142861</v>
      </c>
      <c r="J57" s="5">
        <f>VLOOKUP(A57,Dividende_je_Aktie!A3:S68,10,FALSE)/VLOOKUP(A57,Ergebnis_je_Aktie_verwässert!A3:S68,10,FALSE)</f>
        <v>0.1872791519434629</v>
      </c>
      <c r="K57" s="5">
        <f>VLOOKUP(A57,Dividende_je_Aktie!A3:S68,11,FALSE)/VLOOKUP(A57,Ergebnis_je_Aktie_verwässert!A3:S68,11,FALSE)</f>
        <v>0.24766355140186916</v>
      </c>
      <c r="L57" s="5">
        <f>VLOOKUP(A57,Dividende_je_Aktie!A3:S68,12,FALSE)/VLOOKUP(A57,Ergebnis_je_Aktie_verwässert!A3:S68,12,FALSE)</f>
        <v>0.25125628140703515</v>
      </c>
      <c r="M57" s="5">
        <f>VLOOKUP(A57,Dividende_je_Aktie!A3:S68,13,FALSE)/VLOOKUP(A57,Ergebnis_je_Aktie_verwässert!A3:S68,13,FALSE)</f>
        <v>0.25423728813559321</v>
      </c>
      <c r="N57" s="5">
        <f>VLOOKUP(A57,Dividende_je_Aktie!A3:S68,14,FALSE)/VLOOKUP(A57,Ergebnis_je_Aktie_verwässert!A3:S68,14,FALSE)</f>
        <v>0.26874999999999999</v>
      </c>
      <c r="O57" s="11">
        <f t="shared" si="1"/>
        <v>0.27482754497426087</v>
      </c>
      <c r="P57" s="4">
        <f t="shared" ca="1" si="2"/>
        <v>217</v>
      </c>
      <c r="Q57" s="4">
        <f t="shared" ca="1" si="5"/>
        <v>143</v>
      </c>
      <c r="R57" s="11">
        <f t="shared" ca="1" si="3"/>
        <v>0.3169996985735436</v>
      </c>
      <c r="S57" s="5">
        <f t="shared" ca="1" si="4"/>
        <v>0.1534495154160489</v>
      </c>
    </row>
    <row r="58" spans="1:19" x14ac:dyDescent="0.25">
      <c r="A58" t="s">
        <v>110</v>
      </c>
      <c r="B58" t="s">
        <v>111</v>
      </c>
      <c r="C58" s="5">
        <f>VLOOKUP(A58,Dividende_je_Aktie!A3:S68,3,FALSE)/VLOOKUP(A58,Ergebnis_je_Aktie_verwässert!A3:S68,3,FALSE)</f>
        <v>0.50423011844331644</v>
      </c>
      <c r="D58" s="5">
        <f>VLOOKUP(A58,Dividende_je_Aktie!A3:S68,4,FALSE)/VLOOKUP(A58,Ergebnis_je_Aktie_verwässert!A3:S68,4,FALSE)</f>
        <v>0.40512048192771083</v>
      </c>
      <c r="E58" s="5">
        <f>VLOOKUP(A58,Dividende_je_Aktie!A3:S68,5,FALSE)/VLOOKUP(A58,Ergebnis_je_Aktie_verwässert!A3:S68,5,FALSE)</f>
        <v>0.48732943469785578</v>
      </c>
      <c r="F58" s="5">
        <f>VLOOKUP(A58,Dividende_je_Aktie!A3:S68,6,FALSE)/VLOOKUP(A58,Ergebnis_je_Aktie_verwässert!A3:S68,6,FALSE)</f>
        <v>0.46843177189409363</v>
      </c>
      <c r="G58" s="5">
        <f>VLOOKUP(A58,Dividende_je_Aktie!A3:S68,7,FALSE)/VLOOKUP(A58,Ergebnis_je_Aktie_verwässert!A3:S68,7,FALSE)</f>
        <v>0.46296296296296291</v>
      </c>
      <c r="H58" s="5">
        <f>VLOOKUP(A58,Dividende_je_Aktie!A3:S68,8,FALSE)/VLOOKUP(A58,Ergebnis_je_Aktie_verwässert!A3:S68,8,FALSE)</f>
        <v>0.44887780548628431</v>
      </c>
      <c r="I58" s="5">
        <f>VLOOKUP(A58,Dividende_je_Aktie!A3:S68,9,FALSE)/VLOOKUP(A58,Ergebnis_je_Aktie_verwässert!A3:S68,9,FALSE)</f>
        <v>0.43859649122807021</v>
      </c>
      <c r="J58" s="5">
        <f>VLOOKUP(A58,Dividende_je_Aktie!A3:S68,10,FALSE)/VLOOKUP(A58,Ergebnis_je_Aktie_verwässert!A3:S68,10,FALSE)</f>
        <v>0.41260744985673348</v>
      </c>
      <c r="K58" s="5">
        <f>VLOOKUP(A58,Dividende_je_Aktie!A3:S68,11,FALSE)/VLOOKUP(A58,Ergebnis_je_Aktie_verwässert!A3:S68,11,FALSE)</f>
        <v>0.4107142857142857</v>
      </c>
      <c r="L58" s="5">
        <f>VLOOKUP(A58,Dividende_je_Aktie!A3:S68,12,FALSE)/VLOOKUP(A58,Ergebnis_je_Aktie_verwässert!A3:S68,12,FALSE)</f>
        <v>0.39597315436241609</v>
      </c>
      <c r="M58" s="5">
        <f>VLOOKUP(A58,Dividende_je_Aktie!A3:S68,13,FALSE)/VLOOKUP(A58,Ergebnis_je_Aktie_verwässert!A3:S68,13,FALSE)</f>
        <v>0.38461538461538458</v>
      </c>
      <c r="N58" s="5">
        <f>VLOOKUP(A58,Dividende_je_Aktie!A3:S68,14,FALSE)/VLOOKUP(A58,Ergebnis_je_Aktie_verwässert!A3:S68,14,FALSE)</f>
        <v>0.33333333333333331</v>
      </c>
      <c r="O58" s="11">
        <f t="shared" si="1"/>
        <v>0.42434420741514201</v>
      </c>
      <c r="P58" s="4">
        <f t="shared" ca="1" si="2"/>
        <v>217</v>
      </c>
      <c r="Q58" s="4">
        <f t="shared" ca="1" si="5"/>
        <v>143</v>
      </c>
      <c r="R58" s="11">
        <f t="shared" ca="1" si="3"/>
        <v>0.4648615683829509</v>
      </c>
      <c r="S58" s="5">
        <f t="shared" ca="1" si="4"/>
        <v>9.5482300122857966E-2</v>
      </c>
    </row>
    <row r="59" spans="1:19" x14ac:dyDescent="0.25">
      <c r="A59" t="s">
        <v>112</v>
      </c>
      <c r="B59" t="s">
        <v>113</v>
      </c>
      <c r="C59" s="5">
        <f>VLOOKUP(A59,Dividende_je_Aktie!A3:S68,3,FALSE)/VLOOKUP(A59,Ergebnis_je_Aktie_verwässert!A3:S68,3,FALSE)</f>
        <v>0.68089887640449431</v>
      </c>
      <c r="D59" s="5">
        <f>VLOOKUP(A59,Dividende_je_Aktie!A3:S68,4,FALSE)/VLOOKUP(A59,Ergebnis_je_Aktie_verwässert!A3:S68,4,FALSE)</f>
        <v>0.75000000000000011</v>
      </c>
      <c r="E59" s="5">
        <f>VLOOKUP(A59,Dividende_je_Aktie!A3:S68,5,FALSE)/VLOOKUP(A59,Ergebnis_je_Aktie_verwässert!A3:S68,5,FALSE)</f>
        <v>1.0071942446043165</v>
      </c>
      <c r="F59" s="5">
        <f>VLOOKUP(A59,Dividende_je_Aktie!A3:S68,6,FALSE)/VLOOKUP(A59,Ergebnis_je_Aktie_verwässert!A3:S68,6,FALSE)</f>
        <v>0.74064171122994649</v>
      </c>
      <c r="G59" s="5">
        <f>VLOOKUP(A59,Dividende_je_Aktie!A3:S68,7,FALSE)/VLOOKUP(A59,Ergebnis_je_Aktie_verwässert!A3:S68,7,FALSE)</f>
        <v>0.61771561771561767</v>
      </c>
      <c r="H59" s="5">
        <f>VLOOKUP(A59,Dividende_je_Aktie!A3:S68,8,FALSE)/VLOOKUP(A59,Ergebnis_je_Aktie_verwässert!A3:S68,8,FALSE)</f>
        <v>0.59808612440191389</v>
      </c>
      <c r="I59" s="5">
        <f>VLOOKUP(A59,Dividende_je_Aktie!A3:S68,9,FALSE)/VLOOKUP(A59,Ergebnis_je_Aktie_verwässert!A3:S68,9,FALSE)</f>
        <v>0.59553349875930517</v>
      </c>
      <c r="J59" s="5">
        <f>VLOOKUP(A59,Dividende_je_Aktie!A3:S68,10,FALSE)/VLOOKUP(A59,Ergebnis_je_Aktie_verwässert!A3:S68,10,FALSE)</f>
        <v>0.74829931972789121</v>
      </c>
      <c r="K59" s="5">
        <f>VLOOKUP(A59,Dividende_je_Aktie!A3:S68,11,FALSE)/VLOOKUP(A59,Ergebnis_je_Aktie_verwässert!A3:S68,11,FALSE)</f>
        <v>0.53213367609254492</v>
      </c>
      <c r="L59" s="5">
        <f>VLOOKUP(A59,Dividende_je_Aktie!A3:S68,12,FALSE)/VLOOKUP(A59,Ergebnis_je_Aktie_verwässert!A3:S68,12,FALSE)</f>
        <v>0.59322033898305082</v>
      </c>
      <c r="M59" s="5">
        <f>VLOOKUP(A59,Dividende_je_Aktie!A3:S68,13,FALSE)/VLOOKUP(A59,Ergebnis_je_Aktie_verwässert!A3:S68,13,FALSE)</f>
        <v>0.90476190476190477</v>
      </c>
      <c r="N59" s="5">
        <f>VLOOKUP(A59,Dividende_je_Aktie!A3:S68,14,FALSE)/VLOOKUP(A59,Ergebnis_je_Aktie_verwässert!A3:S68,14,FALSE)</f>
        <v>-0.30690537084398972</v>
      </c>
      <c r="O59" s="11">
        <f t="shared" si="1"/>
        <v>0.70417627069738797</v>
      </c>
      <c r="P59" s="4">
        <f t="shared" ca="1" si="2"/>
        <v>217</v>
      </c>
      <c r="Q59" s="4">
        <f t="shared" ca="1" si="5"/>
        <v>143</v>
      </c>
      <c r="R59" s="11">
        <f t="shared" ca="1" si="3"/>
        <v>0.70834737827715355</v>
      </c>
      <c r="S59" s="5">
        <f t="shared" ca="1" si="4"/>
        <v>5.923385597237818E-3</v>
      </c>
    </row>
    <row r="60" spans="1:19" x14ac:dyDescent="0.25">
      <c r="A60" t="s">
        <v>114</v>
      </c>
      <c r="B60" t="s">
        <v>115</v>
      </c>
      <c r="C60" s="5">
        <f>VLOOKUP(A60,Dividende_je_Aktie!A3:S68,3,FALSE)/VLOOKUP(A60,Ergebnis_je_Aktie_verwässert!A3:S68,3,FALSE)</f>
        <v>0.52666666666666673</v>
      </c>
      <c r="D60" s="5">
        <f>VLOOKUP(A60,Dividende_je_Aktie!A3:S68,4,FALSE)/VLOOKUP(A60,Ergebnis_je_Aktie_verwässert!A3:S68,4,FALSE)</f>
        <v>0.51780264496439476</v>
      </c>
      <c r="E60" s="5">
        <f>VLOOKUP(A60,Dividende_je_Aktie!A3:S68,5,FALSE)/VLOOKUP(A60,Ergebnis_je_Aktie_verwässert!A3:S68,5,FALSE)</f>
        <v>0.47474747474747475</v>
      </c>
      <c r="F60" s="5">
        <f>VLOOKUP(A60,Dividende_je_Aktie!A3:S68,6,FALSE)/VLOOKUP(A60,Ergebnis_je_Aktie_verwässert!A3:S68,6,FALSE)</f>
        <v>0.5714285714285714</v>
      </c>
      <c r="G60" s="5">
        <f>VLOOKUP(A60,Dividende_je_Aktie!A3:S68,7,FALSE)/VLOOKUP(A60,Ergebnis_je_Aktie_verwässert!A3:S68,7,FALSE)</f>
        <v>0.52631578947368418</v>
      </c>
      <c r="H60" s="5">
        <f>VLOOKUP(A60,Dividende_je_Aktie!A3:S68,8,FALSE)/VLOOKUP(A60,Ergebnis_je_Aktie_verwässert!A3:S68,8,FALSE)</f>
        <v>0.57575757575757569</v>
      </c>
      <c r="I60" s="5">
        <f>VLOOKUP(A60,Dividende_je_Aktie!A3:S68,9,FALSE)/VLOOKUP(A60,Ergebnis_je_Aktie_verwässert!A3:S68,9,FALSE)</f>
        <v>0.55384615384615377</v>
      </c>
      <c r="J60" s="5">
        <f>VLOOKUP(A60,Dividende_je_Aktie!A3:S68,10,FALSE)/VLOOKUP(A60,Ergebnis_je_Aktie_verwässert!A3:S68,10,FALSE)</f>
        <v>0.57627118644067798</v>
      </c>
      <c r="K60" s="5">
        <f>VLOOKUP(A60,Dividende_je_Aktie!A3:S68,11,FALSE)/VLOOKUP(A60,Ergebnis_je_Aktie_verwässert!A3:S68,11,FALSE)</f>
        <v>0.6</v>
      </c>
      <c r="L60" s="5">
        <f>VLOOKUP(A60,Dividende_je_Aktie!A3:S68,12,FALSE)/VLOOKUP(A60,Ergebnis_je_Aktie_verwässert!A3:S68,12,FALSE)</f>
        <v>0.46268656716417905</v>
      </c>
      <c r="M60" s="5">
        <f>VLOOKUP(A60,Dividende_je_Aktie!A3:S68,13,FALSE)/VLOOKUP(A60,Ergebnis_je_Aktie_verwässert!A3:S68,13,FALSE)</f>
        <v>0.65217391304347816</v>
      </c>
      <c r="N60" s="5">
        <f>VLOOKUP(A60,Dividende_je_Aktie!A3:S68,14,FALSE)/VLOOKUP(A60,Ergebnis_je_Aktie_verwässert!A3:S68,14,FALSE)</f>
        <v>0.60869565217391308</v>
      </c>
      <c r="O60" s="11">
        <f t="shared" si="1"/>
        <v>0.56019228840757074</v>
      </c>
      <c r="P60" s="4">
        <f t="shared" ca="1" si="2"/>
        <v>217</v>
      </c>
      <c r="Q60" s="4">
        <f t="shared" ca="1" si="5"/>
        <v>143</v>
      </c>
      <c r="R60" s="11">
        <f t="shared" ca="1" si="3"/>
        <v>0.52314568026826425</v>
      </c>
      <c r="S60" s="5">
        <f t="shared" ca="1" si="4"/>
        <v>-6.6131949521506139E-2</v>
      </c>
    </row>
    <row r="61" spans="1:19" x14ac:dyDescent="0.25">
      <c r="A61" t="s">
        <v>116</v>
      </c>
      <c r="B61" t="s">
        <v>117</v>
      </c>
      <c r="C61" s="5">
        <f>VLOOKUP(A61,Dividende_je_Aktie!A3:S68,3,FALSE)/VLOOKUP(A61,Ergebnis_je_Aktie_verwässert!A3:S68,3,FALSE)</f>
        <v>0.48535564853556479</v>
      </c>
      <c r="D61" s="5">
        <f>VLOOKUP(A61,Dividende_je_Aktie!A3:S68,4,FALSE)/VLOOKUP(A61,Ergebnis_je_Aktie_verwässert!A3:S68,4,FALSE)</f>
        <v>0.50239234449760772</v>
      </c>
      <c r="E61" s="5">
        <f>VLOOKUP(A61,Dividende_je_Aktie!A3:S68,5,FALSE)/VLOOKUP(A61,Ergebnis_je_Aktie_verwässert!A3:S68,5,FALSE)</f>
        <v>0.49509803921568629</v>
      </c>
      <c r="F61" s="5">
        <f>VLOOKUP(A61,Dividende_je_Aktie!A3:S68,6,FALSE)/VLOOKUP(A61,Ergebnis_je_Aktie_verwässert!A3:S68,6,FALSE)</f>
        <v>0.34469696969696967</v>
      </c>
      <c r="G61" s="5">
        <f>VLOOKUP(A61,Dividende_je_Aktie!A3:S68,7,FALSE)/VLOOKUP(A61,Ergebnis_je_Aktie_verwässert!A3:S68,7,FALSE)</f>
        <v>0.53289473684210531</v>
      </c>
      <c r="H61" s="5">
        <f>VLOOKUP(A61,Dividende_je_Aktie!A3:S68,8,FALSE)/VLOOKUP(A61,Ergebnis_je_Aktie_verwässert!A3:S68,8,FALSE)</f>
        <v>0.55737704918032793</v>
      </c>
      <c r="I61" s="5">
        <f>VLOOKUP(A61,Dividende_je_Aktie!A3:S68,9,FALSE)/VLOOKUP(A61,Ergebnis_je_Aktie_verwässert!A3:S68,9,FALSE)</f>
        <v>0.46399999999999997</v>
      </c>
      <c r="J61" s="5">
        <f>VLOOKUP(A61,Dividende_je_Aktie!A3:S68,10,FALSE)/VLOOKUP(A61,Ergebnis_je_Aktie_verwässert!A3:S68,10,FALSE)</f>
        <v>0.43283582089552231</v>
      </c>
      <c r="K61" s="5">
        <f>VLOOKUP(A61,Dividende_je_Aktie!A3:S68,11,FALSE)/VLOOKUP(A61,Ergebnis_je_Aktie_verwässert!A3:S68,11,FALSE)</f>
        <v>0.45454545454545453</v>
      </c>
      <c r="L61" s="5" t="e">
        <f>VLOOKUP(A61,Dividende_je_Aktie!A3:S68,12,FALSE)/VLOOKUP(A61,Ergebnis_je_Aktie_verwässert!A3:S68,12,FALSE)</f>
        <v>#DIV/0!</v>
      </c>
      <c r="M61" s="5" t="e">
        <f>VLOOKUP(A61,Dividende_je_Aktie!A3:S68,13,FALSE)/VLOOKUP(A61,Ergebnis_je_Aktie_verwässert!A3:S68,13,FALSE)</f>
        <v>#DIV/0!</v>
      </c>
      <c r="N61" s="5" t="e">
        <f>VLOOKUP(A61,Dividende_je_Aktie!A3:S68,14,FALSE)/VLOOKUP(A61,Ergebnis_je_Aktie_verwässert!A3:S68,14,FALSE)</f>
        <v>#DIV/0!</v>
      </c>
      <c r="O61" s="11">
        <f t="shared" si="1"/>
        <v>0.4687782957680095</v>
      </c>
      <c r="P61" s="4">
        <f t="shared" ca="1" si="2"/>
        <v>217</v>
      </c>
      <c r="Q61" s="4">
        <f t="shared" ca="1" si="5"/>
        <v>143</v>
      </c>
      <c r="R61" s="11">
        <f t="shared" ca="1" si="3"/>
        <v>0.49212300276493182</v>
      </c>
      <c r="S61" s="5">
        <f t="shared" ca="1" si="4"/>
        <v>4.979903550926168E-2</v>
      </c>
    </row>
    <row r="62" spans="1:19" x14ac:dyDescent="0.25">
      <c r="A62" t="s">
        <v>118</v>
      </c>
      <c r="B62" t="s">
        <v>119</v>
      </c>
      <c r="C62" s="5">
        <f>VLOOKUP(A62,Dividende_je_Aktie!A3:S68,3,FALSE)/VLOOKUP(A62,Ergebnis_je_Aktie_verwässert!A3:S68,3,FALSE)</f>
        <v>0.85729166666666667</v>
      </c>
      <c r="D62" s="5">
        <f>VLOOKUP(A62,Dividende_je_Aktie!A3:S68,4,FALSE)/VLOOKUP(A62,Ergebnis_je_Aktie_verwässert!A3:S68,4,FALSE)</f>
        <v>0.92468134414831993</v>
      </c>
      <c r="E62" s="5">
        <f>VLOOKUP(A62,Dividende_je_Aktie!A3:S68,5,FALSE)/VLOOKUP(A62,Ergebnis_je_Aktie_verwässert!A3:S68,5,FALSE)</f>
        <v>0.70270270270270263</v>
      </c>
      <c r="F62" s="5">
        <f>VLOOKUP(A62,Dividende_je_Aktie!A3:S68,6,FALSE)/VLOOKUP(A62,Ergebnis_je_Aktie_verwässert!A3:S68,6,FALSE)</f>
        <v>0.80434782608695643</v>
      </c>
      <c r="G62" s="5">
        <f>VLOOKUP(A62,Dividende_je_Aktie!A3:S68,7,FALSE)/VLOOKUP(A62,Ergebnis_je_Aktie_verwässert!A3:S68,7,FALSE)</f>
        <v>0.67961165048543681</v>
      </c>
      <c r="H62" s="5">
        <f>VLOOKUP(A62,Dividende_je_Aktie!A3:S68,8,FALSE)/VLOOKUP(A62,Ergebnis_je_Aktie_verwässert!A3:S68,8,FALSE)</f>
        <v>2.03125</v>
      </c>
      <c r="I62" s="5">
        <f>VLOOKUP(A62,Dividende_je_Aktie!A3:S68,9,FALSE)/VLOOKUP(A62,Ergebnis_je_Aktie_verwässert!A3:S68,9,FALSE)</f>
        <v>0.56481481481481477</v>
      </c>
      <c r="J62" s="5">
        <f>VLOOKUP(A62,Dividende_je_Aktie!A3:S68,10,FALSE)/VLOOKUP(A62,Ergebnis_je_Aktie_verwässert!A3:S68,10,FALSE)</f>
        <v>0.64772727272727271</v>
      </c>
      <c r="K62" s="5">
        <f>VLOOKUP(A62,Dividende_je_Aktie!A3:S68,11,FALSE)/VLOOKUP(A62,Ergebnis_je_Aktie_verwässert!A3:S68,11,FALSE)</f>
        <v>0.56382978723404265</v>
      </c>
      <c r="L62" s="5">
        <f>VLOOKUP(A62,Dividende_je_Aktie!A3:S68,12,FALSE)/VLOOKUP(A62,Ergebnis_je_Aktie_verwässert!A3:S68,12,FALSE)</f>
        <v>0.50526315789473686</v>
      </c>
      <c r="M62" s="5">
        <f>VLOOKUP(A62,Dividende_je_Aktie!A3:S68,13,FALSE)/VLOOKUP(A62,Ergebnis_je_Aktie_verwässert!A3:S68,13,FALSE)</f>
        <v>0.53658536585365857</v>
      </c>
      <c r="N62" s="5">
        <f>VLOOKUP(A62,Dividende_je_Aktie!A3:S68,14,FALSE)/VLOOKUP(A62,Ergebnis_je_Aktie_verwässert!A3:S68,14,FALSE)</f>
        <v>0.55999999999999994</v>
      </c>
      <c r="O62" s="11">
        <f t="shared" si="1"/>
        <v>0.75961325777996214</v>
      </c>
      <c r="P62" s="4">
        <f t="shared" ca="1" si="2"/>
        <v>217</v>
      </c>
      <c r="Q62" s="4">
        <f t="shared" ca="1" si="5"/>
        <v>143</v>
      </c>
      <c r="R62" s="11">
        <f t="shared" ca="1" si="3"/>
        <v>0.88406034411076784</v>
      </c>
      <c r="S62" s="5">
        <f t="shared" ca="1" si="4"/>
        <v>0.16382953437978887</v>
      </c>
    </row>
    <row r="63" spans="1:19" x14ac:dyDescent="0.25">
      <c r="A63" t="s">
        <v>120</v>
      </c>
      <c r="B63" t="s">
        <v>121</v>
      </c>
      <c r="C63" s="5">
        <f>VLOOKUP(A63,Dividende_je_Aktie!A3:S68,3,FALSE)/VLOOKUP(A63,Ergebnis_je_Aktie_verwässert!A3:S68,3,FALSE)</f>
        <v>0.53136531365313655</v>
      </c>
      <c r="D63" s="5">
        <f>VLOOKUP(A63,Dividende_je_Aktie!A3:S68,4,FALSE)/VLOOKUP(A63,Ergebnis_je_Aktie_verwässert!A3:S68,4,FALSE)</f>
        <v>0.5330739299610896</v>
      </c>
      <c r="E63" s="5">
        <f>VLOOKUP(A63,Dividende_je_Aktie!A3:S68,5,FALSE)/VLOOKUP(A63,Ergebnis_je_Aktie_verwässert!A3:S68,5,FALSE)</f>
        <v>0.57322175732217573</v>
      </c>
      <c r="F63" s="5">
        <f>VLOOKUP(A63,Dividende_je_Aktie!A3:S68,6,FALSE)/VLOOKUP(A63,Ergebnis_je_Aktie_verwässert!A3:S68,6,FALSE)</f>
        <v>0.53600000000000003</v>
      </c>
      <c r="G63" s="5">
        <f>VLOOKUP(A63,Dividende_je_Aktie!A3:S68,7,FALSE)/VLOOKUP(A63,Ergebnis_je_Aktie_verwässert!A3:S68,7,FALSE)</f>
        <v>0.52742616033755274</v>
      </c>
      <c r="H63" s="5">
        <f>VLOOKUP(A63,Dividende_je_Aktie!A3:S68,8,FALSE)/VLOOKUP(A63,Ergebnis_je_Aktie_verwässert!A3:S68,8,FALSE)</f>
        <v>0.53738317757009335</v>
      </c>
      <c r="I63" s="5">
        <f>VLOOKUP(A63,Dividende_je_Aktie!A3:S68,9,FALSE)/VLOOKUP(A63,Ergebnis_je_Aktie_verwässert!A3:S68,9,FALSE)</f>
        <v>0.51282051282051289</v>
      </c>
      <c r="J63" s="5">
        <f>VLOOKUP(A63,Dividende_je_Aktie!A3:S68,10,FALSE)/VLOOKUP(A63,Ergebnis_je_Aktie_verwässert!A3:S68,10,FALSE)</f>
        <v>0.39999999999999997</v>
      </c>
      <c r="K63" s="5">
        <f>VLOOKUP(A63,Dividende_je_Aktie!A3:S68,11,FALSE)/VLOOKUP(A63,Ergebnis_je_Aktie_verwässert!A3:S68,11,FALSE)</f>
        <v>0.390625</v>
      </c>
      <c r="L63" s="5" t="e">
        <f>VLOOKUP(A63,Dividende_je_Aktie!A3:S68,12,FALSE)/VLOOKUP(A63,Ergebnis_je_Aktie_verwässert!A3:S68,12,FALSE)</f>
        <v>#DIV/0!</v>
      </c>
      <c r="M63" s="5" t="e">
        <f>VLOOKUP(A63,Dividende_je_Aktie!A3:S68,13,FALSE)/VLOOKUP(A63,Ergebnis_je_Aktie_verwässert!A3:S68,13,FALSE)</f>
        <v>#DIV/0!</v>
      </c>
      <c r="N63" s="5" t="e">
        <f>VLOOKUP(A63,Dividende_je_Aktie!A3:S68,14,FALSE)/VLOOKUP(A63,Ergebnis_je_Aktie_verwässert!A3:S68,14,FALSE)</f>
        <v>#DIV/0!</v>
      </c>
      <c r="O63" s="11">
        <f t="shared" si="1"/>
        <v>0.49678237257861924</v>
      </c>
      <c r="P63" s="4">
        <f t="shared" ca="1" si="2"/>
        <v>217</v>
      </c>
      <c r="Q63" s="4">
        <f t="shared" ca="1" si="5"/>
        <v>143</v>
      </c>
      <c r="R63" s="11">
        <f t="shared" ca="1" si="3"/>
        <v>0.53204401401990675</v>
      </c>
      <c r="S63" s="5">
        <f t="shared" ca="1" si="4"/>
        <v>7.0980057642256789E-2</v>
      </c>
    </row>
    <row r="64" spans="1:19" x14ac:dyDescent="0.25">
      <c r="A64" t="s">
        <v>122</v>
      </c>
      <c r="B64" t="s">
        <v>123</v>
      </c>
      <c r="C64" s="5">
        <f>VLOOKUP(A64,Dividende_je_Aktie!A3:S68,3,FALSE)/VLOOKUP(A64,Ergebnis_je_Aktie_verwässert!A3:S68,3,FALSE)</f>
        <v>0.79120879120879128</v>
      </c>
      <c r="D64" s="5">
        <f>VLOOKUP(A64,Dividende_je_Aktie!A3:S68,4,FALSE)/VLOOKUP(A64,Ergebnis_je_Aktie_verwässert!A3:S68,4,FALSE)</f>
        <v>0.78515624999999989</v>
      </c>
      <c r="E64" s="5">
        <f>VLOOKUP(A64,Dividende_je_Aktie!A3:S68,5,FALSE)/VLOOKUP(A64,Ergebnis_je_Aktie_verwässert!A3:S68,5,FALSE)</f>
        <v>0.81415929203539839</v>
      </c>
      <c r="F64" s="5">
        <f>VLOOKUP(A64,Dividende_je_Aktie!A3:S68,6,FALSE)/VLOOKUP(A64,Ergebnis_je_Aktie_verwässert!A3:S68,6,FALSE)</f>
        <v>0.82524271844660191</v>
      </c>
      <c r="G64" s="5">
        <f>VLOOKUP(A64,Dividende_je_Aktie!A3:S68,7,FALSE)/VLOOKUP(A64,Ergebnis_je_Aktie_verwässert!A3:S68,7,FALSE)</f>
        <v>0.96341463414634154</v>
      </c>
      <c r="H64" s="5">
        <f>VLOOKUP(A64,Dividende_je_Aktie!A3:S68,8,FALSE)/VLOOKUP(A64,Ergebnis_je_Aktie_verwässert!A3:S68,8,FALSE)</f>
        <v>0.78074866310160418</v>
      </c>
      <c r="I64" s="5">
        <f>VLOOKUP(A64,Dividende_je_Aktie!A3:S68,9,FALSE)/VLOOKUP(A64,Ergebnis_je_Aktie_verwässert!A3:S68,9,FALSE)</f>
        <v>0.85714285714285721</v>
      </c>
      <c r="J64" s="5">
        <f>VLOOKUP(A64,Dividende_je_Aktie!A3:S68,10,FALSE)/VLOOKUP(A64,Ergebnis_je_Aktie_verwässert!A3:S68,10,FALSE)</f>
        <v>0.70270270270270274</v>
      </c>
      <c r="K64" s="5">
        <f>VLOOKUP(A64,Dividende_je_Aktie!A3:S68,11,FALSE)/VLOOKUP(A64,Ergebnis_je_Aktie_verwässert!A3:S68,11,FALSE)</f>
        <v>0.63648648648648642</v>
      </c>
      <c r="L64" s="5">
        <f>VLOOKUP(A64,Dividende_je_Aktie!A3:S68,12,FALSE)/VLOOKUP(A64,Ergebnis_je_Aktie_verwässert!A3:S68,12,FALSE)</f>
        <v>0.55298013245033106</v>
      </c>
      <c r="M64" s="5">
        <f>VLOOKUP(A64,Dividende_je_Aktie!A3:S68,13,FALSE)/VLOOKUP(A64,Ergebnis_je_Aktie_verwässert!A3:S68,13,FALSE)</f>
        <v>0.58114754098360655</v>
      </c>
      <c r="N64" s="5">
        <f>VLOOKUP(A64,Dividende_je_Aktie!A3:S68,14,FALSE)/VLOOKUP(A64,Ergebnis_je_Aktie_verwässert!A3:S68,14,FALSE)</f>
        <v>0.61840000000000006</v>
      </c>
      <c r="O64" s="11">
        <f t="shared" si="1"/>
        <v>0.73324250274959302</v>
      </c>
      <c r="P64" s="4">
        <f t="shared" ca="1" si="2"/>
        <v>217</v>
      </c>
      <c r="Q64" s="4">
        <f t="shared" ca="1" si="5"/>
        <v>143</v>
      </c>
      <c r="R64" s="11">
        <f t="shared" ca="1" si="3"/>
        <v>0.78880458733974357</v>
      </c>
      <c r="S64" s="5">
        <f t="shared" ca="1" si="4"/>
        <v>7.5775864576586471E-2</v>
      </c>
    </row>
    <row r="65" spans="1:19" x14ac:dyDescent="0.25">
      <c r="A65" t="s">
        <v>124</v>
      </c>
      <c r="B65" t="s">
        <v>125</v>
      </c>
      <c r="C65" s="5">
        <f>VLOOKUP(A65,Dividende_je_Aktie!A3:S68,3,FALSE)/VLOOKUP(A65,Ergebnis_je_Aktie_verwässert!A3:S68,3,FALSE)</f>
        <v>0.11992263056092843</v>
      </c>
      <c r="D65" s="5">
        <f>VLOOKUP(A65,Dividende_je_Aktie!A3:S68,4,FALSE)/VLOOKUP(A65,Ergebnis_je_Aktie_verwässert!A3:S68,4,FALSE)</f>
        <v>0.10991379310344829</v>
      </c>
      <c r="E65" s="5">
        <f>VLOOKUP(A65,Dividende_je_Aktie!A3:S68,5,FALSE)/VLOOKUP(A65,Ergebnis_je_Aktie_verwässert!A3:S68,5,FALSE)</f>
        <v>3.2626427406199025E-2</v>
      </c>
      <c r="F65" s="5">
        <f>VLOOKUP(A65,Dividende_je_Aktie!A3:S68,6,FALSE)/VLOOKUP(A65,Ergebnis_je_Aktie_verwässert!A3:S68,6,FALSE)</f>
        <v>0</v>
      </c>
      <c r="G65" s="5">
        <f>VLOOKUP(A65,Dividende_je_Aktie!A3:S68,7,FALSE)/VLOOKUP(A65,Ergebnis_je_Aktie_verwässert!A3:S68,7,FALSE)</f>
        <v>0</v>
      </c>
      <c r="H65" s="5">
        <f>VLOOKUP(A65,Dividende_je_Aktie!A3:S68,8,FALSE)/VLOOKUP(A65,Ergebnis_je_Aktie_verwässert!A3:S68,8,FALSE)</f>
        <v>0</v>
      </c>
      <c r="I65" s="5">
        <f>VLOOKUP(A65,Dividende_je_Aktie!A3:S68,9,FALSE)/VLOOKUP(A65,Ergebnis_je_Aktie_verwässert!A3:S68,9,FALSE)</f>
        <v>0</v>
      </c>
      <c r="J65" s="5">
        <f>VLOOKUP(A65,Dividende_je_Aktie!A3:S68,10,FALSE)/VLOOKUP(A65,Ergebnis_je_Aktie_verwässert!A3:S68,10,FALSE)</f>
        <v>-1.1099365750528542E-2</v>
      </c>
      <c r="K65" s="5">
        <f>VLOOKUP(A65,Dividende_je_Aktie!A3:S68,11,FALSE)/VLOOKUP(A65,Ergebnis_je_Aktie_verwässert!A3:S68,11,FALSE)</f>
        <v>0.32217573221757323</v>
      </c>
      <c r="L65" s="5">
        <f>VLOOKUP(A65,Dividende_je_Aktie!A3:S68,12,FALSE)/VLOOKUP(A65,Ergebnis_je_Aktie_verwässert!A3:S68,12,FALSE)</f>
        <v>0.12126865671641791</v>
      </c>
      <c r="M65" s="5">
        <f>VLOOKUP(A65,Dividende_je_Aktie!A3:S68,13,FALSE)/VLOOKUP(A65,Ergebnis_je_Aktie_verwässert!A3:S68,13,FALSE)</f>
        <v>0.15789473684210525</v>
      </c>
      <c r="N65" s="5">
        <f>VLOOKUP(A65,Dividende_je_Aktie!A3:S68,14,FALSE)/VLOOKUP(A65,Ergebnis_je_Aktie_verwässert!A3:S68,14,FALSE)</f>
        <v>7.5880758807588072E-2</v>
      </c>
      <c r="O65" s="11">
        <f t="shared" si="1"/>
        <v>0.14196926239797669</v>
      </c>
      <c r="P65" s="4">
        <f t="shared" ca="1" si="2"/>
        <v>217</v>
      </c>
      <c r="Q65" s="4">
        <f t="shared" ca="1" si="5"/>
        <v>143</v>
      </c>
      <c r="R65" s="11">
        <f t="shared" ca="1" si="3"/>
        <v>0.11594689790420715</v>
      </c>
      <c r="S65" s="5">
        <f t="shared" ca="1" si="4"/>
        <v>-0.1832957645495269</v>
      </c>
    </row>
    <row r="66" spans="1:19" x14ac:dyDescent="0.25">
      <c r="A66" t="s">
        <v>126</v>
      </c>
      <c r="B66" t="s">
        <v>127</v>
      </c>
      <c r="C66" s="5">
        <f>VLOOKUP(A66,Dividende_je_Aktie!A3:S68,3,FALSE)/VLOOKUP(A66,Ergebnis_je_Aktie_verwässert!A3:S68,3,FALSE)</f>
        <v>0.40283018867924525</v>
      </c>
      <c r="D66" s="5">
        <f>VLOOKUP(A66,Dividende_je_Aktie!A3:S68,4,FALSE)/VLOOKUP(A66,Ergebnis_je_Aktie_verwässert!A3:S68,4,FALSE)</f>
        <v>0.4127659574468085</v>
      </c>
      <c r="E66" s="5">
        <f>VLOOKUP(A66,Dividende_je_Aktie!A3:S68,5,FALSE)/VLOOKUP(A66,Ergebnis_je_Aktie_verwässert!A3:S68,5,FALSE)</f>
        <v>0.39834024896265557</v>
      </c>
      <c r="F66" s="5">
        <f>VLOOKUP(A66,Dividende_je_Aktie!A3:S68,6,FALSE)/VLOOKUP(A66,Ergebnis_je_Aktie_verwässert!A3:S68,6,FALSE)</f>
        <v>0.43509789702683105</v>
      </c>
      <c r="G66" s="5">
        <f>VLOOKUP(A66,Dividende_je_Aktie!A3:S68,7,FALSE)/VLOOKUP(A66,Ergebnis_je_Aktie_verwässert!A3:S68,7,FALSE)</f>
        <v>0.44462409054163299</v>
      </c>
      <c r="H66" s="5">
        <f>VLOOKUP(A66,Dividende_je_Aktie!A3:S68,8,FALSE)/VLOOKUP(A66,Ergebnis_je_Aktie_verwässert!A3:S68,8,FALSE)</f>
        <v>0.37914691943127959</v>
      </c>
      <c r="I66" s="5">
        <f>VLOOKUP(A66,Dividende_je_Aktie!A3:S68,9,FALSE)/VLOOKUP(A66,Ergebnis_je_Aktie_verwässert!A3:S68,9,FALSE)</f>
        <v>0.51063829787234039</v>
      </c>
      <c r="J66" s="5">
        <f>VLOOKUP(A66,Dividende_je_Aktie!A3:S68,10,FALSE)/VLOOKUP(A66,Ergebnis_je_Aktie_verwässert!A3:S68,10,FALSE)</f>
        <v>0.53979238754325254</v>
      </c>
      <c r="K66" s="5" t="e">
        <f>VLOOKUP(A66,Dividende_je_Aktie!A3:S68,11,FALSE)/VLOOKUP(A66,Ergebnis_je_Aktie_verwässert!A3:S68,11,FALSE)</f>
        <v>#DIV/0!</v>
      </c>
      <c r="L66" s="5" t="e">
        <f>VLOOKUP(A66,Dividende_je_Aktie!A3:S68,12,FALSE)/VLOOKUP(A66,Ergebnis_je_Aktie_verwässert!A3:S68,12,FALSE)</f>
        <v>#DIV/0!</v>
      </c>
      <c r="M66" s="5" t="e">
        <f>VLOOKUP(A66,Dividende_je_Aktie!A3:S68,13,FALSE)/VLOOKUP(A66,Ergebnis_je_Aktie_verwässert!A3:S68,13,FALSE)</f>
        <v>#DIV/0!</v>
      </c>
      <c r="N66" s="5" t="e">
        <f>VLOOKUP(A66,Dividende_je_Aktie!A3:S68,14,FALSE)/VLOOKUP(A66,Ergebnis_je_Aktie_verwässert!A3:S68,14,FALSE)</f>
        <v>#DIV/0!</v>
      </c>
      <c r="O66" s="11">
        <f t="shared" si="1"/>
        <v>0.45127330689633199</v>
      </c>
      <c r="P66" s="4">
        <f t="shared" ca="1" si="2"/>
        <v>217</v>
      </c>
      <c r="Q66" s="4">
        <f t="shared" ca="1" si="5"/>
        <v>143</v>
      </c>
      <c r="R66" s="11">
        <f t="shared" ca="1" si="3"/>
        <v>0.40677689682858287</v>
      </c>
      <c r="S66" s="5">
        <f t="shared" ca="1" si="4"/>
        <v>-9.8601910167868567E-2</v>
      </c>
    </row>
    <row r="67" spans="1:19" x14ac:dyDescent="0.25">
      <c r="A67" t="s">
        <v>128</v>
      </c>
      <c r="B67" t="s">
        <v>129</v>
      </c>
      <c r="C67" s="5">
        <f>VLOOKUP(A67,Dividende_je_Aktie!A3:S68,3,FALSE)/VLOOKUP(A67,Ergebnis_je_Aktie_verwässert!A3:S68,3,FALSE)</f>
        <v>0.54485049833887045</v>
      </c>
      <c r="D67" s="5">
        <f>VLOOKUP(A67,Dividende_je_Aktie!A3:S68,4,FALSE)/VLOOKUP(A67,Ergebnis_je_Aktie_verwässert!A3:S68,4,FALSE)</f>
        <v>0.54770318021201414</v>
      </c>
      <c r="E67" s="5">
        <f>VLOOKUP(A67,Dividende_je_Aktie!A3:S68,5,FALSE)/VLOOKUP(A67,Ergebnis_je_Aktie_verwässert!A3:S68,5,FALSE)</f>
        <v>0.4731182795698925</v>
      </c>
      <c r="F67" s="5">
        <f>VLOOKUP(A67,Dividende_je_Aktie!A3:S68,6,FALSE)/VLOOKUP(A67,Ergebnis_je_Aktie_verwässert!A3:S68,6,FALSE)</f>
        <v>0.51914893617021274</v>
      </c>
      <c r="G67" s="5">
        <f>VLOOKUP(A67,Dividende_je_Aktie!A3:S68,7,FALSE)/VLOOKUP(A67,Ergebnis_je_Aktie_verwässert!A3:S68,7,FALSE)</f>
        <v>0.4148148148148148</v>
      </c>
      <c r="H67" s="5">
        <f>VLOOKUP(A67,Dividende_je_Aktie!A3:S68,8,FALSE)/VLOOKUP(A67,Ergebnis_je_Aktie_verwässert!A3:S68,8,FALSE)</f>
        <v>0.42857142857142849</v>
      </c>
      <c r="I67" s="5">
        <f>VLOOKUP(A67,Dividende_je_Aktie!A3:S68,9,FALSE)/VLOOKUP(A67,Ergebnis_je_Aktie_verwässert!A3:S68,9,FALSE)</f>
        <v>0.45263157894736844</v>
      </c>
      <c r="J67" s="5">
        <f>VLOOKUP(A67,Dividende_je_Aktie!A3:S68,10,FALSE)/VLOOKUP(A67,Ergebnis_je_Aktie_verwässert!A3:S68,10,FALSE)</f>
        <v>0.42473118279569894</v>
      </c>
      <c r="K67" s="5">
        <f>VLOOKUP(A67,Dividende_je_Aktie!A3:S68,11,FALSE)/VLOOKUP(A67,Ergebnis_je_Aktie_verwässert!A3:S68,11,FALSE)</f>
        <v>0.45283018867924524</v>
      </c>
      <c r="L67" s="5">
        <f>VLOOKUP(A67,Dividende_je_Aktie!A3:S68,12,FALSE)/VLOOKUP(A67,Ergebnis_je_Aktie_verwässert!A3:S68,12,FALSE)</f>
        <v>0.46206896551724141</v>
      </c>
      <c r="M67" s="5">
        <f>VLOOKUP(A67,Dividende_je_Aktie!A3:S68,13,FALSE)/VLOOKUP(A67,Ergebnis_je_Aktie_verwässert!A3:S68,13,FALSE)</f>
        <v>0.40259740259740256</v>
      </c>
      <c r="N67" s="5">
        <f>VLOOKUP(A67,Dividende_je_Aktie!A3:S68,14,FALSE)/VLOOKUP(A67,Ergebnis_je_Aktie_verwässert!A3:S68,14,FALSE)</f>
        <v>0.39855072463768121</v>
      </c>
      <c r="O67" s="11">
        <f t="shared" si="1"/>
        <v>0.44290635023009867</v>
      </c>
      <c r="P67" s="4">
        <f t="shared" ca="1" si="2"/>
        <v>217</v>
      </c>
      <c r="Q67" s="4">
        <f t="shared" ca="1" si="5"/>
        <v>143</v>
      </c>
      <c r="R67" s="11">
        <f t="shared" ca="1" si="3"/>
        <v>0.54598364697181356</v>
      </c>
      <c r="S67" s="5">
        <f t="shared" ca="1" si="4"/>
        <v>0.23272932683887726</v>
      </c>
    </row>
    <row r="68" spans="1:19" x14ac:dyDescent="0.25">
      <c r="A68" t="s">
        <v>130</v>
      </c>
      <c r="B68" t="s">
        <v>131</v>
      </c>
      <c r="C68" s="5">
        <f>VLOOKUP(A68,Dividende_je_Aktie!A3:S68,3,FALSE)/VLOOKUP(A68,Ergebnis_je_Aktie_verwässert!A3:S68,3,FALSE)</f>
        <v>0.54337899543378987</v>
      </c>
      <c r="D68" s="5">
        <f>VLOOKUP(A68,Dividende_je_Aktie!A3:S68,4,FALSE)/VLOOKUP(A68,Ergebnis_je_Aktie_verwässert!A3:S68,4,FALSE)</f>
        <v>0.55481727574750828</v>
      </c>
      <c r="E68" s="5">
        <f>VLOOKUP(A68,Dividende_je_Aktie!A3:S68,5,FALSE)/VLOOKUP(A68,Ergebnis_je_Aktie_verwässert!A3:S68,5,FALSE)</f>
        <v>0.58589511754068713</v>
      </c>
      <c r="F68" s="5">
        <f>VLOOKUP(A68,Dividende_je_Aktie!A3:S68,6,FALSE)/VLOOKUP(A68,Ergebnis_je_Aktie_verwässert!A3:S68,6,FALSE)</f>
        <v>0.66968325791855199</v>
      </c>
      <c r="G68" s="5">
        <f>VLOOKUP(A68,Dividende_je_Aktie!A3:S68,7,FALSE)/VLOOKUP(A68,Ergebnis_je_Aktie_verwässert!A3:S68,7,FALSE)</f>
        <v>0.70175438596491224</v>
      </c>
      <c r="H68" s="5">
        <f>VLOOKUP(A68,Dividende_je_Aktie!A3:S68,8,FALSE)/VLOOKUP(A68,Ergebnis_je_Aktie_verwässert!A3:S68,8,FALSE)</f>
        <v>0.59325842696629216</v>
      </c>
      <c r="I68" s="5">
        <f>VLOOKUP(A68,Dividende_je_Aktie!A3:S68,9,FALSE)/VLOOKUP(A68,Ergebnis_je_Aktie_verwässert!A3:S68,9,FALSE)</f>
        <v>0.53097345132743368</v>
      </c>
      <c r="J68" s="5">
        <f>VLOOKUP(A68,Dividende_je_Aktie!A3:S68,10,FALSE)/VLOOKUP(A68,Ergebnis_je_Aktie_verwässert!A3:S68,10,FALSE)</f>
        <v>0.57425742574257421</v>
      </c>
      <c r="K68" s="5">
        <f>VLOOKUP(A68,Dividende_je_Aktie!A3:S68,11,FALSE)/VLOOKUP(A68,Ergebnis_je_Aktie_verwässert!A3:S68,11,FALSE)</f>
        <v>0.51833740831295849</v>
      </c>
      <c r="L68" s="5">
        <f>VLOOKUP(A68,Dividende_je_Aktie!A3:S68,12,FALSE)/VLOOKUP(A68,Ergebnis_je_Aktie_verwässert!A3:S68,12,FALSE)</f>
        <v>0.60307692307692307</v>
      </c>
      <c r="M68" s="5">
        <f>VLOOKUP(A68,Dividende_je_Aktie!A3:S68,13,FALSE)/VLOOKUP(A68,Ergebnis_je_Aktie_verwässert!A3:S68,13,FALSE)</f>
        <v>0.54878048780487809</v>
      </c>
      <c r="N68" s="5">
        <f>VLOOKUP(A68,Dividende_je_Aktie!A3:S68,14,FALSE)/VLOOKUP(A68,Ergebnis_je_Aktie_verwässert!A3:S68,14,FALSE)</f>
        <v>0.44321329639889201</v>
      </c>
      <c r="O68" s="11">
        <f t="shared" si="1"/>
        <v>0.57692301810541036</v>
      </c>
      <c r="P68" s="4">
        <f t="shared" ca="1" si="2"/>
        <v>217</v>
      </c>
      <c r="Q68" s="4">
        <f t="shared" ca="1" si="5"/>
        <v>143</v>
      </c>
      <c r="R68" s="11">
        <f t="shared" ca="1" si="3"/>
        <v>0.54792253455840578</v>
      </c>
      <c r="S68" s="5">
        <f t="shared" ca="1" si="4"/>
        <v>-5.0267509939611821E-2</v>
      </c>
    </row>
  </sheetData>
  <mergeCells count="1">
    <mergeCell ref="P1:Q1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workbookViewId="0">
      <selection activeCell="D2" sqref="D2"/>
    </sheetView>
  </sheetViews>
  <sheetFormatPr baseColWidth="10" defaultRowHeight="15" x14ac:dyDescent="0.25"/>
  <cols>
    <col min="1" max="1" width="11" bestFit="1" customWidth="1"/>
    <col min="2" max="3" width="10.28515625" bestFit="1" customWidth="1"/>
    <col min="4" max="4" width="11" bestFit="1" customWidth="1"/>
    <col min="5" max="6" width="10.28515625" bestFit="1" customWidth="1"/>
    <col min="7" max="7" width="10.85546875" customWidth="1"/>
    <col min="8" max="8" width="15.42578125" customWidth="1"/>
    <col min="9" max="9" width="7.28515625" bestFit="1" customWidth="1"/>
    <col min="10" max="10" width="10.28515625" bestFit="1" customWidth="1"/>
    <col min="11" max="11" width="7.28515625" bestFit="1" customWidth="1"/>
    <col min="12" max="12" width="10.28515625" bestFit="1" customWidth="1"/>
    <col min="13" max="18" width="12.7109375" customWidth="1"/>
    <col min="19" max="19" width="7.28515625" bestFit="1" customWidth="1"/>
    <col min="20" max="20" width="10.28515625" bestFit="1" customWidth="1"/>
  </cols>
  <sheetData>
    <row r="1" spans="1:20" x14ac:dyDescent="0.25">
      <c r="A1" s="60" t="s">
        <v>168</v>
      </c>
      <c r="B1" s="60"/>
      <c r="D1" s="7"/>
    </row>
    <row r="2" spans="1:20" x14ac:dyDescent="0.25">
      <c r="A2" s="1" t="s">
        <v>166</v>
      </c>
      <c r="B2" s="1" t="s">
        <v>167</v>
      </c>
    </row>
    <row r="3" spans="1:20" x14ac:dyDescent="0.25">
      <c r="A3" s="21">
        <v>0.5</v>
      </c>
      <c r="B3" s="21">
        <v>55</v>
      </c>
    </row>
    <row r="4" spans="1:20" x14ac:dyDescent="0.25">
      <c r="A4" s="24">
        <v>55.5</v>
      </c>
      <c r="B4" s="24">
        <v>85</v>
      </c>
    </row>
    <row r="5" spans="1:20" x14ac:dyDescent="0.25">
      <c r="A5" s="27">
        <v>85.5</v>
      </c>
      <c r="B5" s="27">
        <v>115</v>
      </c>
    </row>
    <row r="6" spans="1:20" x14ac:dyDescent="0.25">
      <c r="A6" s="32">
        <v>115.5</v>
      </c>
      <c r="B6" s="32">
        <v>145</v>
      </c>
      <c r="D6" t="s">
        <v>206</v>
      </c>
    </row>
    <row r="7" spans="1:20" x14ac:dyDescent="0.25">
      <c r="A7" s="35">
        <v>145.5</v>
      </c>
      <c r="B7" s="35">
        <v>175</v>
      </c>
      <c r="D7" s="52">
        <f>A11+C20+E20+G11+I11+K20+M11+O20+Q20+S20+A24+C33+E33+G33+I24+K24+M33</f>
        <v>175</v>
      </c>
    </row>
    <row r="9" spans="1:20" ht="30" customHeight="1" x14ac:dyDescent="0.25">
      <c r="A9" s="62" t="s">
        <v>171</v>
      </c>
      <c r="B9" s="62"/>
      <c r="C9" s="61" t="s">
        <v>162</v>
      </c>
      <c r="D9" s="61"/>
      <c r="E9" s="61" t="s">
        <v>163</v>
      </c>
      <c r="F9" s="61"/>
      <c r="G9" s="61" t="s">
        <v>172</v>
      </c>
      <c r="H9" s="61"/>
      <c r="I9" s="61" t="s">
        <v>164</v>
      </c>
      <c r="J9" s="61"/>
      <c r="K9" s="61" t="s">
        <v>165</v>
      </c>
      <c r="L9" s="61"/>
      <c r="M9" s="61" t="s">
        <v>173</v>
      </c>
      <c r="N9" s="61"/>
      <c r="O9" s="61" t="s">
        <v>174</v>
      </c>
      <c r="P9" s="61"/>
      <c r="Q9" s="61" t="s">
        <v>175</v>
      </c>
      <c r="R9" s="61"/>
      <c r="S9" s="61" t="s">
        <v>176</v>
      </c>
      <c r="T9" s="61"/>
    </row>
    <row r="10" spans="1:20" x14ac:dyDescent="0.25">
      <c r="A10" s="1" t="s">
        <v>169</v>
      </c>
      <c r="B10" s="1" t="s">
        <v>170</v>
      </c>
      <c r="C10" s="1" t="s">
        <v>169</v>
      </c>
      <c r="D10" s="1" t="s">
        <v>170</v>
      </c>
      <c r="E10" s="1" t="s">
        <v>169</v>
      </c>
      <c r="F10" s="1" t="s">
        <v>170</v>
      </c>
      <c r="G10" s="1" t="s">
        <v>169</v>
      </c>
      <c r="H10" s="1" t="s">
        <v>170</v>
      </c>
      <c r="I10" s="1" t="s">
        <v>169</v>
      </c>
      <c r="J10" s="1" t="s">
        <v>170</v>
      </c>
      <c r="K10" s="1" t="s">
        <v>169</v>
      </c>
      <c r="L10" s="1" t="s">
        <v>170</v>
      </c>
      <c r="M10" s="1" t="s">
        <v>169</v>
      </c>
      <c r="N10" s="1" t="s">
        <v>170</v>
      </c>
      <c r="O10" s="1" t="s">
        <v>169</v>
      </c>
      <c r="P10" s="1" t="s">
        <v>170</v>
      </c>
      <c r="Q10" s="1" t="s">
        <v>169</v>
      </c>
      <c r="R10" s="1" t="s">
        <v>170</v>
      </c>
      <c r="S10" s="1" t="s">
        <v>169</v>
      </c>
      <c r="T10" s="1" t="s">
        <v>170</v>
      </c>
    </row>
    <row r="11" spans="1:20" x14ac:dyDescent="0.25">
      <c r="A11" s="33">
        <v>20</v>
      </c>
      <c r="B11" s="34">
        <v>-0.2</v>
      </c>
      <c r="C11" s="22">
        <v>1.5</v>
      </c>
      <c r="D11" s="23">
        <v>5.0000000000000001E-3</v>
      </c>
      <c r="E11" s="22">
        <v>0.5</v>
      </c>
      <c r="F11" s="23">
        <v>-0.2</v>
      </c>
      <c r="G11" s="33">
        <v>5</v>
      </c>
      <c r="H11" s="34">
        <v>0.4</v>
      </c>
      <c r="I11" s="33">
        <v>5</v>
      </c>
      <c r="J11" s="34">
        <v>-0.2</v>
      </c>
      <c r="K11" s="22">
        <v>2</v>
      </c>
      <c r="L11" s="23">
        <v>0</v>
      </c>
      <c r="M11" s="33">
        <v>10</v>
      </c>
      <c r="N11" s="34">
        <v>-0.2</v>
      </c>
      <c r="O11" s="22">
        <v>1</v>
      </c>
      <c r="P11" s="23">
        <v>0</v>
      </c>
      <c r="Q11" s="22">
        <v>1</v>
      </c>
      <c r="R11" s="23">
        <v>-0.6</v>
      </c>
      <c r="S11" s="22">
        <v>1</v>
      </c>
      <c r="T11" s="23">
        <v>5.0000000000000001E-3</v>
      </c>
    </row>
    <row r="12" spans="1:20" x14ac:dyDescent="0.25">
      <c r="A12" s="33">
        <v>18</v>
      </c>
      <c r="B12" s="34">
        <v>-0.15</v>
      </c>
      <c r="C12" s="22">
        <v>3</v>
      </c>
      <c r="D12" s="23">
        <v>0.01</v>
      </c>
      <c r="E12" s="22">
        <v>1</v>
      </c>
      <c r="F12" s="23">
        <v>-0.15</v>
      </c>
      <c r="G12" s="33">
        <v>4.5</v>
      </c>
      <c r="H12" s="34">
        <v>0.45</v>
      </c>
      <c r="I12" s="33">
        <v>4.5</v>
      </c>
      <c r="J12" s="34">
        <v>-0.15</v>
      </c>
      <c r="K12" s="22">
        <v>4</v>
      </c>
      <c r="L12" s="23">
        <v>0.1</v>
      </c>
      <c r="M12" s="33">
        <v>9</v>
      </c>
      <c r="N12" s="34">
        <v>-0.15</v>
      </c>
      <c r="O12" s="22">
        <v>2</v>
      </c>
      <c r="P12" s="23">
        <v>0.1</v>
      </c>
      <c r="Q12" s="22">
        <v>2</v>
      </c>
      <c r="R12" s="23">
        <v>-0.5</v>
      </c>
      <c r="S12" s="22">
        <v>2</v>
      </c>
      <c r="T12" s="23">
        <v>0.01</v>
      </c>
    </row>
    <row r="13" spans="1:20" x14ac:dyDescent="0.25">
      <c r="A13" s="30">
        <v>16</v>
      </c>
      <c r="B13" s="31">
        <v>-0.1</v>
      </c>
      <c r="C13" s="25">
        <v>4.5</v>
      </c>
      <c r="D13" s="26">
        <v>1.4999999999999999E-2</v>
      </c>
      <c r="E13" s="25">
        <v>1.5</v>
      </c>
      <c r="F13" s="26">
        <v>-0.1</v>
      </c>
      <c r="G13" s="30">
        <v>4</v>
      </c>
      <c r="H13" s="31">
        <v>0.5</v>
      </c>
      <c r="I13" s="30">
        <v>4</v>
      </c>
      <c r="J13" s="31">
        <v>-0.1</v>
      </c>
      <c r="K13" s="25">
        <v>6</v>
      </c>
      <c r="L13" s="26">
        <v>0.2</v>
      </c>
      <c r="M13" s="30">
        <v>8</v>
      </c>
      <c r="N13" s="31">
        <v>-0.1</v>
      </c>
      <c r="O13" s="25">
        <v>3</v>
      </c>
      <c r="P13" s="26">
        <v>0.2</v>
      </c>
      <c r="Q13" s="25">
        <v>3</v>
      </c>
      <c r="R13" s="26">
        <v>-0.4</v>
      </c>
      <c r="S13" s="25">
        <v>3</v>
      </c>
      <c r="T13" s="26">
        <v>1.4999999999999999E-2</v>
      </c>
    </row>
    <row r="14" spans="1:20" x14ac:dyDescent="0.25">
      <c r="A14" s="30">
        <v>14</v>
      </c>
      <c r="B14" s="31">
        <v>-0.05</v>
      </c>
      <c r="C14" s="25">
        <v>6</v>
      </c>
      <c r="D14" s="26">
        <v>0.02</v>
      </c>
      <c r="E14" s="25">
        <v>2</v>
      </c>
      <c r="F14" s="26">
        <v>-0.05</v>
      </c>
      <c r="G14" s="30">
        <v>3.5</v>
      </c>
      <c r="H14" s="31">
        <v>0.55000000000000004</v>
      </c>
      <c r="I14" s="30">
        <v>3.5</v>
      </c>
      <c r="J14" s="31">
        <v>-0.05</v>
      </c>
      <c r="K14" s="25">
        <v>8</v>
      </c>
      <c r="L14" s="26">
        <v>0.3</v>
      </c>
      <c r="M14" s="30">
        <v>7</v>
      </c>
      <c r="N14" s="31">
        <v>-0.05</v>
      </c>
      <c r="O14" s="25">
        <v>4</v>
      </c>
      <c r="P14" s="26">
        <v>0.3</v>
      </c>
      <c r="Q14" s="25">
        <v>4</v>
      </c>
      <c r="R14" s="26">
        <v>-0.3</v>
      </c>
      <c r="S14" s="25">
        <v>4</v>
      </c>
      <c r="T14" s="26">
        <v>0.02</v>
      </c>
    </row>
    <row r="15" spans="1:20" x14ac:dyDescent="0.25">
      <c r="A15" s="28">
        <v>12</v>
      </c>
      <c r="B15" s="29">
        <v>0</v>
      </c>
      <c r="C15" s="28">
        <v>7.5</v>
      </c>
      <c r="D15" s="29">
        <v>2.5000000000000001E-2</v>
      </c>
      <c r="E15" s="28">
        <v>2.5</v>
      </c>
      <c r="F15" s="29">
        <v>0</v>
      </c>
      <c r="G15" s="28">
        <v>3</v>
      </c>
      <c r="H15" s="29">
        <v>0.6</v>
      </c>
      <c r="I15" s="28">
        <v>3</v>
      </c>
      <c r="J15" s="29">
        <v>0</v>
      </c>
      <c r="K15" s="28">
        <v>10</v>
      </c>
      <c r="L15" s="29">
        <v>0.4</v>
      </c>
      <c r="M15" s="28">
        <v>6</v>
      </c>
      <c r="N15" s="29">
        <v>0</v>
      </c>
      <c r="O15" s="28">
        <v>5</v>
      </c>
      <c r="P15" s="29">
        <v>0.4</v>
      </c>
      <c r="Q15" s="28">
        <v>5</v>
      </c>
      <c r="R15" s="29">
        <v>-0.2</v>
      </c>
      <c r="S15" s="28">
        <v>5</v>
      </c>
      <c r="T15" s="29">
        <v>2.5000000000000001E-2</v>
      </c>
    </row>
    <row r="16" spans="1:20" x14ac:dyDescent="0.25">
      <c r="A16" s="28">
        <v>10</v>
      </c>
      <c r="B16" s="29">
        <v>0.05</v>
      </c>
      <c r="C16" s="28">
        <v>9</v>
      </c>
      <c r="D16" s="29">
        <v>0.03</v>
      </c>
      <c r="E16" s="28">
        <v>3</v>
      </c>
      <c r="F16" s="29">
        <v>0.05</v>
      </c>
      <c r="G16" s="28">
        <v>2.5</v>
      </c>
      <c r="H16" s="29">
        <v>0.65</v>
      </c>
      <c r="I16" s="28">
        <v>2.5</v>
      </c>
      <c r="J16" s="29">
        <v>0.05</v>
      </c>
      <c r="K16" s="28">
        <v>12</v>
      </c>
      <c r="L16" s="29">
        <v>0.5</v>
      </c>
      <c r="M16" s="28">
        <v>5</v>
      </c>
      <c r="N16" s="29">
        <v>0.05</v>
      </c>
      <c r="O16" s="28">
        <v>6</v>
      </c>
      <c r="P16" s="29">
        <v>0.5</v>
      </c>
      <c r="Q16" s="28">
        <v>6</v>
      </c>
      <c r="R16" s="29">
        <v>-0.1</v>
      </c>
      <c r="S16" s="28">
        <v>6</v>
      </c>
      <c r="T16" s="29">
        <v>0.03</v>
      </c>
    </row>
    <row r="17" spans="1:20" x14ac:dyDescent="0.25">
      <c r="A17" s="25">
        <v>8</v>
      </c>
      <c r="B17" s="26">
        <v>0.1</v>
      </c>
      <c r="C17" s="30">
        <v>10.5</v>
      </c>
      <c r="D17" s="31">
        <v>3.5000000000000003E-2</v>
      </c>
      <c r="E17" s="30">
        <v>3.5</v>
      </c>
      <c r="F17" s="31">
        <v>0.1</v>
      </c>
      <c r="G17" s="25">
        <v>2</v>
      </c>
      <c r="H17" s="26">
        <v>0.7</v>
      </c>
      <c r="I17" s="25">
        <v>2</v>
      </c>
      <c r="J17" s="26">
        <v>0.1</v>
      </c>
      <c r="K17" s="30">
        <v>14</v>
      </c>
      <c r="L17" s="31">
        <v>0.6</v>
      </c>
      <c r="M17" s="25">
        <v>4</v>
      </c>
      <c r="N17" s="26">
        <v>0.1</v>
      </c>
      <c r="O17" s="30">
        <v>7</v>
      </c>
      <c r="P17" s="31">
        <v>0.6</v>
      </c>
      <c r="Q17" s="30">
        <v>7</v>
      </c>
      <c r="R17" s="31">
        <v>0</v>
      </c>
      <c r="S17" s="30">
        <v>7</v>
      </c>
      <c r="T17" s="31">
        <v>3.5000000000000003E-2</v>
      </c>
    </row>
    <row r="18" spans="1:20" x14ac:dyDescent="0.25">
      <c r="A18" s="25">
        <v>6</v>
      </c>
      <c r="B18" s="26">
        <v>0.15</v>
      </c>
      <c r="C18" s="30">
        <v>12</v>
      </c>
      <c r="D18" s="31">
        <v>0.04</v>
      </c>
      <c r="E18" s="30">
        <v>4</v>
      </c>
      <c r="F18" s="31">
        <v>0.15</v>
      </c>
      <c r="G18" s="25">
        <v>1.5</v>
      </c>
      <c r="H18" s="26">
        <v>0.75</v>
      </c>
      <c r="I18" s="25">
        <v>1.5</v>
      </c>
      <c r="J18" s="26">
        <v>0.15</v>
      </c>
      <c r="K18" s="30">
        <v>16</v>
      </c>
      <c r="L18" s="31">
        <v>0.7</v>
      </c>
      <c r="M18" s="25">
        <v>3</v>
      </c>
      <c r="N18" s="26">
        <v>0.15</v>
      </c>
      <c r="O18" s="30">
        <v>8</v>
      </c>
      <c r="P18" s="31">
        <v>0.7</v>
      </c>
      <c r="Q18" s="30">
        <v>8</v>
      </c>
      <c r="R18" s="31">
        <v>0.1</v>
      </c>
      <c r="S18" s="30">
        <v>8</v>
      </c>
      <c r="T18" s="31">
        <v>0.04</v>
      </c>
    </row>
    <row r="19" spans="1:20" x14ac:dyDescent="0.25">
      <c r="A19" s="22">
        <v>4</v>
      </c>
      <c r="B19" s="23">
        <v>0.2</v>
      </c>
      <c r="C19" s="33">
        <v>13.5</v>
      </c>
      <c r="D19" s="34">
        <v>4.4999999999999998E-2</v>
      </c>
      <c r="E19" s="33">
        <v>4.5</v>
      </c>
      <c r="F19" s="34">
        <v>0.2</v>
      </c>
      <c r="G19" s="22">
        <v>1</v>
      </c>
      <c r="H19" s="23">
        <v>0.8</v>
      </c>
      <c r="I19" s="22">
        <v>1</v>
      </c>
      <c r="J19" s="23">
        <v>0.2</v>
      </c>
      <c r="K19" s="33">
        <v>18</v>
      </c>
      <c r="L19" s="34">
        <v>0.8</v>
      </c>
      <c r="M19" s="22">
        <v>2</v>
      </c>
      <c r="N19" s="23">
        <v>0.2</v>
      </c>
      <c r="O19" s="33">
        <v>9</v>
      </c>
      <c r="P19" s="34">
        <v>0.8</v>
      </c>
      <c r="Q19" s="33">
        <v>9</v>
      </c>
      <c r="R19" s="34">
        <v>0.2</v>
      </c>
      <c r="S19" s="33">
        <v>9</v>
      </c>
      <c r="T19" s="34">
        <v>4.4999999999999998E-2</v>
      </c>
    </row>
    <row r="20" spans="1:20" x14ac:dyDescent="0.25">
      <c r="A20" s="22">
        <v>2</v>
      </c>
      <c r="B20" s="23"/>
      <c r="C20" s="33">
        <v>15</v>
      </c>
      <c r="D20" s="34"/>
      <c r="E20" s="33">
        <v>5</v>
      </c>
      <c r="F20" s="34"/>
      <c r="G20" s="22">
        <v>0.5</v>
      </c>
      <c r="H20" s="23"/>
      <c r="I20" s="22">
        <v>0.5</v>
      </c>
      <c r="J20" s="23"/>
      <c r="K20" s="33">
        <v>20</v>
      </c>
      <c r="L20" s="34"/>
      <c r="M20" s="22">
        <v>1</v>
      </c>
      <c r="N20" s="23"/>
      <c r="O20" s="33">
        <v>10</v>
      </c>
      <c r="P20" s="34"/>
      <c r="Q20" s="33">
        <v>10</v>
      </c>
      <c r="R20" s="34"/>
      <c r="S20" s="33">
        <v>10</v>
      </c>
      <c r="T20" s="34"/>
    </row>
    <row r="21" spans="1:20" x14ac:dyDescent="0.25">
      <c r="A21" s="20"/>
    </row>
    <row r="22" spans="1:20" ht="30" customHeight="1" x14ac:dyDescent="0.25">
      <c r="A22" s="62" t="s">
        <v>152</v>
      </c>
      <c r="B22" s="62"/>
      <c r="C22" s="62" t="s">
        <v>195</v>
      </c>
      <c r="D22" s="62"/>
      <c r="E22" s="62" t="s">
        <v>204</v>
      </c>
      <c r="F22" s="62"/>
      <c r="G22" s="62" t="s">
        <v>205</v>
      </c>
      <c r="H22" s="62"/>
      <c r="I22" s="62" t="s">
        <v>207</v>
      </c>
      <c r="J22" s="62"/>
      <c r="K22" s="62" t="s">
        <v>208</v>
      </c>
      <c r="L22" s="62"/>
      <c r="M22" s="62" t="s">
        <v>209</v>
      </c>
      <c r="N22" s="62"/>
    </row>
    <row r="23" spans="1:20" x14ac:dyDescent="0.25">
      <c r="A23" s="1" t="s">
        <v>169</v>
      </c>
      <c r="B23" s="1" t="s">
        <v>170</v>
      </c>
      <c r="C23" s="1" t="s">
        <v>169</v>
      </c>
      <c r="D23" s="1" t="s">
        <v>170</v>
      </c>
      <c r="E23" s="1" t="s">
        <v>169</v>
      </c>
      <c r="F23" s="1" t="s">
        <v>170</v>
      </c>
      <c r="G23" s="1" t="s">
        <v>169</v>
      </c>
      <c r="H23" s="1" t="s">
        <v>170</v>
      </c>
      <c r="I23" s="1" t="s">
        <v>169</v>
      </c>
      <c r="J23" s="1" t="s">
        <v>170</v>
      </c>
      <c r="K23" s="1" t="s">
        <v>169</v>
      </c>
      <c r="L23" s="1" t="s">
        <v>170</v>
      </c>
      <c r="M23" s="1" t="s">
        <v>169</v>
      </c>
      <c r="N23" s="1" t="s">
        <v>170</v>
      </c>
    </row>
    <row r="24" spans="1:20" x14ac:dyDescent="0.25">
      <c r="A24" s="33">
        <v>5</v>
      </c>
      <c r="B24" s="34">
        <v>0.4</v>
      </c>
      <c r="C24" s="22">
        <v>2</v>
      </c>
      <c r="D24" s="23">
        <v>0</v>
      </c>
      <c r="E24" s="22">
        <v>1.5</v>
      </c>
      <c r="F24" s="23">
        <v>-0.3</v>
      </c>
      <c r="G24" s="22">
        <v>1</v>
      </c>
      <c r="H24" s="23">
        <v>0</v>
      </c>
      <c r="I24" s="33">
        <v>5</v>
      </c>
      <c r="J24" s="34">
        <v>-3.5000000000000003E-2</v>
      </c>
      <c r="K24" s="33">
        <v>5</v>
      </c>
      <c r="L24" s="34">
        <v>-3.5000000000000003E-2</v>
      </c>
      <c r="M24" s="22">
        <v>0.5</v>
      </c>
      <c r="N24" s="53">
        <v>-9.9999990000000007</v>
      </c>
    </row>
    <row r="25" spans="1:20" x14ac:dyDescent="0.25">
      <c r="A25" s="33">
        <v>4.5</v>
      </c>
      <c r="B25" s="34">
        <v>0.45</v>
      </c>
      <c r="C25" s="22">
        <v>4</v>
      </c>
      <c r="D25" s="23">
        <v>0.1</v>
      </c>
      <c r="E25" s="22">
        <v>3</v>
      </c>
      <c r="F25" s="23">
        <v>-0.25</v>
      </c>
      <c r="G25" s="22">
        <v>2</v>
      </c>
      <c r="H25" s="23">
        <v>0.1</v>
      </c>
      <c r="I25" s="33">
        <v>4.5</v>
      </c>
      <c r="J25" s="34">
        <v>-0.03</v>
      </c>
      <c r="K25" s="33">
        <v>4.5</v>
      </c>
      <c r="L25" s="34">
        <v>-0.03</v>
      </c>
      <c r="M25" s="22">
        <v>1</v>
      </c>
      <c r="N25" s="53">
        <v>-0.99999899999999997</v>
      </c>
    </row>
    <row r="26" spans="1:20" x14ac:dyDescent="0.25">
      <c r="A26" s="30">
        <v>4</v>
      </c>
      <c r="B26" s="31">
        <v>0.5</v>
      </c>
      <c r="C26" s="25">
        <v>6</v>
      </c>
      <c r="D26" s="26">
        <v>0.2</v>
      </c>
      <c r="E26" s="25">
        <v>4.5</v>
      </c>
      <c r="F26" s="26">
        <v>-0.2</v>
      </c>
      <c r="G26" s="25">
        <v>3</v>
      </c>
      <c r="H26" s="26">
        <v>0.2</v>
      </c>
      <c r="I26" s="30">
        <v>4</v>
      </c>
      <c r="J26" s="31">
        <v>-2.5000000000000001E-2</v>
      </c>
      <c r="K26" s="30">
        <v>4</v>
      </c>
      <c r="L26" s="31">
        <v>-2.5000000000000001E-2</v>
      </c>
      <c r="M26" s="25">
        <v>1.5</v>
      </c>
      <c r="N26" s="54">
        <v>-0.5</v>
      </c>
    </row>
    <row r="27" spans="1:20" x14ac:dyDescent="0.25">
      <c r="A27" s="30">
        <v>3.5</v>
      </c>
      <c r="B27" s="31">
        <v>0.55000000000000004</v>
      </c>
      <c r="C27" s="25">
        <v>8</v>
      </c>
      <c r="D27" s="26">
        <v>0.3</v>
      </c>
      <c r="E27" s="25">
        <v>6</v>
      </c>
      <c r="F27" s="26">
        <v>-0.15</v>
      </c>
      <c r="G27" s="25">
        <v>4</v>
      </c>
      <c r="H27" s="26">
        <v>0.3</v>
      </c>
      <c r="I27" s="30">
        <v>3.5</v>
      </c>
      <c r="J27" s="31">
        <v>-0.02</v>
      </c>
      <c r="K27" s="30">
        <v>3.5</v>
      </c>
      <c r="L27" s="31">
        <v>-0.02</v>
      </c>
      <c r="M27" s="25">
        <v>2</v>
      </c>
      <c r="N27" s="54">
        <v>-0.25</v>
      </c>
    </row>
    <row r="28" spans="1:20" x14ac:dyDescent="0.25">
      <c r="A28" s="28">
        <v>3</v>
      </c>
      <c r="B28" s="29">
        <v>0.6</v>
      </c>
      <c r="C28" s="28">
        <v>10</v>
      </c>
      <c r="D28" s="29">
        <v>0.4</v>
      </c>
      <c r="E28" s="28">
        <v>7.5</v>
      </c>
      <c r="F28" s="29">
        <v>-0.1</v>
      </c>
      <c r="G28" s="28">
        <v>5</v>
      </c>
      <c r="H28" s="29">
        <v>0.4</v>
      </c>
      <c r="I28" s="28">
        <v>3</v>
      </c>
      <c r="J28" s="29">
        <v>-1.4999999999999999E-2</v>
      </c>
      <c r="K28" s="28">
        <v>3</v>
      </c>
      <c r="L28" s="29">
        <v>-1.4999999999999999E-2</v>
      </c>
      <c r="M28" s="28">
        <v>2.5</v>
      </c>
      <c r="N28" s="55">
        <v>0</v>
      </c>
    </row>
    <row r="29" spans="1:20" x14ac:dyDescent="0.25">
      <c r="A29" s="28">
        <v>2.5</v>
      </c>
      <c r="B29" s="29">
        <v>0.65</v>
      </c>
      <c r="C29" s="28">
        <v>12</v>
      </c>
      <c r="D29" s="29">
        <v>0.5</v>
      </c>
      <c r="E29" s="28">
        <v>9</v>
      </c>
      <c r="F29" s="29">
        <v>-0.05</v>
      </c>
      <c r="G29" s="28">
        <v>6</v>
      </c>
      <c r="H29" s="29">
        <v>0.5</v>
      </c>
      <c r="I29" s="28">
        <v>2.5</v>
      </c>
      <c r="J29" s="29">
        <v>-0.01</v>
      </c>
      <c r="K29" s="28">
        <v>2.5</v>
      </c>
      <c r="L29" s="29">
        <v>-0.01</v>
      </c>
      <c r="M29" s="28">
        <v>3</v>
      </c>
      <c r="N29" s="55">
        <v>0.25</v>
      </c>
    </row>
    <row r="30" spans="1:20" x14ac:dyDescent="0.25">
      <c r="A30" s="25">
        <v>2</v>
      </c>
      <c r="B30" s="26">
        <v>0.7</v>
      </c>
      <c r="C30" s="30">
        <v>14</v>
      </c>
      <c r="D30" s="31">
        <v>0.6</v>
      </c>
      <c r="E30" s="30">
        <v>10.5</v>
      </c>
      <c r="F30" s="31">
        <v>0</v>
      </c>
      <c r="G30" s="30">
        <v>7</v>
      </c>
      <c r="H30" s="31">
        <v>0.6</v>
      </c>
      <c r="I30" s="25">
        <v>2</v>
      </c>
      <c r="J30" s="26">
        <v>-5.0000000000000001E-3</v>
      </c>
      <c r="K30" s="25">
        <v>2</v>
      </c>
      <c r="L30" s="26">
        <v>-5.0000000000000001E-3</v>
      </c>
      <c r="M30" s="30">
        <v>3.5</v>
      </c>
      <c r="N30" s="56">
        <v>0.5</v>
      </c>
    </row>
    <row r="31" spans="1:20" x14ac:dyDescent="0.25">
      <c r="A31" s="25">
        <v>1.5</v>
      </c>
      <c r="B31" s="26">
        <v>0.75</v>
      </c>
      <c r="C31" s="30">
        <v>16</v>
      </c>
      <c r="D31" s="31">
        <v>0.7</v>
      </c>
      <c r="E31" s="30">
        <v>12</v>
      </c>
      <c r="F31" s="31">
        <v>0.05</v>
      </c>
      <c r="G31" s="30">
        <v>8</v>
      </c>
      <c r="H31" s="31">
        <v>0.7</v>
      </c>
      <c r="I31" s="25">
        <v>1.5</v>
      </c>
      <c r="J31" s="26">
        <v>0</v>
      </c>
      <c r="K31" s="25">
        <v>1.5</v>
      </c>
      <c r="L31" s="26">
        <v>0</v>
      </c>
      <c r="M31" s="30">
        <v>4</v>
      </c>
      <c r="N31" s="56">
        <v>0.75</v>
      </c>
    </row>
    <row r="32" spans="1:20" x14ac:dyDescent="0.25">
      <c r="A32" s="22">
        <v>1</v>
      </c>
      <c r="B32" s="23">
        <v>0.8</v>
      </c>
      <c r="C32" s="33">
        <v>18</v>
      </c>
      <c r="D32" s="34">
        <v>0.8</v>
      </c>
      <c r="E32" s="33">
        <v>13.5</v>
      </c>
      <c r="F32" s="34">
        <v>0.1</v>
      </c>
      <c r="G32" s="33">
        <v>9</v>
      </c>
      <c r="H32" s="34">
        <v>0.8</v>
      </c>
      <c r="I32" s="22">
        <v>1</v>
      </c>
      <c r="J32" s="23">
        <v>5.0000000000000001E-3</v>
      </c>
      <c r="K32" s="22">
        <v>1</v>
      </c>
      <c r="L32" s="23">
        <v>5.0000000000000001E-3</v>
      </c>
      <c r="M32" s="33">
        <v>4.5</v>
      </c>
      <c r="N32" s="57">
        <v>1</v>
      </c>
    </row>
    <row r="33" spans="1:14" x14ac:dyDescent="0.25">
      <c r="A33" s="22">
        <v>0.5</v>
      </c>
      <c r="B33" s="23"/>
      <c r="C33" s="33">
        <v>20</v>
      </c>
      <c r="D33" s="34"/>
      <c r="E33" s="33">
        <v>15</v>
      </c>
      <c r="F33" s="34"/>
      <c r="G33" s="33">
        <v>10</v>
      </c>
      <c r="H33" s="34"/>
      <c r="I33" s="22">
        <v>0.5</v>
      </c>
      <c r="J33" s="23"/>
      <c r="K33" s="22">
        <v>0.5</v>
      </c>
      <c r="L33" s="23"/>
      <c r="M33" s="33">
        <v>5</v>
      </c>
      <c r="N33" s="57"/>
    </row>
  </sheetData>
  <mergeCells count="18">
    <mergeCell ref="K22:L22"/>
    <mergeCell ref="M22:N22"/>
    <mergeCell ref="A22:B22"/>
    <mergeCell ref="C22:D22"/>
    <mergeCell ref="E22:F22"/>
    <mergeCell ref="G22:H22"/>
    <mergeCell ref="I22:J22"/>
    <mergeCell ref="S9:T9"/>
    <mergeCell ref="A1:B1"/>
    <mergeCell ref="A9:B9"/>
    <mergeCell ref="C9:D9"/>
    <mergeCell ref="E9:F9"/>
    <mergeCell ref="G9:H9"/>
    <mergeCell ref="I9:J9"/>
    <mergeCell ref="K9:L9"/>
    <mergeCell ref="M9:N9"/>
    <mergeCell ref="O9:P9"/>
    <mergeCell ref="Q9:R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Bewertung</vt:lpstr>
      <vt:lpstr>KGV</vt:lpstr>
      <vt:lpstr>Buchwert_je_Aktie</vt:lpstr>
      <vt:lpstr>Ergebnis_je_Aktie_verwässert</vt:lpstr>
      <vt:lpstr>Dividende_je_Aktie</vt:lpstr>
      <vt:lpstr>Dividendenrendite</vt:lpstr>
      <vt:lpstr>Aktien_im_Umlauf_splitbereinigt</vt:lpstr>
      <vt:lpstr>Ausschüttungsquote</vt:lpstr>
      <vt:lpstr>Bewertung_Stammdaten</vt:lpstr>
      <vt:lpstr>Bereinigung</vt:lpstr>
      <vt:lpstr>Bewertung!_FilterDatenbank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2014-07-20T12:36:11Z</dcterms:created>
  <dcterms:modified xsi:type="dcterms:W3CDTF">2014-08-08T05:46:11Z</dcterms:modified>
</cp:coreProperties>
</file>