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Rechnung fairr vs. VWB" sheetId="10" r:id="rId1"/>
    <sheet name="Konditionen fairr vs VWB" sheetId="6" r:id="rId2"/>
    <sheet name="Honorar Fond-Riester" sheetId="5" r:id="rId3"/>
  </sheets>
  <calcPr calcId="124519"/>
</workbook>
</file>

<file path=xl/calcChain.xml><?xml version="1.0" encoding="utf-8"?>
<calcChain xmlns="http://schemas.openxmlformats.org/spreadsheetml/2006/main">
  <c r="G37" i="10"/>
  <c r="O37"/>
  <c r="O76"/>
  <c r="M41"/>
  <c r="M34"/>
  <c r="M33"/>
  <c r="M32"/>
  <c r="M31"/>
  <c r="M30"/>
  <c r="G2"/>
  <c r="Q21" i="5"/>
  <c r="P21"/>
  <c r="P17"/>
  <c r="Q17" s="1"/>
  <c r="O17"/>
  <c r="Q2"/>
  <c r="Q15"/>
  <c r="P15"/>
  <c r="Q18"/>
  <c r="U44"/>
  <c r="K18"/>
  <c r="K17"/>
  <c r="L76" i="10" l="1"/>
  <c r="K76"/>
  <c r="F76"/>
  <c r="C76"/>
  <c r="O41"/>
  <c r="E41"/>
  <c r="D41"/>
  <c r="L37"/>
  <c r="K37"/>
  <c r="F37"/>
  <c r="C37"/>
  <c r="O2"/>
  <c r="M2"/>
  <c r="E2"/>
  <c r="D2"/>
  <c r="E2" i="5"/>
  <c r="E4"/>
  <c r="K4"/>
  <c r="Q4"/>
  <c r="E5"/>
  <c r="K5"/>
  <c r="Q5"/>
  <c r="E6"/>
  <c r="K6"/>
  <c r="Q6"/>
  <c r="C8"/>
  <c r="D8"/>
  <c r="B8" s="1"/>
  <c r="I8"/>
  <c r="J8"/>
  <c r="H8" s="1"/>
  <c r="O8"/>
  <c r="P8"/>
  <c r="N8" s="1"/>
  <c r="J21"/>
  <c r="K8" l="1"/>
  <c r="Q8"/>
  <c r="E8"/>
  <c r="K21"/>
  <c r="P2" i="10"/>
  <c r="J3"/>
  <c r="G41"/>
  <c r="J42"/>
  <c r="M42" s="1"/>
  <c r="B3" l="1"/>
  <c r="P41"/>
  <c r="B42"/>
  <c r="M3"/>
  <c r="O3" l="1"/>
  <c r="D42"/>
  <c r="E42"/>
  <c r="D3"/>
  <c r="E3"/>
  <c r="O42"/>
  <c r="J43" l="1"/>
  <c r="M43" s="1"/>
  <c r="G3"/>
  <c r="P3" s="1"/>
  <c r="G42"/>
  <c r="J4"/>
  <c r="M4" l="1"/>
  <c r="P42"/>
  <c r="B43"/>
  <c r="B4"/>
  <c r="D4" l="1"/>
  <c r="E4"/>
  <c r="O4"/>
  <c r="D43"/>
  <c r="E43"/>
  <c r="O43"/>
  <c r="G43" l="1"/>
  <c r="J5"/>
  <c r="G4"/>
  <c r="P4" s="1"/>
  <c r="J44"/>
  <c r="M44" s="1"/>
  <c r="M5" l="1"/>
  <c r="B5"/>
  <c r="P43"/>
  <c r="B44"/>
  <c r="D44" l="1"/>
  <c r="E44"/>
  <c r="O5"/>
  <c r="D5"/>
  <c r="E5"/>
  <c r="O44"/>
  <c r="J6" l="1"/>
  <c r="J45"/>
  <c r="M45" s="1"/>
  <c r="G5"/>
  <c r="P5" s="1"/>
  <c r="G44"/>
  <c r="O45" l="1"/>
  <c r="J46"/>
  <c r="M46" s="1"/>
  <c r="M6"/>
  <c r="O6" s="1"/>
  <c r="J7"/>
  <c r="P44"/>
  <c r="B45"/>
  <c r="B6"/>
  <c r="D6" l="1"/>
  <c r="E6"/>
  <c r="M7"/>
  <c r="O7" s="1"/>
  <c r="O46"/>
  <c r="J47" s="1"/>
  <c r="M47" s="1"/>
  <c r="D45"/>
  <c r="E45"/>
  <c r="J8" l="1"/>
  <c r="M8" s="1"/>
  <c r="O8" s="1"/>
  <c r="O47"/>
  <c r="J48" s="1"/>
  <c r="M48" s="1"/>
  <c r="G45"/>
  <c r="G6"/>
  <c r="P6" s="1"/>
  <c r="J9" l="1"/>
  <c r="M9"/>
  <c r="O9" s="1"/>
  <c r="B7"/>
  <c r="O48"/>
  <c r="J49" s="1"/>
  <c r="M49" s="1"/>
  <c r="P45"/>
  <c r="B46"/>
  <c r="J10" l="1"/>
  <c r="O49"/>
  <c r="J50" s="1"/>
  <c r="M50" s="1"/>
  <c r="M10"/>
  <c r="O10" s="1"/>
  <c r="D46"/>
  <c r="E46"/>
  <c r="E7"/>
  <c r="D7"/>
  <c r="J11" l="1"/>
  <c r="M11"/>
  <c r="O11" s="1"/>
  <c r="O50"/>
  <c r="J51" s="1"/>
  <c r="M51" s="1"/>
  <c r="G7"/>
  <c r="P7" s="1"/>
  <c r="G46"/>
  <c r="J12" l="1"/>
  <c r="M12"/>
  <c r="O12" s="1"/>
  <c r="P46"/>
  <c r="B47"/>
  <c r="O51"/>
  <c r="J52" s="1"/>
  <c r="M52" s="1"/>
  <c r="B8"/>
  <c r="J13" l="1"/>
  <c r="M13"/>
  <c r="O13" s="1"/>
  <c r="D8"/>
  <c r="E8"/>
  <c r="O52"/>
  <c r="J53" s="1"/>
  <c r="M53" s="1"/>
  <c r="D47"/>
  <c r="E47"/>
  <c r="J14" l="1"/>
  <c r="O53"/>
  <c r="J54" s="1"/>
  <c r="M54" s="1"/>
  <c r="M14"/>
  <c r="O14" s="1"/>
  <c r="G47"/>
  <c r="G8"/>
  <c r="P8" s="1"/>
  <c r="J15" l="1"/>
  <c r="M15"/>
  <c r="O15" s="1"/>
  <c r="B9"/>
  <c r="O54"/>
  <c r="J55" s="1"/>
  <c r="M55" s="1"/>
  <c r="P47"/>
  <c r="B48"/>
  <c r="J16" l="1"/>
  <c r="M16"/>
  <c r="O16" s="1"/>
  <c r="D48"/>
  <c r="E48"/>
  <c r="O55"/>
  <c r="J56" s="1"/>
  <c r="M56" s="1"/>
  <c r="D9"/>
  <c r="E9"/>
  <c r="J17" l="1"/>
  <c r="M17"/>
  <c r="O17" s="1"/>
  <c r="O56"/>
  <c r="J57" s="1"/>
  <c r="M57" s="1"/>
  <c r="G9"/>
  <c r="P9" s="1"/>
  <c r="G48"/>
  <c r="J18" l="1"/>
  <c r="J19" s="1"/>
  <c r="O57"/>
  <c r="J58" s="1"/>
  <c r="M58" s="1"/>
  <c r="B10"/>
  <c r="M18"/>
  <c r="O18" s="1"/>
  <c r="P48"/>
  <c r="B49"/>
  <c r="O58" l="1"/>
  <c r="J59" s="1"/>
  <c r="M59" s="1"/>
  <c r="M19"/>
  <c r="O19" s="1"/>
  <c r="D49"/>
  <c r="E49"/>
  <c r="E10"/>
  <c r="D10"/>
  <c r="J20" l="1"/>
  <c r="M20" s="1"/>
  <c r="O20" s="1"/>
  <c r="O59"/>
  <c r="J60" s="1"/>
  <c r="M60" s="1"/>
  <c r="G49"/>
  <c r="G10"/>
  <c r="P10" s="1"/>
  <c r="J21" l="1"/>
  <c r="M21" s="1"/>
  <c r="O21" s="1"/>
  <c r="O60"/>
  <c r="J61" s="1"/>
  <c r="M61" s="1"/>
  <c r="P49"/>
  <c r="B50"/>
  <c r="B11"/>
  <c r="J22" l="1"/>
  <c r="M22" s="1"/>
  <c r="O22" s="1"/>
  <c r="O61"/>
  <c r="J62" s="1"/>
  <c r="M62" s="1"/>
  <c r="E11"/>
  <c r="D11"/>
  <c r="D50"/>
  <c r="E50"/>
  <c r="J23" l="1"/>
  <c r="J24" s="1"/>
  <c r="G11"/>
  <c r="P11" s="1"/>
  <c r="Q11" s="1"/>
  <c r="O62"/>
  <c r="J63" s="1"/>
  <c r="M63" s="1"/>
  <c r="M23"/>
  <c r="O23" s="1"/>
  <c r="B12"/>
  <c r="G50"/>
  <c r="O63" l="1"/>
  <c r="J64" s="1"/>
  <c r="M64" s="1"/>
  <c r="E12"/>
  <c r="D12"/>
  <c r="G12" s="1"/>
  <c r="P12" s="1"/>
  <c r="M24"/>
  <c r="O24" s="1"/>
  <c r="P50"/>
  <c r="B51"/>
  <c r="Q50" l="1"/>
  <c r="J25"/>
  <c r="O64"/>
  <c r="J65" s="1"/>
  <c r="M65" s="1"/>
  <c r="J26"/>
  <c r="M25"/>
  <c r="O25" s="1"/>
  <c r="D51"/>
  <c r="E51"/>
  <c r="B13"/>
  <c r="O65" l="1"/>
  <c r="J66" s="1"/>
  <c r="M66" s="1"/>
  <c r="M26"/>
  <c r="O26" s="1"/>
  <c r="J27" s="1"/>
  <c r="E13"/>
  <c r="D13"/>
  <c r="G13" s="1"/>
  <c r="P13" s="1"/>
  <c r="G51"/>
  <c r="O66" l="1"/>
  <c r="J67" s="1"/>
  <c r="M67" s="1"/>
  <c r="J28"/>
  <c r="M27"/>
  <c r="O27" s="1"/>
  <c r="P51"/>
  <c r="B52"/>
  <c r="B14"/>
  <c r="O67" l="1"/>
  <c r="J68" s="1"/>
  <c r="M68" s="1"/>
  <c r="E14"/>
  <c r="D14"/>
  <c r="M28"/>
  <c r="O28" s="1"/>
  <c r="D52"/>
  <c r="E52"/>
  <c r="G14" l="1"/>
  <c r="P14" s="1"/>
  <c r="J29"/>
  <c r="J30" s="1"/>
  <c r="O68"/>
  <c r="J69" s="1"/>
  <c r="M69" s="1"/>
  <c r="M29"/>
  <c r="O29" s="1"/>
  <c r="B15"/>
  <c r="G52"/>
  <c r="O69" l="1"/>
  <c r="J70" s="1"/>
  <c r="M70" s="1"/>
  <c r="E15"/>
  <c r="D15"/>
  <c r="O30"/>
  <c r="P52"/>
  <c r="B53"/>
  <c r="G15" l="1"/>
  <c r="P15" s="1"/>
  <c r="J31"/>
  <c r="O31" s="1"/>
  <c r="O70"/>
  <c r="J71" s="1"/>
  <c r="M71" s="1"/>
  <c r="D53"/>
  <c r="E53"/>
  <c r="B16"/>
  <c r="J32" l="1"/>
  <c r="O32" s="1"/>
  <c r="O71"/>
  <c r="J72" s="1"/>
  <c r="M72" s="1"/>
  <c r="E16"/>
  <c r="D16"/>
  <c r="G53"/>
  <c r="J33" l="1"/>
  <c r="G16"/>
  <c r="P16" s="1"/>
  <c r="O72"/>
  <c r="J73" s="1"/>
  <c r="M73" s="1"/>
  <c r="O33"/>
  <c r="P53"/>
  <c r="B54"/>
  <c r="B17"/>
  <c r="J34" l="1"/>
  <c r="O73"/>
  <c r="J74" s="1"/>
  <c r="M74" s="1"/>
  <c r="E17"/>
  <c r="D17"/>
  <c r="G17" s="1"/>
  <c r="P17" s="1"/>
  <c r="O34"/>
  <c r="D54"/>
  <c r="E54"/>
  <c r="J35" l="1"/>
  <c r="O74"/>
  <c r="J75" s="1"/>
  <c r="M75" s="1"/>
  <c r="M35"/>
  <c r="O35" s="1"/>
  <c r="J36" s="1"/>
  <c r="M36" s="1"/>
  <c r="B18"/>
  <c r="G54"/>
  <c r="O75" l="1"/>
  <c r="M76"/>
  <c r="E18"/>
  <c r="D18"/>
  <c r="O36"/>
  <c r="M37"/>
  <c r="P54"/>
  <c r="B55"/>
  <c r="G18" l="1"/>
  <c r="P18" s="1"/>
  <c r="D55"/>
  <c r="E55"/>
  <c r="B19"/>
  <c r="E19" l="1"/>
  <c r="D19"/>
  <c r="G19" s="1"/>
  <c r="P19" s="1"/>
  <c r="G55"/>
  <c r="P55" l="1"/>
  <c r="B56"/>
  <c r="B20"/>
  <c r="E20" l="1"/>
  <c r="D20"/>
  <c r="G20" s="1"/>
  <c r="P20" s="1"/>
  <c r="Q20" s="1"/>
  <c r="D56"/>
  <c r="E56"/>
  <c r="B21" l="1"/>
  <c r="G56"/>
  <c r="E21" l="1"/>
  <c r="D21"/>
  <c r="G21" s="1"/>
  <c r="P21" s="1"/>
  <c r="P56"/>
  <c r="B57"/>
  <c r="D57" l="1"/>
  <c r="E57"/>
  <c r="B22"/>
  <c r="E22" l="1"/>
  <c r="D22"/>
  <c r="G22" s="1"/>
  <c r="P22" s="1"/>
  <c r="G57"/>
  <c r="P57" l="1"/>
  <c r="B58"/>
  <c r="B23"/>
  <c r="E23" l="1"/>
  <c r="D23"/>
  <c r="G23" s="1"/>
  <c r="P23" s="1"/>
  <c r="D58"/>
  <c r="E58"/>
  <c r="B24" l="1"/>
  <c r="G58"/>
  <c r="E24" l="1"/>
  <c r="D24"/>
  <c r="G24" s="1"/>
  <c r="P24" s="1"/>
  <c r="P58"/>
  <c r="B59"/>
  <c r="D59" l="1"/>
  <c r="E59"/>
  <c r="B25"/>
  <c r="E25" l="1"/>
  <c r="D25"/>
  <c r="G25" s="1"/>
  <c r="P25" s="1"/>
  <c r="G59"/>
  <c r="P59" l="1"/>
  <c r="Q59" s="1"/>
  <c r="B60"/>
  <c r="B26"/>
  <c r="E26" l="1"/>
  <c r="D26"/>
  <c r="G26" s="1"/>
  <c r="P26" s="1"/>
  <c r="D60"/>
  <c r="E60"/>
  <c r="B27" l="1"/>
  <c r="G60"/>
  <c r="E27" l="1"/>
  <c r="D27"/>
  <c r="G27" s="1"/>
  <c r="P27" s="1"/>
  <c r="P60"/>
  <c r="B61"/>
  <c r="D61" l="1"/>
  <c r="E61"/>
  <c r="B28"/>
  <c r="E28" l="1"/>
  <c r="D28"/>
  <c r="G28" s="1"/>
  <c r="P28" s="1"/>
  <c r="G61"/>
  <c r="P61" l="1"/>
  <c r="B62"/>
  <c r="B29"/>
  <c r="E29" l="1"/>
  <c r="D29"/>
  <c r="D62"/>
  <c r="E62"/>
  <c r="G29" l="1"/>
  <c r="P29" s="1"/>
  <c r="B30"/>
  <c r="G62"/>
  <c r="E30" l="1"/>
  <c r="D30"/>
  <c r="G30" s="1"/>
  <c r="P30" s="1"/>
  <c r="P62"/>
  <c r="B63"/>
  <c r="D63" l="1"/>
  <c r="E63"/>
  <c r="B31"/>
  <c r="E31" l="1"/>
  <c r="D31"/>
  <c r="G31" s="1"/>
  <c r="P31" s="1"/>
  <c r="Q31" s="1"/>
  <c r="G63"/>
  <c r="P63" l="1"/>
  <c r="B64"/>
  <c r="B32"/>
  <c r="E32" l="1"/>
  <c r="D32"/>
  <c r="D64"/>
  <c r="E64"/>
  <c r="G32" l="1"/>
  <c r="P32" s="1"/>
  <c r="B33"/>
  <c r="G64"/>
  <c r="E33" l="1"/>
  <c r="D33"/>
  <c r="G33" s="1"/>
  <c r="P33" s="1"/>
  <c r="P64"/>
  <c r="B65"/>
  <c r="D65" l="1"/>
  <c r="E65"/>
  <c r="B34"/>
  <c r="E34" l="1"/>
  <c r="D34"/>
  <c r="G34" s="1"/>
  <c r="P34" s="1"/>
  <c r="G65"/>
  <c r="P65" l="1"/>
  <c r="B66"/>
  <c r="B35"/>
  <c r="E35" l="1"/>
  <c r="D35"/>
  <c r="G35" s="1"/>
  <c r="P35" s="1"/>
  <c r="D66"/>
  <c r="E66"/>
  <c r="B36" l="1"/>
  <c r="G66"/>
  <c r="E36" l="1"/>
  <c r="E37" s="1"/>
  <c r="D36"/>
  <c r="P66"/>
  <c r="B67"/>
  <c r="D67" l="1"/>
  <c r="E67"/>
  <c r="G36"/>
  <c r="P36" s="1"/>
  <c r="D37"/>
  <c r="G67" l="1"/>
  <c r="P67" l="1"/>
  <c r="B68"/>
  <c r="D68" l="1"/>
  <c r="E68"/>
  <c r="G68" l="1"/>
  <c r="P68" l="1"/>
  <c r="B69"/>
  <c r="D69" l="1"/>
  <c r="E69"/>
  <c r="G69" l="1"/>
  <c r="P69" l="1"/>
  <c r="B70"/>
  <c r="D70" l="1"/>
  <c r="E70"/>
  <c r="G70" l="1"/>
  <c r="P70" l="1"/>
  <c r="Q70" s="1"/>
  <c r="B71"/>
  <c r="D71" l="1"/>
  <c r="E71"/>
  <c r="G71" l="1"/>
  <c r="P71" l="1"/>
  <c r="B72"/>
  <c r="D72" l="1"/>
  <c r="E72"/>
  <c r="G72" l="1"/>
  <c r="P72" l="1"/>
  <c r="B73"/>
  <c r="D73" l="1"/>
  <c r="E73"/>
  <c r="G73" l="1"/>
  <c r="P73" l="1"/>
  <c r="B74"/>
  <c r="D74" l="1"/>
  <c r="E74"/>
  <c r="G74" l="1"/>
  <c r="P74" l="1"/>
  <c r="B75"/>
  <c r="D75" l="1"/>
  <c r="E75"/>
  <c r="E76" s="1"/>
  <c r="G75" l="1"/>
  <c r="D76"/>
  <c r="P75" l="1"/>
  <c r="G76"/>
</calcChain>
</file>

<file path=xl/sharedStrings.xml><?xml version="1.0" encoding="utf-8"?>
<sst xmlns="http://schemas.openxmlformats.org/spreadsheetml/2006/main" count="189" uniqueCount="105">
  <si>
    <t>Verwaltung</t>
  </si>
  <si>
    <t>Beitragszahlung</t>
  </si>
  <si>
    <t>Abschlusskosten</t>
  </si>
  <si>
    <t>???</t>
  </si>
  <si>
    <t>Versicherungs- und Fondkosten</t>
  </si>
  <si>
    <t>Rendite zusammen</t>
  </si>
  <si>
    <t>?</t>
  </si>
  <si>
    <t>Garantiekosten</t>
  </si>
  <si>
    <t>Fonds</t>
  </si>
  <si>
    <t>Verzinsung Garantiekapital</t>
  </si>
  <si>
    <t>Guthaben</t>
  </si>
  <si>
    <t>mit Zulagen</t>
  </si>
  <si>
    <t>Rendite nach Kosten</t>
  </si>
  <si>
    <t>Monatlich</t>
  </si>
  <si>
    <t>Einzahlung</t>
  </si>
  <si>
    <t xml:space="preserve">einmalig 0,1 Prozent des für die Bildung einer Rente </t>
  </si>
  <si>
    <t xml:space="preserve">http://vorsorgekampagne.de/blog/test-continentale-fondsgebundene-riester-rente-vr3-fdl/ </t>
  </si>
  <si>
    <t>Honorar VWB Beitragsrendite bei 100 €</t>
  </si>
  <si>
    <t>Zulage</t>
  </si>
  <si>
    <t>1,5% Fondkosten bei 6%</t>
  </si>
  <si>
    <t>Rentenzahlung</t>
  </si>
  <si>
    <t>Rendite</t>
  </si>
  <si>
    <t>Honorar VWB Beitragsrendite bei 140 €</t>
  </si>
  <si>
    <t>Continentale</t>
  </si>
  <si>
    <t>garant. Rentenfaktor</t>
  </si>
  <si>
    <t>Honorar VWB Beitragsrendite bei 162,17€</t>
  </si>
  <si>
    <t>VWB B/AFR</t>
  </si>
  <si>
    <t>Honorartarife</t>
  </si>
  <si>
    <t>Differenz</t>
  </si>
  <si>
    <t>Gesamtkosten</t>
  </si>
  <si>
    <t>Depot/Konto</t>
  </si>
  <si>
    <t>Fonds 0,5%</t>
  </si>
  <si>
    <t>VWB</t>
  </si>
  <si>
    <t>Jahr</t>
  </si>
  <si>
    <t>fairr.de</t>
  </si>
  <si>
    <t>Akienquote 51 - 72% + Überschüsse</t>
  </si>
  <si>
    <t>Zinses-Zinseneffekt am Ende</t>
  </si>
  <si>
    <t>5,5% des Beitrags</t>
  </si>
  <si>
    <t>0,0% des Beitrags</t>
  </si>
  <si>
    <t>Weitere Zuzahlung</t>
  </si>
  <si>
    <t>50 € + Prozente des Garantieguthabens</t>
  </si>
  <si>
    <t>Auszahlung</t>
  </si>
  <si>
    <t>kostenfrei</t>
  </si>
  <si>
    <t>Kündigung und Wechsel</t>
  </si>
  <si>
    <t>0,32% des Garantieguthabens als Kosten</t>
  </si>
  <si>
    <t>50 € Gebühr</t>
  </si>
  <si>
    <t>keine Gebühr</t>
  </si>
  <si>
    <t>Beitragsfreistellung</t>
  </si>
  <si>
    <t>Jährliche Kosten</t>
  </si>
  <si>
    <t>Verrentung</t>
  </si>
  <si>
    <t>Kosten</t>
  </si>
  <si>
    <t>Mit ETFs ist Continentale günstiger</t>
  </si>
  <si>
    <t>Continentale will weitere ETFs ins Programm aufnehmen</t>
  </si>
  <si>
    <t>Höhere Aktienquote (bis 85%)</t>
  </si>
  <si>
    <t>1% Kosten</t>
  </si>
  <si>
    <t>Fondvermögen steht immer zur Investition in Fonds zur Verfügung</t>
  </si>
  <si>
    <t>Garantiekapital sichert bei niedrigen Renditen ab</t>
  </si>
  <si>
    <t>Auf Ablaufmanagement kann verzichtet werden</t>
  </si>
  <si>
    <t>Hohe Kosten unter 5.000 € und unter 10.000 €</t>
  </si>
  <si>
    <t>Unklare Rentenzusage</t>
  </si>
  <si>
    <t>bei mehr als 6% besser als VWB</t>
  </si>
  <si>
    <t>Fixe Kosten sind in der Ansparphase hoch</t>
  </si>
  <si>
    <t>Ablaufmanagement</t>
  </si>
  <si>
    <t>Renteneintrittsalter bis 85 frei wählbar</t>
  </si>
  <si>
    <t>Fonds selbst frei wählbar</t>
  </si>
  <si>
    <t>Höchststandsicherung möglich</t>
  </si>
  <si>
    <t>Bei weniger als 5% besser</t>
  </si>
  <si>
    <t>Geringere Renditebremse durch Garantieabsicherung</t>
  </si>
  <si>
    <t>Höhere Renditebremse durch Garantieabsicherung</t>
  </si>
  <si>
    <t>Bei niedrigen Renditen schlechte Absicherung</t>
  </si>
  <si>
    <t>Anlage abhängig von Vorgaben der Sutor Bank</t>
  </si>
  <si>
    <t>Kosten richten sich nach Beitragshöhe und eingezahltem Kapital</t>
  </si>
  <si>
    <t>Kosten richten sich nach eingezahltem Kapital</t>
  </si>
  <si>
    <t>1,5% der Rente als Kosten</t>
  </si>
  <si>
    <t>Keine Abschlusskosten</t>
  </si>
  <si>
    <t>Reine ETF-Kosten</t>
  </si>
  <si>
    <t>hohe Kosten für fairr.de bei hohem Kapital</t>
  </si>
  <si>
    <t>Fixe Kosten halten die Kosten an VWB bei viel Kapital geringer</t>
  </si>
  <si>
    <t>In der Ansparphase eher weniger Kosten</t>
  </si>
  <si>
    <t>Feste Rentenzusage mit Rentenfaktor</t>
  </si>
  <si>
    <t>Abschlusskosten: 495 € Servicegebühr abzgl. Versicherung</t>
  </si>
  <si>
    <t>zur Verfügung stehenden Kapitals zuzüglich jährlich 1,5 Prozent der Jahresrente</t>
  </si>
  <si>
    <t>Anspruch auf Verrechnung von Kickbacks</t>
  </si>
  <si>
    <t>Kickbacks nur über Überschussbeteiligung.</t>
  </si>
  <si>
    <t>Höhere, garantierte Rente</t>
  </si>
  <si>
    <t>Teurer</t>
  </si>
  <si>
    <t>Honorar Continentale Beitragsrendite bei 140 €</t>
  </si>
  <si>
    <t>bei preiswertesten Fonds</t>
  </si>
  <si>
    <t>Jährlich</t>
  </si>
  <si>
    <t>In 35 Jahren</t>
  </si>
  <si>
    <t>Anbieterunterschiede</t>
  </si>
  <si>
    <t>fairr</t>
  </si>
  <si>
    <t>RIY</t>
  </si>
  <si>
    <t>80 Fonds</t>
  </si>
  <si>
    <t>5 ETFs, viele Fonds</t>
  </si>
  <si>
    <t>ETFs + viele Fonds kosten mehr als ETFs (Kick-Back Vergütung)</t>
  </si>
  <si>
    <t>keine erneute Umschichtung in Garantiekapital</t>
  </si>
  <si>
    <t>Gibt keine Festschreibung für einen Cash-Lock</t>
  </si>
  <si>
    <t>Höchststandsicherung über weiteren Vertrag möglich</t>
  </si>
  <si>
    <t>Starres Ablaufmanagement greift 23 Jahre vor Renteneintritt</t>
  </si>
  <si>
    <t>Zinses-Zinseneffekt am Ende durch Verschiebbarkeit</t>
  </si>
  <si>
    <t>7,2 - 7,6% Beitragsgebühr + ETFs 0,46%</t>
  </si>
  <si>
    <t>30 € + 0,5% - 2% Kapitalkosten + ETFs 0,483%</t>
  </si>
  <si>
    <t>Fonds 0,48%</t>
  </si>
  <si>
    <t>Beitragsbedingungen</t>
  </si>
</sst>
</file>

<file path=xl/styles.xml><?xml version="1.0" encoding="utf-8"?>
<styleSheet xmlns="http://schemas.openxmlformats.org/spreadsheetml/2006/main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9">
    <xf numFmtId="0" fontId="0" fillId="0" borderId="0" xfId="0"/>
    <xf numFmtId="0" fontId="1" fillId="0" borderId="0" xfId="1"/>
    <xf numFmtId="8" fontId="1" fillId="0" borderId="0" xfId="1" applyNumberFormat="1"/>
    <xf numFmtId="164" fontId="1" fillId="0" borderId="0" xfId="1" applyNumberFormat="1" applyAlignment="1">
      <alignment horizontal="right"/>
    </xf>
    <xf numFmtId="0" fontId="2" fillId="0" borderId="0" xfId="1" applyFont="1"/>
    <xf numFmtId="0" fontId="1" fillId="0" borderId="0" xfId="1" applyFont="1"/>
    <xf numFmtId="0" fontId="4" fillId="0" borderId="0" xfId="1" applyFont="1"/>
    <xf numFmtId="8" fontId="1" fillId="0" borderId="0" xfId="1" applyNumberFormat="1" applyFont="1"/>
    <xf numFmtId="8" fontId="1" fillId="0" borderId="0" xfId="1" applyNumberFormat="1" applyFill="1" applyAlignment="1">
      <alignment horizontal="right"/>
    </xf>
    <xf numFmtId="6" fontId="1" fillId="0" borderId="0" xfId="1" applyNumberFormat="1"/>
    <xf numFmtId="8" fontId="2" fillId="0" borderId="0" xfId="1" applyNumberFormat="1" applyFont="1"/>
    <xf numFmtId="6" fontId="2" fillId="0" borderId="0" xfId="1" applyNumberFormat="1" applyFont="1"/>
    <xf numFmtId="0" fontId="1" fillId="2" borderId="0" xfId="1" applyFont="1" applyFill="1"/>
    <xf numFmtId="8" fontId="1" fillId="0" borderId="0" xfId="1" applyNumberFormat="1" applyAlignment="1">
      <alignment horizontal="right"/>
    </xf>
    <xf numFmtId="10" fontId="1" fillId="0" borderId="0" xfId="1" applyNumberFormat="1"/>
    <xf numFmtId="8" fontId="1" fillId="0" borderId="0" xfId="1" applyNumberFormat="1" applyFill="1" applyAlignment="1">
      <alignment horizontal="center"/>
    </xf>
    <xf numFmtId="164" fontId="1" fillId="0" borderId="0" xfId="1" applyNumberFormat="1" applyFill="1" applyAlignment="1">
      <alignment horizontal="right"/>
    </xf>
    <xf numFmtId="164" fontId="1" fillId="0" borderId="0" xfId="1" applyNumberFormat="1" applyFont="1" applyFill="1" applyAlignment="1">
      <alignment horizontal="right"/>
    </xf>
    <xf numFmtId="8" fontId="1" fillId="0" borderId="0" xfId="1" applyNumberFormat="1" applyFont="1" applyAlignment="1">
      <alignment horizontal="center"/>
    </xf>
    <xf numFmtId="0" fontId="1" fillId="0" borderId="0" xfId="1" applyFont="1" applyFill="1" applyAlignment="1">
      <alignment horizontal="center"/>
    </xf>
    <xf numFmtId="10" fontId="2" fillId="0" borderId="0" xfId="1" applyNumberFormat="1" applyFont="1"/>
    <xf numFmtId="6" fontId="1" fillId="0" borderId="0" xfId="1" applyNumberFormat="1" applyFont="1"/>
    <xf numFmtId="10" fontId="1" fillId="0" borderId="0" xfId="1" applyNumberFormat="1" applyAlignment="1">
      <alignment horizontal="right"/>
    </xf>
    <xf numFmtId="9" fontId="1" fillId="0" borderId="0" xfId="1" applyNumberFormat="1"/>
    <xf numFmtId="164" fontId="1" fillId="0" borderId="0" xfId="1" applyNumberFormat="1"/>
    <xf numFmtId="0" fontId="1" fillId="0" borderId="0" xfId="1" applyAlignment="1">
      <alignment horizontal="right"/>
    </xf>
    <xf numFmtId="164" fontId="1" fillId="0" borderId="0" xfId="1" applyNumberFormat="1" applyFont="1" applyAlignment="1">
      <alignment horizontal="right"/>
    </xf>
    <xf numFmtId="10" fontId="1" fillId="0" borderId="0" xfId="1" applyNumberFormat="1" applyFont="1"/>
    <xf numFmtId="8" fontId="1" fillId="0" borderId="0" xfId="1" applyNumberFormat="1" applyFont="1" applyFill="1" applyAlignment="1">
      <alignment horizontal="right"/>
    </xf>
    <xf numFmtId="8" fontId="5" fillId="0" borderId="0" xfId="0" applyNumberFormat="1" applyFont="1"/>
    <xf numFmtId="0" fontId="1" fillId="0" borderId="0" xfId="1" applyFont="1" applyAlignment="1">
      <alignment horizontal="center"/>
    </xf>
    <xf numFmtId="8" fontId="6" fillId="0" borderId="0" xfId="2" applyNumberFormat="1" applyFont="1" applyAlignment="1" applyProtection="1"/>
    <xf numFmtId="4" fontId="1" fillId="0" borderId="0" xfId="1" applyNumberFormat="1"/>
    <xf numFmtId="164" fontId="2" fillId="0" borderId="0" xfId="1" applyNumberFormat="1" applyFont="1" applyAlignment="1">
      <alignment horizontal="right"/>
    </xf>
    <xf numFmtId="164" fontId="1" fillId="0" borderId="0" xfId="0" applyNumberFormat="1" applyFont="1"/>
    <xf numFmtId="164" fontId="1" fillId="0" borderId="0" xfId="1" applyNumberFormat="1" applyFont="1"/>
    <xf numFmtId="164" fontId="1" fillId="0" borderId="0" xfId="1" applyNumberFormat="1" applyFont="1" applyFill="1" applyBorder="1"/>
    <xf numFmtId="164" fontId="5" fillId="0" borderId="0" xfId="0" applyNumberFormat="1" applyFont="1"/>
    <xf numFmtId="0" fontId="2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6" fontId="2" fillId="0" borderId="0" xfId="1" applyNumberFormat="1" applyFont="1" applyAlignment="1">
      <alignment horizontal="center"/>
    </xf>
    <xf numFmtId="164" fontId="2" fillId="0" borderId="0" xfId="1" applyNumberFormat="1" applyFont="1"/>
    <xf numFmtId="164" fontId="1" fillId="0" borderId="0" xfId="1" applyNumberFormat="1" applyFont="1" applyAlignment="1">
      <alignment horizontal="left"/>
    </xf>
    <xf numFmtId="6" fontId="1" fillId="0" borderId="0" xfId="1" applyNumberFormat="1" applyFont="1" applyAlignment="1">
      <alignment horizontal="left"/>
    </xf>
    <xf numFmtId="0" fontId="1" fillId="0" borderId="0" xfId="1" applyFill="1"/>
    <xf numFmtId="0" fontId="1" fillId="0" borderId="0" xfId="1" applyFont="1" applyFill="1"/>
    <xf numFmtId="8" fontId="1" fillId="0" borderId="0" xfId="1" applyNumberFormat="1" applyFill="1"/>
    <xf numFmtId="0" fontId="2" fillId="0" borderId="0" xfId="1" applyFont="1" applyFill="1"/>
    <xf numFmtId="6" fontId="1" fillId="0" borderId="0" xfId="1" applyNumberFormat="1" applyFill="1"/>
    <xf numFmtId="8" fontId="1" fillId="0" borderId="0" xfId="1" applyNumberFormat="1" applyFont="1" applyFill="1" applyAlignment="1">
      <alignment horizontal="center"/>
    </xf>
    <xf numFmtId="10" fontId="1" fillId="0" borderId="0" xfId="1" applyNumberFormat="1" applyFill="1"/>
    <xf numFmtId="6" fontId="2" fillId="0" borderId="0" xfId="1" applyNumberFormat="1" applyFont="1" applyFill="1"/>
    <xf numFmtId="8" fontId="2" fillId="0" borderId="0" xfId="1" applyNumberFormat="1" applyFont="1" applyFill="1"/>
    <xf numFmtId="8" fontId="1" fillId="0" borderId="0" xfId="1" applyNumberFormat="1" applyFont="1" applyFill="1"/>
    <xf numFmtId="8" fontId="1" fillId="3" borderId="0" xfId="1" applyNumberFormat="1" applyFill="1" applyAlignment="1">
      <alignment horizontal="right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8" fontId="1" fillId="0" borderId="0" xfId="1" applyNumberFormat="1" applyFont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>
      <alignment horizontal="left"/>
    </xf>
    <xf numFmtId="8" fontId="5" fillId="0" borderId="0" xfId="0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ill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8" fontId="5" fillId="0" borderId="0" xfId="0" applyNumberFormat="1" applyFont="1" applyAlignment="1">
      <alignment horizontal="center"/>
    </xf>
    <xf numFmtId="8" fontId="1" fillId="0" borderId="0" xfId="1" applyNumberFormat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0" xfId="1" applyNumberForma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/>
    <xf numFmtId="164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8" fontId="4" fillId="0" borderId="0" xfId="1" applyNumberFormat="1" applyFont="1"/>
    <xf numFmtId="0" fontId="1" fillId="0" borderId="0" xfId="1" applyFont="1" applyBorder="1"/>
    <xf numFmtId="10" fontId="2" fillId="0" borderId="0" xfId="1" applyNumberFormat="1" applyFont="1" applyAlignment="1">
      <alignment horizontal="right"/>
    </xf>
    <xf numFmtId="164" fontId="1" fillId="0" borderId="0" xfId="1" applyNumberFormat="1" applyAlignment="1">
      <alignment horizontal="left"/>
    </xf>
    <xf numFmtId="8" fontId="1" fillId="0" borderId="0" xfId="1" applyNumberFormat="1" applyAlignment="1">
      <alignment horizontal="left"/>
    </xf>
    <xf numFmtId="6" fontId="1" fillId="3" borderId="0" xfId="1" applyNumberFormat="1" applyFont="1" applyFill="1"/>
  </cellXfs>
  <cellStyles count="4">
    <cellStyle name="Hyperlink" xfId="2" builtinId="8"/>
    <cellStyle name="Standard" xfId="0" builtinId="0"/>
    <cellStyle name="Standard 2" xfId="3"/>
    <cellStyle name="Standard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vorsorgekampagne.de/blog/test-continentale-fondsgebundene-riester-rente-vr3-fd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7"/>
  <sheetViews>
    <sheetView tabSelected="1" workbookViewId="0">
      <selection activeCell="D5" sqref="D5"/>
    </sheetView>
  </sheetViews>
  <sheetFormatPr baseColWidth="10" defaultRowHeight="12.75"/>
  <cols>
    <col min="1" max="1" width="6.28515625" style="24" customWidth="1"/>
    <col min="2" max="3" width="11.7109375" style="1" customWidth="1"/>
    <col min="4" max="4" width="11.85546875" style="3" customWidth="1"/>
    <col min="5" max="5" width="10.7109375" style="1" customWidth="1"/>
    <col min="6" max="6" width="14.42578125" style="1" customWidth="1"/>
    <col min="7" max="7" width="13.7109375" style="1" customWidth="1"/>
    <col min="8" max="8" width="12.42578125" style="1" customWidth="1"/>
    <col min="9" max="9" width="6" style="2" customWidth="1"/>
    <col min="10" max="10" width="11.42578125" style="2"/>
    <col min="11" max="11" width="11.42578125" style="2" customWidth="1"/>
    <col min="12" max="12" width="11.7109375" style="2" bestFit="1" customWidth="1"/>
    <col min="13" max="14" width="11.42578125" style="2"/>
    <col min="15" max="17" width="11.42578125" style="1"/>
    <col min="18" max="18" width="11.7109375" style="1" bestFit="1" customWidth="1"/>
    <col min="19" max="16384" width="11.42578125" style="1"/>
  </cols>
  <sheetData>
    <row r="1" spans="1:25">
      <c r="A1" s="1" t="s">
        <v>33</v>
      </c>
      <c r="B1" s="1" t="s">
        <v>10</v>
      </c>
      <c r="C1" s="1" t="s">
        <v>14</v>
      </c>
      <c r="D1" s="3" t="s">
        <v>34</v>
      </c>
      <c r="E1" s="3" t="s">
        <v>103</v>
      </c>
      <c r="F1" s="3" t="s">
        <v>30</v>
      </c>
      <c r="G1" s="5" t="s">
        <v>48</v>
      </c>
      <c r="I1" s="1" t="s">
        <v>33</v>
      </c>
      <c r="J1" s="1" t="s">
        <v>10</v>
      </c>
      <c r="K1" s="1" t="s">
        <v>14</v>
      </c>
      <c r="L1" s="3" t="s">
        <v>32</v>
      </c>
      <c r="M1" s="3" t="s">
        <v>31</v>
      </c>
      <c r="N1" s="3"/>
      <c r="O1" s="5" t="s">
        <v>48</v>
      </c>
      <c r="P1" s="5" t="s">
        <v>28</v>
      </c>
      <c r="R1" s="9"/>
      <c r="U1" s="4"/>
    </row>
    <row r="2" spans="1:25">
      <c r="A2" s="1">
        <v>1</v>
      </c>
      <c r="B2" s="36">
        <v>2300</v>
      </c>
      <c r="C2" s="36">
        <v>2100</v>
      </c>
      <c r="D2" s="3">
        <f>B2/100*2</f>
        <v>46</v>
      </c>
      <c r="E2" s="35">
        <f t="shared" ref="E2:E16" si="0">B2/100*0.48</f>
        <v>11.04</v>
      </c>
      <c r="F2" s="9">
        <v>30</v>
      </c>
      <c r="G2" s="35">
        <f>D2+E2+F2</f>
        <v>87.039999999999992</v>
      </c>
      <c r="I2" s="1">
        <v>1</v>
      </c>
      <c r="J2" s="36">
        <v>2300</v>
      </c>
      <c r="K2" s="36">
        <v>2100</v>
      </c>
      <c r="L2" s="3">
        <v>147.85</v>
      </c>
      <c r="M2" s="35">
        <f t="shared" ref="M2:M31" si="1">J2/100*0.46</f>
        <v>10.58</v>
      </c>
      <c r="N2" s="9"/>
      <c r="O2" s="35">
        <f t="shared" ref="O2:O36" si="2">L2+M2+N2</f>
        <v>158.43</v>
      </c>
      <c r="P2" s="24">
        <f t="shared" ref="P2:P36" si="3">G2-O2</f>
        <v>-71.390000000000015</v>
      </c>
      <c r="R2" s="2"/>
      <c r="Y2" s="9"/>
    </row>
    <row r="3" spans="1:25">
      <c r="A3" s="1">
        <v>2</v>
      </c>
      <c r="B3" s="35">
        <f t="shared" ref="B3:B36" si="4">B2+C2-G2</f>
        <v>4312.96</v>
      </c>
      <c r="C3" s="36">
        <v>2100</v>
      </c>
      <c r="D3" s="3">
        <f>B3/100*2</f>
        <v>86.259200000000007</v>
      </c>
      <c r="E3" s="35">
        <f t="shared" si="0"/>
        <v>20.702208000000002</v>
      </c>
      <c r="F3" s="9">
        <v>30</v>
      </c>
      <c r="G3" s="35">
        <f t="shared" ref="G2:G36" si="5">D3+E3+F3</f>
        <v>136.96140800000001</v>
      </c>
      <c r="I3" s="1">
        <v>2</v>
      </c>
      <c r="J3" s="35">
        <f t="shared" ref="J3:J36" si="6">J2+K2-O2</f>
        <v>4241.57</v>
      </c>
      <c r="K3" s="36">
        <v>2100</v>
      </c>
      <c r="L3" s="3">
        <v>147.85</v>
      </c>
      <c r="M3" s="35">
        <f t="shared" si="1"/>
        <v>19.511221999999997</v>
      </c>
      <c r="N3" s="9"/>
      <c r="O3" s="35">
        <f t="shared" si="2"/>
        <v>167.361222</v>
      </c>
      <c r="P3" s="24">
        <f t="shared" si="3"/>
        <v>-30.399813999999992</v>
      </c>
      <c r="R3" s="9"/>
      <c r="V3" s="9"/>
      <c r="Y3" s="9"/>
    </row>
    <row r="4" spans="1:25">
      <c r="A4" s="1">
        <v>3</v>
      </c>
      <c r="B4" s="35">
        <f t="shared" si="4"/>
        <v>6275.9985919999999</v>
      </c>
      <c r="C4" s="36">
        <v>2100</v>
      </c>
      <c r="D4" s="3">
        <f>B4/100*1</f>
        <v>62.759985919999998</v>
      </c>
      <c r="E4" s="35">
        <f t="shared" si="0"/>
        <v>30.124793241599999</v>
      </c>
      <c r="F4" s="9">
        <v>30</v>
      </c>
      <c r="G4" s="35">
        <f t="shared" si="5"/>
        <v>122.88477916159999</v>
      </c>
      <c r="I4" s="1">
        <v>3</v>
      </c>
      <c r="J4" s="35">
        <f t="shared" si="6"/>
        <v>6174.2087780000002</v>
      </c>
      <c r="K4" s="36">
        <v>2100</v>
      </c>
      <c r="L4" s="3">
        <v>147.85</v>
      </c>
      <c r="M4" s="35">
        <f t="shared" si="1"/>
        <v>28.4013603788</v>
      </c>
      <c r="N4" s="9"/>
      <c r="O4" s="35">
        <f t="shared" si="2"/>
        <v>176.2513603788</v>
      </c>
      <c r="P4" s="24">
        <f t="shared" si="3"/>
        <v>-53.366581217200007</v>
      </c>
      <c r="R4" s="2"/>
      <c r="Y4" s="9"/>
    </row>
    <row r="5" spans="1:25">
      <c r="A5" s="1">
        <v>4</v>
      </c>
      <c r="B5" s="35">
        <f t="shared" si="4"/>
        <v>8253.1138128383991</v>
      </c>
      <c r="C5" s="36">
        <v>2100</v>
      </c>
      <c r="D5" s="3">
        <f>B5/100*1</f>
        <v>82.531138128383986</v>
      </c>
      <c r="E5" s="35">
        <f t="shared" si="0"/>
        <v>39.614946301624315</v>
      </c>
      <c r="F5" s="9">
        <v>30</v>
      </c>
      <c r="G5" s="35">
        <f t="shared" si="5"/>
        <v>152.1460844300083</v>
      </c>
      <c r="I5" s="1">
        <v>4</v>
      </c>
      <c r="J5" s="35">
        <f t="shared" si="6"/>
        <v>8097.9574176212</v>
      </c>
      <c r="K5" s="36">
        <v>2100</v>
      </c>
      <c r="L5" s="3">
        <v>147.85</v>
      </c>
      <c r="M5" s="35">
        <f t="shared" si="1"/>
        <v>37.250604121057521</v>
      </c>
      <c r="N5" s="9"/>
      <c r="O5" s="35">
        <f t="shared" si="2"/>
        <v>185.10060412105753</v>
      </c>
      <c r="P5" s="24">
        <f t="shared" si="3"/>
        <v>-32.954519691049228</v>
      </c>
      <c r="R5" s="2"/>
      <c r="V5" s="9"/>
      <c r="Y5" s="9"/>
    </row>
    <row r="6" spans="1:25">
      <c r="A6" s="1">
        <v>5</v>
      </c>
      <c r="B6" s="35">
        <f t="shared" si="4"/>
        <v>10200.96772840839</v>
      </c>
      <c r="C6" s="36">
        <v>2100</v>
      </c>
      <c r="D6" s="3">
        <f t="shared" ref="D6:D36" si="7">B6/100*0.5</f>
        <v>51.004838642041953</v>
      </c>
      <c r="E6" s="35">
        <f t="shared" si="0"/>
        <v>48.964645096360272</v>
      </c>
      <c r="F6" s="9">
        <v>30</v>
      </c>
      <c r="G6" s="35">
        <f t="shared" si="5"/>
        <v>129.96948373840223</v>
      </c>
      <c r="I6" s="1">
        <v>5</v>
      </c>
      <c r="J6" s="35">
        <f t="shared" si="6"/>
        <v>10012.856813500144</v>
      </c>
      <c r="K6" s="36">
        <v>2100</v>
      </c>
      <c r="L6" s="3">
        <v>147.85</v>
      </c>
      <c r="M6" s="35">
        <f t="shared" si="1"/>
        <v>46.059141342100666</v>
      </c>
      <c r="N6" s="9"/>
      <c r="O6" s="35">
        <f t="shared" si="2"/>
        <v>193.90914134210067</v>
      </c>
      <c r="P6" s="24">
        <f t="shared" si="3"/>
        <v>-63.939657603698436</v>
      </c>
      <c r="R6" s="2"/>
      <c r="Y6" s="9"/>
    </row>
    <row r="7" spans="1:25">
      <c r="A7" s="1">
        <v>6</v>
      </c>
      <c r="B7" s="35">
        <f t="shared" si="4"/>
        <v>12170.998244669987</v>
      </c>
      <c r="C7" s="36">
        <v>2100</v>
      </c>
      <c r="D7" s="3">
        <f t="shared" si="7"/>
        <v>60.854991223349934</v>
      </c>
      <c r="E7" s="35">
        <f t="shared" si="0"/>
        <v>58.420791574415937</v>
      </c>
      <c r="F7" s="9">
        <v>30</v>
      </c>
      <c r="G7" s="35">
        <f t="shared" si="5"/>
        <v>149.27578279776588</v>
      </c>
      <c r="I7" s="1">
        <v>6</v>
      </c>
      <c r="J7" s="35">
        <f t="shared" si="6"/>
        <v>11918.947672158043</v>
      </c>
      <c r="K7" s="36">
        <v>2100</v>
      </c>
      <c r="L7" s="3">
        <v>147.85</v>
      </c>
      <c r="M7" s="35">
        <f t="shared" si="1"/>
        <v>54.827159291927003</v>
      </c>
      <c r="N7" s="9"/>
      <c r="O7" s="35">
        <f t="shared" si="2"/>
        <v>202.67715929192701</v>
      </c>
      <c r="P7" s="24">
        <f t="shared" si="3"/>
        <v>-53.401376494161127</v>
      </c>
      <c r="R7" s="2"/>
      <c r="Y7" s="9"/>
    </row>
    <row r="8" spans="1:25">
      <c r="A8" s="1">
        <v>7</v>
      </c>
      <c r="B8" s="35">
        <f t="shared" si="4"/>
        <v>14121.722461872221</v>
      </c>
      <c r="C8" s="36">
        <v>2100</v>
      </c>
      <c r="D8" s="3">
        <f t="shared" si="7"/>
        <v>70.608612309361106</v>
      </c>
      <c r="E8" s="35">
        <f t="shared" si="0"/>
        <v>67.784267816986656</v>
      </c>
      <c r="F8" s="9">
        <v>30</v>
      </c>
      <c r="G8" s="35">
        <f t="shared" si="5"/>
        <v>168.39288012634776</v>
      </c>
      <c r="H8" s="4"/>
      <c r="I8" s="1">
        <v>7</v>
      </c>
      <c r="J8" s="35">
        <f t="shared" si="6"/>
        <v>13816.270512866116</v>
      </c>
      <c r="K8" s="36">
        <v>2100</v>
      </c>
      <c r="L8" s="3">
        <v>147.85</v>
      </c>
      <c r="M8" s="35">
        <f t="shared" si="1"/>
        <v>63.554844359184145</v>
      </c>
      <c r="N8" s="9"/>
      <c r="O8" s="35">
        <f t="shared" si="2"/>
        <v>211.40484435918415</v>
      </c>
      <c r="P8" s="24">
        <f t="shared" si="3"/>
        <v>-43.011964232836391</v>
      </c>
      <c r="R8" s="41"/>
      <c r="Y8" s="9"/>
    </row>
    <row r="9" spans="1:25">
      <c r="A9" s="1">
        <v>8</v>
      </c>
      <c r="B9" s="35">
        <f t="shared" si="4"/>
        <v>16053.329581745873</v>
      </c>
      <c r="C9" s="36">
        <v>2100</v>
      </c>
      <c r="D9" s="3">
        <f t="shared" si="7"/>
        <v>80.266647908729368</v>
      </c>
      <c r="E9" s="35">
        <f t="shared" si="0"/>
        <v>77.055981992380197</v>
      </c>
      <c r="F9" s="9">
        <v>30</v>
      </c>
      <c r="G9" s="35">
        <f t="shared" si="5"/>
        <v>187.32262990110956</v>
      </c>
      <c r="I9" s="1">
        <v>8</v>
      </c>
      <c r="J9" s="35">
        <f t="shared" si="6"/>
        <v>15704.865668506933</v>
      </c>
      <c r="K9" s="36">
        <v>2100</v>
      </c>
      <c r="L9" s="3">
        <v>147.85</v>
      </c>
      <c r="M9" s="35">
        <f t="shared" si="1"/>
        <v>72.242382075131886</v>
      </c>
      <c r="N9" s="9"/>
      <c r="O9" s="35">
        <f t="shared" si="2"/>
        <v>220.09238207513187</v>
      </c>
      <c r="P9" s="24">
        <f t="shared" si="3"/>
        <v>-32.769752174022301</v>
      </c>
      <c r="R9" s="35"/>
      <c r="Y9" s="9"/>
    </row>
    <row r="10" spans="1:25">
      <c r="A10" s="1">
        <v>9</v>
      </c>
      <c r="B10" s="35">
        <f t="shared" si="4"/>
        <v>17966.00695184476</v>
      </c>
      <c r="C10" s="36">
        <v>2100</v>
      </c>
      <c r="D10" s="3">
        <f t="shared" si="7"/>
        <v>89.830034759223793</v>
      </c>
      <c r="E10" s="35">
        <f t="shared" si="0"/>
        <v>86.236833368854832</v>
      </c>
      <c r="F10" s="9">
        <v>30</v>
      </c>
      <c r="G10" s="35">
        <f t="shared" si="5"/>
        <v>206.06686812807862</v>
      </c>
      <c r="I10" s="1">
        <v>9</v>
      </c>
      <c r="J10" s="35">
        <f t="shared" si="6"/>
        <v>17584.773286431802</v>
      </c>
      <c r="K10" s="36">
        <v>2100</v>
      </c>
      <c r="L10" s="3">
        <v>147.85</v>
      </c>
      <c r="M10" s="35">
        <f t="shared" si="1"/>
        <v>80.889957117586292</v>
      </c>
      <c r="N10" s="9"/>
      <c r="O10" s="35">
        <f t="shared" si="2"/>
        <v>228.7399571175863</v>
      </c>
      <c r="P10" s="24">
        <f t="shared" si="3"/>
        <v>-22.673088989507676</v>
      </c>
      <c r="R10" s="35"/>
      <c r="Y10" s="9"/>
    </row>
    <row r="11" spans="1:25">
      <c r="A11" s="1">
        <v>10</v>
      </c>
      <c r="B11" s="35">
        <f t="shared" si="4"/>
        <v>19859.94008371668</v>
      </c>
      <c r="C11" s="36">
        <v>2100</v>
      </c>
      <c r="D11" s="3">
        <f t="shared" si="7"/>
        <v>99.299700418583399</v>
      </c>
      <c r="E11" s="35">
        <f t="shared" si="0"/>
        <v>95.32771240184006</v>
      </c>
      <c r="F11" s="9">
        <v>30</v>
      </c>
      <c r="G11" s="35">
        <f t="shared" si="5"/>
        <v>224.62741282042344</v>
      </c>
      <c r="I11" s="1">
        <v>10</v>
      </c>
      <c r="J11" s="35">
        <f t="shared" si="6"/>
        <v>19456.033329314218</v>
      </c>
      <c r="K11" s="36">
        <v>2100</v>
      </c>
      <c r="L11" s="3">
        <v>147.85</v>
      </c>
      <c r="M11" s="35">
        <f t="shared" si="1"/>
        <v>89.497753314845411</v>
      </c>
      <c r="N11" s="9"/>
      <c r="O11" s="35">
        <f t="shared" si="2"/>
        <v>237.34775331484542</v>
      </c>
      <c r="P11" s="24">
        <f t="shared" si="3"/>
        <v>-12.720340494421976</v>
      </c>
      <c r="Q11" s="24">
        <f>SUM(P2:P11)</f>
        <v>-416.62709489689718</v>
      </c>
      <c r="R11" s="35"/>
      <c r="U11" s="4"/>
      <c r="Y11" s="9"/>
    </row>
    <row r="12" spans="1:25">
      <c r="A12" s="1">
        <v>11</v>
      </c>
      <c r="B12" s="35">
        <f t="shared" si="4"/>
        <v>21735.312670896255</v>
      </c>
      <c r="C12" s="36">
        <v>2100</v>
      </c>
      <c r="D12" s="3">
        <f t="shared" si="7"/>
        <v>108.67656335448127</v>
      </c>
      <c r="E12" s="35">
        <f t="shared" si="0"/>
        <v>104.32950082030202</v>
      </c>
      <c r="F12" s="9">
        <v>30</v>
      </c>
      <c r="G12" s="35">
        <f t="shared" si="5"/>
        <v>243.00606417478329</v>
      </c>
      <c r="H12" s="41"/>
      <c r="I12" s="1">
        <v>11</v>
      </c>
      <c r="J12" s="35">
        <f t="shared" si="6"/>
        <v>21318.68557599937</v>
      </c>
      <c r="K12" s="36">
        <v>2100</v>
      </c>
      <c r="L12" s="3">
        <v>147.85</v>
      </c>
      <c r="M12" s="35">
        <f t="shared" si="1"/>
        <v>98.065953649597105</v>
      </c>
      <c r="N12" s="9"/>
      <c r="O12" s="35">
        <f t="shared" si="2"/>
        <v>245.9159536495971</v>
      </c>
      <c r="P12" s="24">
        <f t="shared" si="3"/>
        <v>-2.9098894748138093</v>
      </c>
      <c r="R12" s="41"/>
      <c r="Y12" s="9"/>
    </row>
    <row r="13" spans="1:25">
      <c r="A13" s="1">
        <v>12</v>
      </c>
      <c r="B13" s="35">
        <f t="shared" si="4"/>
        <v>23592.306606721471</v>
      </c>
      <c r="C13" s="36">
        <v>2100</v>
      </c>
      <c r="D13" s="16">
        <f t="shared" si="7"/>
        <v>117.96153303360735</v>
      </c>
      <c r="E13" s="35">
        <f t="shared" si="0"/>
        <v>113.24307171226306</v>
      </c>
      <c r="F13" s="9">
        <v>30</v>
      </c>
      <c r="G13" s="35">
        <f t="shared" si="5"/>
        <v>261.20460474587043</v>
      </c>
      <c r="H13" s="35"/>
      <c r="I13" s="1">
        <v>12</v>
      </c>
      <c r="J13" s="35">
        <f t="shared" si="6"/>
        <v>23172.769622349773</v>
      </c>
      <c r="K13" s="36">
        <v>2100</v>
      </c>
      <c r="L13" s="3">
        <v>147.85</v>
      </c>
      <c r="M13" s="35">
        <f t="shared" si="1"/>
        <v>106.59474026280895</v>
      </c>
      <c r="N13" s="9"/>
      <c r="O13" s="35">
        <f t="shared" si="2"/>
        <v>254.44474026280895</v>
      </c>
      <c r="P13" s="24">
        <f t="shared" si="3"/>
        <v>6.7598644830614774</v>
      </c>
      <c r="R13" s="35"/>
      <c r="W13" s="25"/>
      <c r="Y13" s="9"/>
    </row>
    <row r="14" spans="1:25">
      <c r="A14" s="1">
        <v>13</v>
      </c>
      <c r="B14" s="35">
        <f t="shared" si="4"/>
        <v>25431.1020019756</v>
      </c>
      <c r="C14" s="36">
        <v>2100</v>
      </c>
      <c r="D14" s="8">
        <f t="shared" si="7"/>
        <v>127.155510009878</v>
      </c>
      <c r="E14" s="35">
        <f t="shared" si="0"/>
        <v>122.06928960948288</v>
      </c>
      <c r="F14" s="9">
        <v>30</v>
      </c>
      <c r="G14" s="35">
        <f t="shared" si="5"/>
        <v>279.22479961936085</v>
      </c>
      <c r="I14" s="1">
        <v>13</v>
      </c>
      <c r="J14" s="35">
        <f t="shared" si="6"/>
        <v>25018.324882086963</v>
      </c>
      <c r="K14" s="36">
        <v>2100</v>
      </c>
      <c r="L14" s="3">
        <v>147.85</v>
      </c>
      <c r="M14" s="35">
        <f t="shared" si="1"/>
        <v>115.08429445760004</v>
      </c>
      <c r="N14" s="9"/>
      <c r="O14" s="35">
        <f t="shared" si="2"/>
        <v>262.9342944576</v>
      </c>
      <c r="P14" s="24">
        <f t="shared" si="3"/>
        <v>16.290505161760848</v>
      </c>
      <c r="R14" s="35"/>
      <c r="W14" s="23"/>
      <c r="Y14" s="9"/>
    </row>
    <row r="15" spans="1:25">
      <c r="A15" s="1">
        <v>14</v>
      </c>
      <c r="B15" s="35">
        <f t="shared" si="4"/>
        <v>27251.877202356238</v>
      </c>
      <c r="C15" s="36">
        <v>2100</v>
      </c>
      <c r="D15" s="8">
        <f t="shared" si="7"/>
        <v>136.2593860117812</v>
      </c>
      <c r="E15" s="35">
        <f t="shared" si="0"/>
        <v>130.80901057130995</v>
      </c>
      <c r="F15" s="9">
        <v>30</v>
      </c>
      <c r="G15" s="35">
        <f t="shared" si="5"/>
        <v>297.06839658309116</v>
      </c>
      <c r="I15" s="1">
        <v>14</v>
      </c>
      <c r="J15" s="35">
        <f t="shared" si="6"/>
        <v>26855.390587629365</v>
      </c>
      <c r="K15" s="36">
        <v>2100</v>
      </c>
      <c r="L15" s="3">
        <v>147.85</v>
      </c>
      <c r="M15" s="35">
        <f t="shared" si="1"/>
        <v>123.53479670309508</v>
      </c>
      <c r="N15" s="9"/>
      <c r="O15" s="35">
        <f t="shared" si="2"/>
        <v>271.38479670309505</v>
      </c>
      <c r="P15" s="24">
        <f t="shared" si="3"/>
        <v>25.683599879996109</v>
      </c>
      <c r="R15" s="4"/>
      <c r="W15" s="14"/>
      <c r="Y15" s="9"/>
    </row>
    <row r="16" spans="1:25">
      <c r="A16" s="1">
        <v>15</v>
      </c>
      <c r="B16" s="35">
        <f t="shared" si="4"/>
        <v>29054.808805773147</v>
      </c>
      <c r="C16" s="36">
        <v>2100</v>
      </c>
      <c r="D16" s="8">
        <f t="shared" si="7"/>
        <v>145.27404402886575</v>
      </c>
      <c r="E16" s="35">
        <f t="shared" si="0"/>
        <v>139.46308226771112</v>
      </c>
      <c r="F16" s="9">
        <v>30</v>
      </c>
      <c r="G16" s="35">
        <f t="shared" si="5"/>
        <v>314.73712629657689</v>
      </c>
      <c r="I16" s="1">
        <v>15</v>
      </c>
      <c r="J16" s="35">
        <f t="shared" si="6"/>
        <v>28684.005790926269</v>
      </c>
      <c r="K16" s="36">
        <v>2100</v>
      </c>
      <c r="L16" s="3">
        <v>147.85</v>
      </c>
      <c r="M16" s="35">
        <f t="shared" si="1"/>
        <v>131.94642663826085</v>
      </c>
      <c r="N16" s="9"/>
      <c r="O16" s="35">
        <f t="shared" si="2"/>
        <v>279.79642663826087</v>
      </c>
      <c r="P16" s="24">
        <f t="shared" si="3"/>
        <v>34.940699658316021</v>
      </c>
      <c r="Y16" s="9"/>
    </row>
    <row r="17" spans="1:25">
      <c r="A17" s="1">
        <v>16</v>
      </c>
      <c r="B17" s="35">
        <f t="shared" si="4"/>
        <v>30840.071679476572</v>
      </c>
      <c r="C17" s="36">
        <v>2100</v>
      </c>
      <c r="D17" s="8">
        <f t="shared" si="7"/>
        <v>154.20035839738287</v>
      </c>
      <c r="E17" s="13">
        <f>B17/100*0.46</f>
        <v>141.86432972559226</v>
      </c>
      <c r="F17" s="9">
        <v>30</v>
      </c>
      <c r="G17" s="35">
        <f t="shared" si="5"/>
        <v>326.0646881229751</v>
      </c>
      <c r="I17" s="1">
        <v>16</v>
      </c>
      <c r="J17" s="35">
        <f t="shared" si="6"/>
        <v>30504.209364288006</v>
      </c>
      <c r="K17" s="36">
        <v>2100</v>
      </c>
      <c r="L17" s="3">
        <v>147.85</v>
      </c>
      <c r="M17" s="35">
        <f t="shared" si="1"/>
        <v>140.31936307572482</v>
      </c>
      <c r="N17" s="9"/>
      <c r="O17" s="35">
        <f t="shared" si="2"/>
        <v>288.16936307572485</v>
      </c>
      <c r="P17" s="24">
        <f t="shared" si="3"/>
        <v>37.895325047250253</v>
      </c>
      <c r="R17" s="35"/>
      <c r="W17" s="14"/>
      <c r="Y17" s="9"/>
    </row>
    <row r="18" spans="1:25">
      <c r="A18" s="1">
        <v>17</v>
      </c>
      <c r="B18" s="35">
        <f t="shared" si="4"/>
        <v>32614.006991353599</v>
      </c>
      <c r="C18" s="36">
        <v>2100</v>
      </c>
      <c r="D18" s="8">
        <f t="shared" si="7"/>
        <v>163.07003495676798</v>
      </c>
      <c r="E18" s="13">
        <f>B18/100*0.44</f>
        <v>143.50163076195582</v>
      </c>
      <c r="F18" s="9">
        <v>30</v>
      </c>
      <c r="G18" s="35">
        <f t="shared" si="5"/>
        <v>336.57166571872381</v>
      </c>
      <c r="H18" s="4"/>
      <c r="I18" s="1">
        <v>17</v>
      </c>
      <c r="J18" s="35">
        <f t="shared" si="6"/>
        <v>32316.040001212281</v>
      </c>
      <c r="K18" s="36">
        <v>2100</v>
      </c>
      <c r="L18" s="3">
        <v>147.85</v>
      </c>
      <c r="M18" s="35">
        <f t="shared" si="1"/>
        <v>148.65378400557651</v>
      </c>
      <c r="N18" s="9"/>
      <c r="O18" s="35">
        <f t="shared" si="2"/>
        <v>296.50378400557651</v>
      </c>
      <c r="P18" s="24">
        <f t="shared" si="3"/>
        <v>40.067881713147301</v>
      </c>
      <c r="R18" s="41"/>
      <c r="W18" s="14"/>
      <c r="Y18" s="9"/>
    </row>
    <row r="19" spans="1:25">
      <c r="A19" s="1">
        <v>18</v>
      </c>
      <c r="B19" s="35">
        <f t="shared" si="4"/>
        <v>34377.435325634877</v>
      </c>
      <c r="C19" s="36">
        <v>2100</v>
      </c>
      <c r="D19" s="8">
        <f t="shared" si="7"/>
        <v>171.88717662817439</v>
      </c>
      <c r="E19" s="13">
        <f>B19/100*0.41</f>
        <v>140.94748483510298</v>
      </c>
      <c r="F19" s="9">
        <v>30</v>
      </c>
      <c r="G19" s="35">
        <f t="shared" si="5"/>
        <v>342.83466146327737</v>
      </c>
      <c r="H19" s="5"/>
      <c r="I19" s="1">
        <v>18</v>
      </c>
      <c r="J19" s="35">
        <f t="shared" si="6"/>
        <v>34119.536217206711</v>
      </c>
      <c r="K19" s="36">
        <v>2100</v>
      </c>
      <c r="L19" s="3">
        <v>147.85</v>
      </c>
      <c r="M19" s="35">
        <f t="shared" si="1"/>
        <v>156.94986659915088</v>
      </c>
      <c r="N19" s="9"/>
      <c r="O19" s="35">
        <f t="shared" si="2"/>
        <v>304.79986659915085</v>
      </c>
      <c r="P19" s="24">
        <f t="shared" si="3"/>
        <v>38.034794864126525</v>
      </c>
      <c r="R19" s="35"/>
      <c r="W19" s="20"/>
      <c r="Y19" s="9"/>
    </row>
    <row r="20" spans="1:25">
      <c r="A20" s="1">
        <v>19</v>
      </c>
      <c r="B20" s="35">
        <f t="shared" si="4"/>
        <v>36134.600664171601</v>
      </c>
      <c r="C20" s="36">
        <v>2100</v>
      </c>
      <c r="D20" s="8">
        <f t="shared" si="7"/>
        <v>180.67300332085802</v>
      </c>
      <c r="E20" s="13">
        <f>B20/100*0.41</f>
        <v>148.15186272310356</v>
      </c>
      <c r="F20" s="9">
        <v>30</v>
      </c>
      <c r="G20" s="35">
        <f t="shared" si="5"/>
        <v>358.82486604396161</v>
      </c>
      <c r="I20" s="1">
        <v>19</v>
      </c>
      <c r="J20" s="35">
        <f t="shared" si="6"/>
        <v>35914.736350607564</v>
      </c>
      <c r="K20" s="36">
        <v>2100</v>
      </c>
      <c r="L20" s="3">
        <v>147.85</v>
      </c>
      <c r="M20" s="35">
        <f t="shared" si="1"/>
        <v>165.20778721279481</v>
      </c>
      <c r="N20" s="9"/>
      <c r="O20" s="35">
        <f t="shared" si="2"/>
        <v>313.05778721279478</v>
      </c>
      <c r="P20" s="24">
        <f t="shared" si="3"/>
        <v>45.767078831166828</v>
      </c>
      <c r="Q20" s="24">
        <f>SUM(P11:P20)</f>
        <v>229.80951966958958</v>
      </c>
      <c r="R20" s="9"/>
      <c r="Y20" s="9"/>
    </row>
    <row r="21" spans="1:25">
      <c r="A21" s="1">
        <v>20</v>
      </c>
      <c r="B21" s="35">
        <f t="shared" si="4"/>
        <v>37875.775798127637</v>
      </c>
      <c r="C21" s="36">
        <v>2100</v>
      </c>
      <c r="D21" s="8">
        <f t="shared" si="7"/>
        <v>189.37887899063819</v>
      </c>
      <c r="E21" s="13">
        <f>B21/100*0.39</f>
        <v>147.7155256126978</v>
      </c>
      <c r="F21" s="9">
        <v>30</v>
      </c>
      <c r="G21" s="35">
        <f t="shared" si="5"/>
        <v>367.09440460333599</v>
      </c>
      <c r="I21" s="1">
        <v>20</v>
      </c>
      <c r="J21" s="35">
        <f t="shared" si="6"/>
        <v>37701.678563394766</v>
      </c>
      <c r="K21" s="36">
        <v>2100</v>
      </c>
      <c r="L21" s="3">
        <v>147.85</v>
      </c>
      <c r="M21" s="35">
        <f t="shared" si="1"/>
        <v>173.42772139161593</v>
      </c>
      <c r="N21" s="9"/>
      <c r="O21" s="35">
        <f t="shared" si="2"/>
        <v>321.27772139161596</v>
      </c>
      <c r="P21" s="24">
        <f t="shared" si="3"/>
        <v>45.816683211720033</v>
      </c>
      <c r="R21" s="9"/>
      <c r="U21" s="4"/>
      <c r="Y21" s="9"/>
    </row>
    <row r="22" spans="1:25">
      <c r="A22" s="1">
        <v>21</v>
      </c>
      <c r="B22" s="35">
        <f t="shared" si="4"/>
        <v>39608.681393524304</v>
      </c>
      <c r="C22" s="36">
        <v>2100</v>
      </c>
      <c r="D22" s="8">
        <f t="shared" si="7"/>
        <v>198.04340696762154</v>
      </c>
      <c r="E22" s="13">
        <f>B22/100*0.37</f>
        <v>146.55212115603993</v>
      </c>
      <c r="F22" s="9">
        <v>30</v>
      </c>
      <c r="G22" s="35">
        <f t="shared" si="5"/>
        <v>374.59552812366144</v>
      </c>
      <c r="I22" s="1">
        <v>21</v>
      </c>
      <c r="J22" s="35">
        <f t="shared" si="6"/>
        <v>39480.400842003153</v>
      </c>
      <c r="K22" s="36">
        <v>2100</v>
      </c>
      <c r="L22" s="3">
        <v>147.85</v>
      </c>
      <c r="M22" s="35">
        <f t="shared" si="1"/>
        <v>181.60984387321452</v>
      </c>
      <c r="N22" s="9"/>
      <c r="O22" s="35">
        <f t="shared" si="2"/>
        <v>329.45984387321448</v>
      </c>
      <c r="P22" s="24">
        <f t="shared" si="3"/>
        <v>45.135684250446957</v>
      </c>
      <c r="R22" s="9"/>
      <c r="Y22" s="9"/>
    </row>
    <row r="23" spans="1:25">
      <c r="A23" s="1">
        <v>22</v>
      </c>
      <c r="B23" s="35">
        <f t="shared" si="4"/>
        <v>41334.085865400644</v>
      </c>
      <c r="C23" s="36">
        <v>2100</v>
      </c>
      <c r="D23" s="8">
        <f t="shared" si="7"/>
        <v>206.67042932700323</v>
      </c>
      <c r="E23" s="13">
        <f>B23/100*0.34</f>
        <v>140.53589194236221</v>
      </c>
      <c r="F23" s="9">
        <v>30</v>
      </c>
      <c r="G23" s="35">
        <f t="shared" si="5"/>
        <v>377.20632126936545</v>
      </c>
      <c r="I23" s="1">
        <v>22</v>
      </c>
      <c r="J23" s="35">
        <f t="shared" si="6"/>
        <v>41250.94099812994</v>
      </c>
      <c r="K23" s="36">
        <v>2100</v>
      </c>
      <c r="L23" s="3">
        <v>147.85</v>
      </c>
      <c r="M23" s="35">
        <f t="shared" si="1"/>
        <v>189.75432859139772</v>
      </c>
      <c r="N23" s="9"/>
      <c r="O23" s="35">
        <f t="shared" si="2"/>
        <v>337.60432859139769</v>
      </c>
      <c r="P23" s="24">
        <f t="shared" si="3"/>
        <v>39.601992677967758</v>
      </c>
      <c r="R23" s="9"/>
      <c r="W23" s="25"/>
      <c r="Y23" s="9"/>
    </row>
    <row r="24" spans="1:25">
      <c r="A24" s="1">
        <v>23</v>
      </c>
      <c r="B24" s="35">
        <f t="shared" si="4"/>
        <v>43056.879544131276</v>
      </c>
      <c r="C24" s="36">
        <v>2100</v>
      </c>
      <c r="D24" s="8">
        <f t="shared" si="7"/>
        <v>215.28439772065639</v>
      </c>
      <c r="E24" s="13">
        <f>B24/100*0.31</f>
        <v>133.47632658680695</v>
      </c>
      <c r="F24" s="9">
        <v>30</v>
      </c>
      <c r="G24" s="35">
        <f t="shared" si="5"/>
        <v>378.76072430746331</v>
      </c>
      <c r="H24" s="40"/>
      <c r="I24" s="1">
        <v>23</v>
      </c>
      <c r="J24" s="35">
        <f t="shared" si="6"/>
        <v>43013.336669538541</v>
      </c>
      <c r="K24" s="36">
        <v>2100</v>
      </c>
      <c r="L24" s="3">
        <v>147.85</v>
      </c>
      <c r="M24" s="35">
        <f t="shared" si="1"/>
        <v>197.8613486798773</v>
      </c>
      <c r="N24" s="9"/>
      <c r="O24" s="35">
        <f t="shared" si="2"/>
        <v>345.71134867987729</v>
      </c>
      <c r="P24" s="24">
        <f t="shared" si="3"/>
        <v>33.049375627586016</v>
      </c>
      <c r="W24" s="23"/>
      <c r="Y24" s="9"/>
    </row>
    <row r="25" spans="1:25">
      <c r="A25" s="1">
        <v>24</v>
      </c>
      <c r="B25" s="35">
        <f t="shared" si="4"/>
        <v>44778.118819823816</v>
      </c>
      <c r="C25" s="36">
        <v>2100</v>
      </c>
      <c r="D25" s="8">
        <f t="shared" si="7"/>
        <v>223.89059409911908</v>
      </c>
      <c r="E25" s="13">
        <f>B25/100*0.29</f>
        <v>129.85654457748905</v>
      </c>
      <c r="F25" s="9">
        <v>30</v>
      </c>
      <c r="G25" s="35">
        <f t="shared" si="5"/>
        <v>383.74713867660813</v>
      </c>
      <c r="H25" s="39"/>
      <c r="I25" s="1">
        <v>24</v>
      </c>
      <c r="J25" s="35">
        <f t="shared" si="6"/>
        <v>44767.625320858664</v>
      </c>
      <c r="K25" s="36">
        <v>2100</v>
      </c>
      <c r="L25" s="3">
        <v>147.85</v>
      </c>
      <c r="M25" s="35">
        <f t="shared" si="1"/>
        <v>205.93107647594985</v>
      </c>
      <c r="N25" s="9"/>
      <c r="O25" s="35">
        <f t="shared" si="2"/>
        <v>353.78107647594982</v>
      </c>
      <c r="P25" s="24">
        <f t="shared" si="3"/>
        <v>29.966062200658314</v>
      </c>
      <c r="W25" s="14"/>
      <c r="Y25" s="9"/>
    </row>
    <row r="26" spans="1:25">
      <c r="A26" s="1">
        <v>25</v>
      </c>
      <c r="B26" s="35">
        <f t="shared" si="4"/>
        <v>46494.371681147211</v>
      </c>
      <c r="C26" s="36">
        <v>2100</v>
      </c>
      <c r="D26" s="8">
        <f t="shared" si="7"/>
        <v>232.47185840573604</v>
      </c>
      <c r="E26" s="13">
        <f>B26/100*0.27</f>
        <v>125.53480353909747</v>
      </c>
      <c r="F26" s="9">
        <v>30</v>
      </c>
      <c r="G26" s="35">
        <f t="shared" si="5"/>
        <v>388.00666194483352</v>
      </c>
      <c r="H26" s="30"/>
      <c r="I26" s="1">
        <v>25</v>
      </c>
      <c r="J26" s="35">
        <f t="shared" si="6"/>
        <v>46513.844244382715</v>
      </c>
      <c r="K26" s="36">
        <v>2100</v>
      </c>
      <c r="L26" s="3">
        <v>147.85</v>
      </c>
      <c r="M26" s="35">
        <f t="shared" si="1"/>
        <v>213.9636835241605</v>
      </c>
      <c r="N26" s="9"/>
      <c r="O26" s="35">
        <f t="shared" si="2"/>
        <v>361.81368352416052</v>
      </c>
      <c r="P26" s="24">
        <f t="shared" si="3"/>
        <v>26.192978420673001</v>
      </c>
      <c r="Y26" s="9"/>
    </row>
    <row r="27" spans="1:25">
      <c r="A27" s="1">
        <v>26</v>
      </c>
      <c r="B27" s="35">
        <f t="shared" si="4"/>
        <v>48206.365019202378</v>
      </c>
      <c r="C27" s="36">
        <v>2100</v>
      </c>
      <c r="D27" s="8">
        <f t="shared" si="7"/>
        <v>241.03182509601189</v>
      </c>
      <c r="E27" s="13">
        <f>B27/100*0.25</f>
        <v>120.51591254800594</v>
      </c>
      <c r="F27" s="9">
        <v>30</v>
      </c>
      <c r="G27" s="35">
        <f t="shared" si="5"/>
        <v>391.54773764401784</v>
      </c>
      <c r="I27" s="1">
        <v>26</v>
      </c>
      <c r="J27" s="35">
        <f t="shared" si="6"/>
        <v>48252.030560858555</v>
      </c>
      <c r="K27" s="36">
        <v>2100</v>
      </c>
      <c r="L27" s="3">
        <v>147.85</v>
      </c>
      <c r="M27" s="35">
        <f t="shared" si="1"/>
        <v>221.95934057994936</v>
      </c>
      <c r="N27" s="9"/>
      <c r="O27" s="35">
        <f t="shared" si="2"/>
        <v>369.80934057994932</v>
      </c>
      <c r="P27" s="24">
        <f t="shared" si="3"/>
        <v>21.738397064068522</v>
      </c>
      <c r="W27" s="14"/>
      <c r="Y27" s="9"/>
    </row>
    <row r="28" spans="1:25">
      <c r="A28" s="1">
        <v>27</v>
      </c>
      <c r="B28" s="35">
        <f t="shared" si="4"/>
        <v>49914.81728155836</v>
      </c>
      <c r="C28" s="36">
        <v>2100</v>
      </c>
      <c r="D28" s="8">
        <f t="shared" si="7"/>
        <v>249.57408640779181</v>
      </c>
      <c r="E28" s="13">
        <f>B28/100*0.23</f>
        <v>114.80407974758424</v>
      </c>
      <c r="F28" s="9">
        <v>30</v>
      </c>
      <c r="G28" s="35">
        <f t="shared" si="5"/>
        <v>394.37816615537605</v>
      </c>
      <c r="H28" s="18"/>
      <c r="I28" s="1">
        <v>27</v>
      </c>
      <c r="J28" s="35">
        <f t="shared" si="6"/>
        <v>49982.221220278603</v>
      </c>
      <c r="K28" s="36">
        <v>2100</v>
      </c>
      <c r="L28" s="3">
        <v>147.85</v>
      </c>
      <c r="M28" s="35">
        <f t="shared" si="1"/>
        <v>229.9182176132816</v>
      </c>
      <c r="N28" s="9"/>
      <c r="O28" s="35">
        <f t="shared" si="2"/>
        <v>377.76821761328159</v>
      </c>
      <c r="P28" s="24">
        <f t="shared" si="3"/>
        <v>16.609948542094457</v>
      </c>
      <c r="W28" s="14"/>
      <c r="Y28" s="9"/>
    </row>
    <row r="29" spans="1:25">
      <c r="A29" s="1">
        <v>28</v>
      </c>
      <c r="B29" s="35">
        <f t="shared" si="4"/>
        <v>51620.439115402987</v>
      </c>
      <c r="C29" s="36">
        <v>2100</v>
      </c>
      <c r="D29" s="8">
        <f t="shared" si="7"/>
        <v>258.10219557701492</v>
      </c>
      <c r="E29" s="13">
        <f>B29/100*0.21</f>
        <v>108.40292214234627</v>
      </c>
      <c r="F29" s="9">
        <v>30</v>
      </c>
      <c r="G29" s="35">
        <f t="shared" si="5"/>
        <v>396.50511771936118</v>
      </c>
      <c r="H29" s="5"/>
      <c r="I29" s="1">
        <v>28</v>
      </c>
      <c r="J29" s="35">
        <f t="shared" si="6"/>
        <v>51704.453002665323</v>
      </c>
      <c r="K29" s="36">
        <v>2100</v>
      </c>
      <c r="L29" s="3">
        <v>147.85</v>
      </c>
      <c r="M29" s="35">
        <f t="shared" si="1"/>
        <v>237.84048381226049</v>
      </c>
      <c r="N29" s="9"/>
      <c r="O29" s="35">
        <f t="shared" si="2"/>
        <v>385.69048381226048</v>
      </c>
      <c r="P29" s="24">
        <f t="shared" si="3"/>
        <v>10.814633907100699</v>
      </c>
      <c r="W29" s="20"/>
      <c r="Y29" s="9"/>
    </row>
    <row r="30" spans="1:25">
      <c r="A30" s="1">
        <v>29</v>
      </c>
      <c r="B30" s="35">
        <f t="shared" si="4"/>
        <v>53323.933997683627</v>
      </c>
      <c r="C30" s="36">
        <v>2100</v>
      </c>
      <c r="D30" s="8">
        <f t="shared" si="7"/>
        <v>266.61966998841814</v>
      </c>
      <c r="E30" s="13">
        <f>B30/100*0.19</f>
        <v>101.3154745955989</v>
      </c>
      <c r="F30" s="9">
        <v>30</v>
      </c>
      <c r="G30" s="35">
        <f t="shared" si="5"/>
        <v>397.93514458401705</v>
      </c>
      <c r="H30" s="30"/>
      <c r="I30" s="1">
        <v>29</v>
      </c>
      <c r="J30" s="35">
        <f t="shared" si="6"/>
        <v>53418.762518853066</v>
      </c>
      <c r="K30" s="36">
        <v>2100</v>
      </c>
      <c r="L30" s="3">
        <v>147.85</v>
      </c>
      <c r="M30" s="35">
        <f t="shared" si="1"/>
        <v>245.72630758672412</v>
      </c>
      <c r="N30" s="9"/>
      <c r="O30" s="35">
        <f t="shared" si="2"/>
        <v>393.57630758672411</v>
      </c>
      <c r="P30" s="24">
        <f t="shared" si="3"/>
        <v>4.3588369972929399</v>
      </c>
      <c r="Y30" s="9"/>
    </row>
    <row r="31" spans="1:25">
      <c r="A31" s="1">
        <v>30</v>
      </c>
      <c r="B31" s="35">
        <f t="shared" si="4"/>
        <v>55025.998853099612</v>
      </c>
      <c r="C31" s="36">
        <v>2100</v>
      </c>
      <c r="D31" s="8">
        <f t="shared" si="7"/>
        <v>275.12999426549806</v>
      </c>
      <c r="E31" s="13">
        <f>B31/100*0.18</f>
        <v>99.046797935579292</v>
      </c>
      <c r="F31" s="9">
        <v>30</v>
      </c>
      <c r="G31" s="35">
        <f t="shared" si="5"/>
        <v>404.17679220107732</v>
      </c>
      <c r="I31" s="1">
        <v>30</v>
      </c>
      <c r="J31" s="35">
        <f t="shared" si="6"/>
        <v>55125.186211266344</v>
      </c>
      <c r="K31" s="36">
        <v>2100</v>
      </c>
      <c r="L31" s="3">
        <v>147.85</v>
      </c>
      <c r="M31" s="35">
        <f t="shared" si="1"/>
        <v>253.57585657182517</v>
      </c>
      <c r="N31" s="9"/>
      <c r="O31" s="35">
        <f t="shared" si="2"/>
        <v>401.42585657182519</v>
      </c>
      <c r="P31" s="24">
        <f t="shared" si="3"/>
        <v>2.7509356292521261</v>
      </c>
      <c r="Q31" s="24">
        <f>SUM(P22:P31)</f>
        <v>230.21884531714079</v>
      </c>
      <c r="U31" s="4"/>
      <c r="Y31" s="9"/>
    </row>
    <row r="32" spans="1:25">
      <c r="A32" s="1">
        <v>31</v>
      </c>
      <c r="B32" s="35">
        <f t="shared" si="4"/>
        <v>56721.822060898536</v>
      </c>
      <c r="C32" s="36">
        <v>2100</v>
      </c>
      <c r="D32" s="8">
        <f t="shared" si="7"/>
        <v>283.60911030449267</v>
      </c>
      <c r="E32" s="13">
        <f>B32/100*0.17</f>
        <v>96.42709750352752</v>
      </c>
      <c r="F32" s="9">
        <v>30</v>
      </c>
      <c r="G32" s="35">
        <f t="shared" si="5"/>
        <v>410.03620780802021</v>
      </c>
      <c r="H32" s="38"/>
      <c r="I32" s="1">
        <v>31</v>
      </c>
      <c r="J32" s="35">
        <f t="shared" si="6"/>
        <v>56823.760354694517</v>
      </c>
      <c r="K32" s="36">
        <v>2100</v>
      </c>
      <c r="L32" s="3">
        <v>147.85</v>
      </c>
      <c r="M32" s="13">
        <f>J32/100*0.35</f>
        <v>198.8831612414308</v>
      </c>
      <c r="N32" s="9"/>
      <c r="O32" s="35">
        <f t="shared" si="2"/>
        <v>346.73316124143082</v>
      </c>
      <c r="P32" s="24">
        <f t="shared" si="3"/>
        <v>63.303046566589387</v>
      </c>
      <c r="Y32" s="9"/>
    </row>
    <row r="33" spans="1:25">
      <c r="A33" s="1">
        <v>32</v>
      </c>
      <c r="B33" s="35">
        <f t="shared" si="4"/>
        <v>58411.785853090514</v>
      </c>
      <c r="C33" s="36">
        <v>2100</v>
      </c>
      <c r="D33" s="8">
        <f t="shared" si="7"/>
        <v>292.05892926545255</v>
      </c>
      <c r="E33" s="13">
        <f>B33/100*0.17</f>
        <v>99.300035950253871</v>
      </c>
      <c r="F33" s="9">
        <v>30</v>
      </c>
      <c r="G33" s="35">
        <f t="shared" si="5"/>
        <v>421.35896521570641</v>
      </c>
      <c r="H33" s="30"/>
      <c r="I33" s="1">
        <v>32</v>
      </c>
      <c r="J33" s="35">
        <f t="shared" si="6"/>
        <v>58577.02719345309</v>
      </c>
      <c r="K33" s="36">
        <v>2100</v>
      </c>
      <c r="L33" s="3">
        <v>147.85</v>
      </c>
      <c r="M33" s="13">
        <f>J33/100*0.3</f>
        <v>175.73108158035927</v>
      </c>
      <c r="N33" s="9"/>
      <c r="O33" s="35">
        <f t="shared" si="2"/>
        <v>323.5810815803593</v>
      </c>
      <c r="P33" s="24">
        <f t="shared" si="3"/>
        <v>97.777883635347109</v>
      </c>
      <c r="W33" s="25"/>
      <c r="Y33" s="9"/>
    </row>
    <row r="34" spans="1:25">
      <c r="A34" s="1">
        <v>33</v>
      </c>
      <c r="B34" s="35">
        <f t="shared" si="4"/>
        <v>60090.426887874804</v>
      </c>
      <c r="C34" s="36">
        <v>2100</v>
      </c>
      <c r="D34" s="8">
        <f t="shared" si="7"/>
        <v>300.45213443937405</v>
      </c>
      <c r="E34" s="13">
        <f>B34/100*0.16</f>
        <v>96.1446830205997</v>
      </c>
      <c r="F34" s="9">
        <v>30</v>
      </c>
      <c r="G34" s="35">
        <f t="shared" si="5"/>
        <v>426.59681745997375</v>
      </c>
      <c r="H34" s="30"/>
      <c r="I34" s="1">
        <v>33</v>
      </c>
      <c r="J34" s="35">
        <f t="shared" si="6"/>
        <v>60353.446111872734</v>
      </c>
      <c r="K34" s="36">
        <v>2100</v>
      </c>
      <c r="L34" s="3">
        <v>147.85</v>
      </c>
      <c r="M34" s="13">
        <f>J34/100*0.25</f>
        <v>150.88361527968183</v>
      </c>
      <c r="N34" s="9"/>
      <c r="O34" s="35">
        <f t="shared" si="2"/>
        <v>298.73361527968183</v>
      </c>
      <c r="P34" s="24">
        <f t="shared" si="3"/>
        <v>127.86320218029192</v>
      </c>
      <c r="W34" s="23"/>
      <c r="Y34" s="9"/>
    </row>
    <row r="35" spans="1:25">
      <c r="A35" s="1">
        <v>34</v>
      </c>
      <c r="B35" s="35">
        <f t="shared" si="4"/>
        <v>61763.830070414828</v>
      </c>
      <c r="C35" s="36">
        <v>2100</v>
      </c>
      <c r="D35" s="8">
        <f t="shared" si="7"/>
        <v>308.81915035207413</v>
      </c>
      <c r="E35" s="13">
        <f>B35/100*0.15</f>
        <v>92.64574510562224</v>
      </c>
      <c r="F35" s="9">
        <v>30</v>
      </c>
      <c r="G35" s="35">
        <f t="shared" si="5"/>
        <v>431.46489545769634</v>
      </c>
      <c r="H35" s="30"/>
      <c r="I35" s="1">
        <v>34</v>
      </c>
      <c r="J35" s="35">
        <f t="shared" si="6"/>
        <v>62154.712496593049</v>
      </c>
      <c r="K35" s="36">
        <v>2100</v>
      </c>
      <c r="L35" s="3">
        <v>147.85</v>
      </c>
      <c r="M35" s="13">
        <f>J35/100*0.13</f>
        <v>80.80112624557097</v>
      </c>
      <c r="N35" s="9"/>
      <c r="O35" s="35">
        <f t="shared" si="2"/>
        <v>228.65112624557096</v>
      </c>
      <c r="P35" s="24">
        <f t="shared" si="3"/>
        <v>202.81376921212538</v>
      </c>
      <c r="W35" s="14"/>
      <c r="Y35" s="9"/>
    </row>
    <row r="36" spans="1:25">
      <c r="A36" s="1">
        <v>35</v>
      </c>
      <c r="B36" s="35">
        <f t="shared" si="4"/>
        <v>63432.365174957129</v>
      </c>
      <c r="C36" s="36">
        <v>2100</v>
      </c>
      <c r="D36" s="8">
        <f t="shared" si="7"/>
        <v>317.16182587478562</v>
      </c>
      <c r="E36" s="13">
        <f>B36/100*0.14</f>
        <v>88.805311244939986</v>
      </c>
      <c r="F36" s="9">
        <v>30</v>
      </c>
      <c r="G36" s="35">
        <f t="shared" si="5"/>
        <v>435.96713711972563</v>
      </c>
      <c r="H36" s="14"/>
      <c r="I36" s="1">
        <v>35</v>
      </c>
      <c r="J36" s="35">
        <f t="shared" si="6"/>
        <v>64026.061370347481</v>
      </c>
      <c r="K36" s="36">
        <v>2100</v>
      </c>
      <c r="L36" s="3">
        <v>147.85</v>
      </c>
      <c r="M36" s="13">
        <f>J36/100*0.07</f>
        <v>44.818242959243243</v>
      </c>
      <c r="N36" s="9"/>
      <c r="O36" s="35">
        <f t="shared" si="2"/>
        <v>192.66824295924323</v>
      </c>
      <c r="P36" s="24">
        <f t="shared" si="3"/>
        <v>243.2988941604824</v>
      </c>
      <c r="Y36" s="9"/>
    </row>
    <row r="37" spans="1:25">
      <c r="A37" s="34"/>
      <c r="B37" s="29"/>
      <c r="C37" s="29">
        <f>SUM(C2:C36)</f>
        <v>73500</v>
      </c>
      <c r="D37" s="21">
        <f>SUM(D2:D36)</f>
        <v>6092.8712461331579</v>
      </c>
      <c r="E37" s="21">
        <f>SUM(E2:E36)</f>
        <v>3560.7307160294367</v>
      </c>
      <c r="F37" s="21">
        <f>SUM(F2:F36)</f>
        <v>1050</v>
      </c>
      <c r="G37" s="78">
        <f>SUM(G2:G36)</f>
        <v>10703.601962162593</v>
      </c>
      <c r="H37" s="14"/>
      <c r="I37" s="34"/>
      <c r="J37" s="29"/>
      <c r="K37" s="29">
        <f>SUM(K2:K36)</f>
        <v>73500</v>
      </c>
      <c r="L37" s="21">
        <f>SUM(L2:L36)</f>
        <v>5174.7500000000009</v>
      </c>
      <c r="M37" s="21">
        <f>SUM(M2:M36)</f>
        <v>4691.8568726117846</v>
      </c>
      <c r="N37" s="21"/>
      <c r="O37" s="78">
        <f>SUM(O2:O36)</f>
        <v>9866.6068726117865</v>
      </c>
      <c r="Q37" s="14"/>
      <c r="R37" s="5"/>
      <c r="W37" s="14"/>
      <c r="Y37" s="9"/>
    </row>
    <row r="38" spans="1:25">
      <c r="A38" s="37"/>
      <c r="B38" s="29"/>
      <c r="C38" s="29"/>
      <c r="D38" s="2"/>
      <c r="E38" s="28"/>
      <c r="F38" s="7"/>
      <c r="G38" s="21"/>
      <c r="H38" s="27"/>
      <c r="I38" s="21"/>
      <c r="J38" s="27"/>
      <c r="N38" s="10"/>
      <c r="O38" s="9"/>
      <c r="Q38" s="14"/>
      <c r="W38" s="14"/>
      <c r="Y38" s="9"/>
    </row>
    <row r="39" spans="1:25">
      <c r="A39" s="34"/>
      <c r="B39" s="29"/>
      <c r="C39" s="29"/>
      <c r="D39" s="2"/>
      <c r="E39" s="28"/>
      <c r="F39" s="7"/>
      <c r="G39" s="21"/>
      <c r="H39" s="27"/>
      <c r="I39" s="21"/>
      <c r="J39" s="14"/>
      <c r="N39" s="5"/>
      <c r="W39" s="20"/>
      <c r="X39" s="9"/>
      <c r="Y39" s="9"/>
    </row>
    <row r="40" spans="1:25">
      <c r="A40" s="1" t="s">
        <v>33</v>
      </c>
      <c r="B40" s="1" t="s">
        <v>10</v>
      </c>
      <c r="C40" s="1" t="s">
        <v>14</v>
      </c>
      <c r="D40" s="3" t="s">
        <v>34</v>
      </c>
      <c r="E40" s="3" t="s">
        <v>31</v>
      </c>
      <c r="F40" s="3" t="s">
        <v>30</v>
      </c>
      <c r="G40" s="1" t="s">
        <v>29</v>
      </c>
      <c r="H40" s="27"/>
      <c r="I40" s="1" t="s">
        <v>33</v>
      </c>
      <c r="J40" s="1" t="s">
        <v>10</v>
      </c>
      <c r="K40" s="1" t="s">
        <v>14</v>
      </c>
      <c r="L40" s="26" t="s">
        <v>32</v>
      </c>
      <c r="M40" s="3" t="s">
        <v>31</v>
      </c>
      <c r="N40" s="3"/>
      <c r="O40" s="1" t="s">
        <v>29</v>
      </c>
      <c r="P40" s="5" t="s">
        <v>28</v>
      </c>
    </row>
    <row r="41" spans="1:25">
      <c r="A41" s="1">
        <v>1</v>
      </c>
      <c r="B41" s="36">
        <v>2300</v>
      </c>
      <c r="C41" s="36">
        <v>1200</v>
      </c>
      <c r="D41" s="3">
        <f>B41/100*2</f>
        <v>46</v>
      </c>
      <c r="E41" s="35">
        <f t="shared" ref="E41:E55" si="8">B41/100*0.48</f>
        <v>11.04</v>
      </c>
      <c r="F41" s="9">
        <v>30</v>
      </c>
      <c r="G41" s="35">
        <f t="shared" ref="G41:G75" si="9">D41+E41+F41</f>
        <v>87.039999999999992</v>
      </c>
      <c r="I41" s="1">
        <v>1</v>
      </c>
      <c r="J41" s="36">
        <v>2300</v>
      </c>
      <c r="K41" s="36">
        <v>1200</v>
      </c>
      <c r="L41" s="13">
        <v>102.67</v>
      </c>
      <c r="M41" s="35">
        <f t="shared" ref="M41:M70" si="10">J41/100*0.46</f>
        <v>10.58</v>
      </c>
      <c r="N41" s="9"/>
      <c r="O41" s="35">
        <f t="shared" ref="O41:O75" si="11">L41+M41+N41</f>
        <v>113.25</v>
      </c>
      <c r="P41" s="24">
        <f t="shared" ref="P41:P75" si="12">G41-O41</f>
        <v>-26.210000000000008</v>
      </c>
      <c r="U41" s="4"/>
    </row>
    <row r="42" spans="1:25">
      <c r="A42" s="1">
        <v>2</v>
      </c>
      <c r="B42" s="35">
        <f t="shared" ref="B42:B75" si="13">B41+C41-G41</f>
        <v>3412.96</v>
      </c>
      <c r="C42" s="36">
        <v>1200</v>
      </c>
      <c r="D42" s="3">
        <f>B42/100*2</f>
        <v>68.259200000000007</v>
      </c>
      <c r="E42" s="35">
        <f t="shared" si="8"/>
        <v>16.382208000000002</v>
      </c>
      <c r="F42" s="9">
        <v>30</v>
      </c>
      <c r="G42" s="35">
        <f t="shared" si="9"/>
        <v>114.64140800000001</v>
      </c>
      <c r="I42" s="1">
        <v>2</v>
      </c>
      <c r="J42" s="35">
        <f t="shared" ref="J42:J75" si="14">J41+K41-O41</f>
        <v>3386.75</v>
      </c>
      <c r="K42" s="36">
        <v>1200</v>
      </c>
      <c r="L42" s="13">
        <v>102.67</v>
      </c>
      <c r="M42" s="35">
        <f t="shared" si="10"/>
        <v>15.579050000000001</v>
      </c>
      <c r="N42" s="9"/>
      <c r="O42" s="35">
        <f t="shared" si="11"/>
        <v>118.24905</v>
      </c>
      <c r="P42" s="24">
        <f t="shared" si="12"/>
        <v>-3.6076419999999843</v>
      </c>
    </row>
    <row r="43" spans="1:25">
      <c r="A43" s="1">
        <v>3</v>
      </c>
      <c r="B43" s="35">
        <f t="shared" si="13"/>
        <v>4498.3185919999996</v>
      </c>
      <c r="C43" s="36">
        <v>1200</v>
      </c>
      <c r="D43" s="3">
        <f>B43/100*2</f>
        <v>89.966371839999994</v>
      </c>
      <c r="E43" s="35">
        <f t="shared" si="8"/>
        <v>21.591929241599999</v>
      </c>
      <c r="F43" s="9">
        <v>30</v>
      </c>
      <c r="G43" s="35">
        <f t="shared" si="9"/>
        <v>141.55830108160001</v>
      </c>
      <c r="H43" s="5"/>
      <c r="I43" s="1">
        <v>3</v>
      </c>
      <c r="J43" s="35">
        <f t="shared" si="14"/>
        <v>4468.5009499999996</v>
      </c>
      <c r="K43" s="36">
        <v>1200</v>
      </c>
      <c r="L43" s="13">
        <v>102.67</v>
      </c>
      <c r="M43" s="35">
        <f t="shared" si="10"/>
        <v>20.555104370000002</v>
      </c>
      <c r="N43" s="9"/>
      <c r="O43" s="35">
        <f t="shared" si="11"/>
        <v>123.22510437</v>
      </c>
      <c r="P43" s="24">
        <f t="shared" si="12"/>
        <v>18.33319671160001</v>
      </c>
      <c r="W43" s="25"/>
    </row>
    <row r="44" spans="1:25">
      <c r="A44" s="1">
        <v>4</v>
      </c>
      <c r="B44" s="35">
        <f t="shared" si="13"/>
        <v>5556.7602909183997</v>
      </c>
      <c r="C44" s="36">
        <v>1200</v>
      </c>
      <c r="D44" s="3">
        <f>B44/100*1</f>
        <v>55.567602909183996</v>
      </c>
      <c r="E44" s="35">
        <f t="shared" si="8"/>
        <v>26.672449396408318</v>
      </c>
      <c r="F44" s="9">
        <v>30</v>
      </c>
      <c r="G44" s="35">
        <f t="shared" si="9"/>
        <v>112.24005230559231</v>
      </c>
      <c r="H44" s="2"/>
      <c r="I44" s="1">
        <v>4</v>
      </c>
      <c r="J44" s="35">
        <f t="shared" si="14"/>
        <v>5545.2758456299998</v>
      </c>
      <c r="K44" s="36">
        <v>1200</v>
      </c>
      <c r="L44" s="13">
        <v>102.67</v>
      </c>
      <c r="M44" s="35">
        <f t="shared" si="10"/>
        <v>25.508268889897998</v>
      </c>
      <c r="N44" s="9"/>
      <c r="O44" s="35">
        <f t="shared" si="11"/>
        <v>128.17826888989799</v>
      </c>
      <c r="P44" s="24">
        <f t="shared" si="12"/>
        <v>-15.938216584305678</v>
      </c>
      <c r="W44" s="23"/>
    </row>
    <row r="45" spans="1:25">
      <c r="A45" s="1">
        <v>5</v>
      </c>
      <c r="B45" s="35">
        <f t="shared" si="13"/>
        <v>6644.5202386128076</v>
      </c>
      <c r="C45" s="36">
        <v>1200</v>
      </c>
      <c r="D45" s="3">
        <f>B45/100*1</f>
        <v>66.445202386128074</v>
      </c>
      <c r="E45" s="35">
        <f t="shared" si="8"/>
        <v>31.893697145341473</v>
      </c>
      <c r="F45" s="9">
        <v>30</v>
      </c>
      <c r="G45" s="35">
        <f t="shared" si="9"/>
        <v>128.33889953146956</v>
      </c>
      <c r="H45" s="2"/>
      <c r="I45" s="1">
        <v>5</v>
      </c>
      <c r="J45" s="35">
        <f t="shared" si="14"/>
        <v>6617.0975767401014</v>
      </c>
      <c r="K45" s="36">
        <v>1200</v>
      </c>
      <c r="L45" s="13">
        <v>102.67</v>
      </c>
      <c r="M45" s="35">
        <f t="shared" si="10"/>
        <v>30.438648853004469</v>
      </c>
      <c r="N45" s="9"/>
      <c r="O45" s="35">
        <f t="shared" si="11"/>
        <v>133.10864885300447</v>
      </c>
      <c r="P45" s="24">
        <f t="shared" si="12"/>
        <v>-4.7697493215349027</v>
      </c>
      <c r="W45" s="22"/>
    </row>
    <row r="46" spans="1:25">
      <c r="A46" s="1">
        <v>6</v>
      </c>
      <c r="B46" s="35">
        <f t="shared" si="13"/>
        <v>7716.1813390813377</v>
      </c>
      <c r="C46" s="36">
        <v>1200</v>
      </c>
      <c r="D46" s="3">
        <f>B46/100*1</f>
        <v>77.161813390813379</v>
      </c>
      <c r="E46" s="35">
        <f t="shared" si="8"/>
        <v>37.03767042759042</v>
      </c>
      <c r="F46" s="9">
        <v>30</v>
      </c>
      <c r="G46" s="35">
        <f t="shared" si="9"/>
        <v>144.19948381840379</v>
      </c>
      <c r="H46" s="2"/>
      <c r="I46" s="1">
        <v>6</v>
      </c>
      <c r="J46" s="35">
        <f t="shared" si="14"/>
        <v>7683.9889278870969</v>
      </c>
      <c r="K46" s="36">
        <v>1200</v>
      </c>
      <c r="L46" s="13">
        <v>102.67</v>
      </c>
      <c r="M46" s="35">
        <f t="shared" si="10"/>
        <v>35.346349068280645</v>
      </c>
      <c r="N46" s="9"/>
      <c r="O46" s="35">
        <f t="shared" si="11"/>
        <v>138.01634906828065</v>
      </c>
      <c r="P46" s="24">
        <f t="shared" si="12"/>
        <v>6.1831347501231448</v>
      </c>
    </row>
    <row r="47" spans="1:25">
      <c r="A47" s="1">
        <v>7</v>
      </c>
      <c r="B47" s="35">
        <f t="shared" si="13"/>
        <v>8771.9818552629331</v>
      </c>
      <c r="C47" s="36">
        <v>1200</v>
      </c>
      <c r="D47" s="3">
        <f>B47/100*1</f>
        <v>87.719818552629334</v>
      </c>
      <c r="E47" s="35">
        <f t="shared" si="8"/>
        <v>42.105512905262081</v>
      </c>
      <c r="F47" s="9">
        <v>30</v>
      </c>
      <c r="G47" s="35">
        <f t="shared" si="9"/>
        <v>159.82533145789142</v>
      </c>
      <c r="H47" s="2"/>
      <c r="I47" s="1">
        <v>7</v>
      </c>
      <c r="J47" s="35">
        <f t="shared" si="14"/>
        <v>8745.9725788188171</v>
      </c>
      <c r="K47" s="36">
        <v>1200</v>
      </c>
      <c r="L47" s="13">
        <v>102.67</v>
      </c>
      <c r="M47" s="35">
        <f t="shared" si="10"/>
        <v>40.23147386256656</v>
      </c>
      <c r="N47" s="9"/>
      <c r="O47" s="35">
        <f t="shared" si="11"/>
        <v>142.90147386256655</v>
      </c>
      <c r="P47" s="24">
        <f t="shared" si="12"/>
        <v>16.923857595324876</v>
      </c>
      <c r="W47" s="14"/>
    </row>
    <row r="48" spans="1:25">
      <c r="A48" s="1">
        <v>8</v>
      </c>
      <c r="B48" s="35">
        <f t="shared" si="13"/>
        <v>9812.1565238050425</v>
      </c>
      <c r="C48" s="36">
        <v>1200</v>
      </c>
      <c r="D48" s="3">
        <f>B48/100*1</f>
        <v>98.121565238050422</v>
      </c>
      <c r="E48" s="35">
        <f t="shared" si="8"/>
        <v>47.0983513142642</v>
      </c>
      <c r="F48" s="9">
        <v>30</v>
      </c>
      <c r="G48" s="35">
        <f t="shared" si="9"/>
        <v>175.21991655231463</v>
      </c>
      <c r="I48" s="1">
        <v>8</v>
      </c>
      <c r="J48" s="35">
        <f t="shared" si="14"/>
        <v>9803.0711049562506</v>
      </c>
      <c r="K48" s="36">
        <v>1200</v>
      </c>
      <c r="L48" s="13">
        <v>102.67</v>
      </c>
      <c r="M48" s="35">
        <f t="shared" si="10"/>
        <v>45.094127082798757</v>
      </c>
      <c r="N48" s="9"/>
      <c r="O48" s="35">
        <f t="shared" si="11"/>
        <v>147.76412708279875</v>
      </c>
      <c r="P48" s="24">
        <f t="shared" si="12"/>
        <v>27.455789469515878</v>
      </c>
      <c r="R48" s="5"/>
      <c r="W48" s="14"/>
    </row>
    <row r="49" spans="1:23">
      <c r="A49" s="1">
        <v>9</v>
      </c>
      <c r="B49" s="35">
        <f t="shared" si="13"/>
        <v>10836.936607252728</v>
      </c>
      <c r="C49" s="36">
        <v>1200</v>
      </c>
      <c r="D49" s="3">
        <f t="shared" ref="D49:D75" si="15">B49/100*0.5</f>
        <v>54.184683036263642</v>
      </c>
      <c r="E49" s="35">
        <f t="shared" si="8"/>
        <v>52.017295714813095</v>
      </c>
      <c r="F49" s="9">
        <v>30</v>
      </c>
      <c r="G49" s="35">
        <f t="shared" si="9"/>
        <v>136.20197875107675</v>
      </c>
      <c r="I49" s="1">
        <v>9</v>
      </c>
      <c r="J49" s="35">
        <f t="shared" si="14"/>
        <v>10855.306977873452</v>
      </c>
      <c r="K49" s="36">
        <v>1200</v>
      </c>
      <c r="L49" s="13">
        <v>102.67</v>
      </c>
      <c r="M49" s="35">
        <f t="shared" si="10"/>
        <v>49.934412098217877</v>
      </c>
      <c r="N49" s="9"/>
      <c r="O49" s="35">
        <f t="shared" si="11"/>
        <v>152.60441209821789</v>
      </c>
      <c r="P49" s="24">
        <f t="shared" si="12"/>
        <v>-16.402433347141141</v>
      </c>
      <c r="R49" s="5"/>
      <c r="W49" s="20"/>
    </row>
    <row r="50" spans="1:23">
      <c r="A50" s="1">
        <v>10</v>
      </c>
      <c r="B50" s="35">
        <f t="shared" si="13"/>
        <v>11900.734628501652</v>
      </c>
      <c r="C50" s="36">
        <v>1200</v>
      </c>
      <c r="D50" s="3">
        <f t="shared" si="15"/>
        <v>59.503673142508262</v>
      </c>
      <c r="E50" s="35">
        <f t="shared" si="8"/>
        <v>57.123526216807932</v>
      </c>
      <c r="F50" s="9">
        <v>30</v>
      </c>
      <c r="G50" s="35">
        <f t="shared" si="9"/>
        <v>146.62719935931619</v>
      </c>
      <c r="I50" s="1">
        <v>10</v>
      </c>
      <c r="J50" s="35">
        <f t="shared" si="14"/>
        <v>11902.702565775233</v>
      </c>
      <c r="K50" s="36">
        <v>1200</v>
      </c>
      <c r="L50" s="13">
        <v>102.67</v>
      </c>
      <c r="M50" s="35">
        <f t="shared" si="10"/>
        <v>54.752431802566072</v>
      </c>
      <c r="N50" s="9"/>
      <c r="O50" s="35">
        <f t="shared" si="11"/>
        <v>157.42243180256608</v>
      </c>
      <c r="P50" s="24">
        <f t="shared" si="12"/>
        <v>-10.795232443249887</v>
      </c>
      <c r="Q50" s="24">
        <f>SUM(P41:P50)</f>
        <v>-8.8272951696676927</v>
      </c>
      <c r="R50" s="5"/>
    </row>
    <row r="51" spans="1:23">
      <c r="A51" s="1">
        <v>11</v>
      </c>
      <c r="B51" s="35">
        <f t="shared" si="13"/>
        <v>12954.107429142336</v>
      </c>
      <c r="C51" s="36">
        <v>1200</v>
      </c>
      <c r="D51" s="3">
        <f t="shared" si="15"/>
        <v>64.770537145711671</v>
      </c>
      <c r="E51" s="35">
        <f t="shared" si="8"/>
        <v>62.1797156598832</v>
      </c>
      <c r="F51" s="9">
        <v>30</v>
      </c>
      <c r="G51" s="35">
        <f t="shared" si="9"/>
        <v>156.95025280559486</v>
      </c>
      <c r="H51" s="2"/>
      <c r="I51" s="1">
        <v>11</v>
      </c>
      <c r="J51" s="35">
        <f t="shared" si="14"/>
        <v>12945.280133972667</v>
      </c>
      <c r="K51" s="36">
        <v>1200</v>
      </c>
      <c r="L51" s="13">
        <v>102.67</v>
      </c>
      <c r="M51" s="35">
        <f t="shared" si="10"/>
        <v>59.54828861627427</v>
      </c>
      <c r="N51" s="9"/>
      <c r="O51" s="35">
        <f t="shared" si="11"/>
        <v>162.21828861627426</v>
      </c>
      <c r="P51" s="24">
        <f t="shared" si="12"/>
        <v>-5.2680358106794074</v>
      </c>
      <c r="R51" s="5"/>
    </row>
    <row r="52" spans="1:23">
      <c r="A52" s="1">
        <v>12</v>
      </c>
      <c r="B52" s="35">
        <f t="shared" si="13"/>
        <v>13997.157176336741</v>
      </c>
      <c r="C52" s="36">
        <v>1200</v>
      </c>
      <c r="D52" s="16">
        <f t="shared" si="15"/>
        <v>69.985785881683711</v>
      </c>
      <c r="E52" s="35">
        <f t="shared" si="8"/>
        <v>67.18635444641636</v>
      </c>
      <c r="F52" s="9">
        <v>30</v>
      </c>
      <c r="G52" s="35">
        <f t="shared" si="9"/>
        <v>167.17214032810006</v>
      </c>
      <c r="H52" s="4"/>
      <c r="I52" s="1">
        <v>12</v>
      </c>
      <c r="J52" s="35">
        <f t="shared" si="14"/>
        <v>13983.061845356393</v>
      </c>
      <c r="K52" s="36">
        <v>1200</v>
      </c>
      <c r="L52" s="13">
        <v>102.67</v>
      </c>
      <c r="M52" s="35">
        <f t="shared" si="10"/>
        <v>64.322084488639419</v>
      </c>
      <c r="N52" s="9"/>
      <c r="O52" s="35">
        <f t="shared" si="11"/>
        <v>166.99208448863942</v>
      </c>
      <c r="P52" s="24">
        <f t="shared" si="12"/>
        <v>0.18005583946063553</v>
      </c>
      <c r="R52" s="5"/>
    </row>
    <row r="53" spans="1:23">
      <c r="A53" s="1">
        <v>13</v>
      </c>
      <c r="B53" s="35">
        <f t="shared" si="13"/>
        <v>15029.98503600864</v>
      </c>
      <c r="C53" s="36">
        <v>1200</v>
      </c>
      <c r="D53" s="8">
        <f t="shared" si="15"/>
        <v>75.149925180043198</v>
      </c>
      <c r="E53" s="35">
        <f t="shared" si="8"/>
        <v>72.14392817284147</v>
      </c>
      <c r="F53" s="9">
        <v>30</v>
      </c>
      <c r="G53" s="35">
        <f t="shared" si="9"/>
        <v>177.29385335288467</v>
      </c>
      <c r="H53" s="5"/>
      <c r="I53" s="1">
        <v>13</v>
      </c>
      <c r="J53" s="35">
        <f t="shared" si="14"/>
        <v>15016.069760867753</v>
      </c>
      <c r="K53" s="36">
        <v>1200</v>
      </c>
      <c r="L53" s="13">
        <v>102.67</v>
      </c>
      <c r="M53" s="35">
        <f t="shared" si="10"/>
        <v>69.073920899991677</v>
      </c>
      <c r="N53" s="9"/>
      <c r="O53" s="35">
        <f t="shared" si="11"/>
        <v>171.74392089999168</v>
      </c>
      <c r="P53" s="24">
        <f t="shared" si="12"/>
        <v>5.549932452892989</v>
      </c>
      <c r="R53" s="5"/>
    </row>
    <row r="54" spans="1:23">
      <c r="A54" s="1">
        <v>14</v>
      </c>
      <c r="B54" s="35">
        <f t="shared" si="13"/>
        <v>16052.691182655755</v>
      </c>
      <c r="C54" s="36">
        <v>1200</v>
      </c>
      <c r="D54" s="8">
        <f t="shared" si="15"/>
        <v>80.263455913278776</v>
      </c>
      <c r="E54" s="35">
        <f t="shared" si="8"/>
        <v>77.052917676747626</v>
      </c>
      <c r="F54" s="9">
        <v>30</v>
      </c>
      <c r="G54" s="35">
        <f t="shared" si="9"/>
        <v>187.31637359002639</v>
      </c>
      <c r="H54" s="5"/>
      <c r="I54" s="1">
        <v>14</v>
      </c>
      <c r="J54" s="35">
        <f t="shared" si="14"/>
        <v>16044.325839967762</v>
      </c>
      <c r="K54" s="36">
        <v>1200</v>
      </c>
      <c r="L54" s="13">
        <v>102.67</v>
      </c>
      <c r="M54" s="35">
        <f t="shared" si="10"/>
        <v>73.8038988638517</v>
      </c>
      <c r="N54" s="9"/>
      <c r="O54" s="35">
        <f t="shared" si="11"/>
        <v>176.4738988638517</v>
      </c>
      <c r="P54" s="24">
        <f t="shared" si="12"/>
        <v>10.842474726174686</v>
      </c>
      <c r="R54" s="5"/>
    </row>
    <row r="55" spans="1:23">
      <c r="A55" s="1">
        <v>15</v>
      </c>
      <c r="B55" s="35">
        <f t="shared" si="13"/>
        <v>17065.374809065728</v>
      </c>
      <c r="C55" s="36">
        <v>1200</v>
      </c>
      <c r="D55" s="8">
        <f t="shared" si="15"/>
        <v>85.326874045328637</v>
      </c>
      <c r="E55" s="35">
        <f t="shared" si="8"/>
        <v>81.913799083515485</v>
      </c>
      <c r="F55" s="9">
        <v>30</v>
      </c>
      <c r="G55" s="35">
        <f t="shared" si="9"/>
        <v>197.24067312884412</v>
      </c>
      <c r="I55" s="1">
        <v>15</v>
      </c>
      <c r="J55" s="35">
        <f t="shared" si="14"/>
        <v>17067.851941103909</v>
      </c>
      <c r="K55" s="36">
        <v>1200</v>
      </c>
      <c r="L55" s="13">
        <v>102.67</v>
      </c>
      <c r="M55" s="35">
        <f t="shared" si="10"/>
        <v>78.512118929077985</v>
      </c>
      <c r="N55" s="9"/>
      <c r="O55" s="35">
        <f t="shared" si="11"/>
        <v>181.182118929078</v>
      </c>
      <c r="P55" s="24">
        <f t="shared" si="12"/>
        <v>16.058554199766121</v>
      </c>
      <c r="R55" s="5"/>
    </row>
    <row r="56" spans="1:23">
      <c r="A56" s="1">
        <v>16</v>
      </c>
      <c r="B56" s="35">
        <f t="shared" si="13"/>
        <v>18068.134135936885</v>
      </c>
      <c r="C56" s="36">
        <v>1200</v>
      </c>
      <c r="D56" s="8">
        <f t="shared" si="15"/>
        <v>90.340670679684422</v>
      </c>
      <c r="E56" s="13">
        <f>B56/100*0.46</f>
        <v>83.113417025309673</v>
      </c>
      <c r="F56" s="9">
        <v>30</v>
      </c>
      <c r="G56" s="35">
        <f t="shared" si="9"/>
        <v>203.45408770499409</v>
      </c>
      <c r="H56" s="5"/>
      <c r="I56" s="1">
        <v>16</v>
      </c>
      <c r="J56" s="35">
        <f t="shared" si="14"/>
        <v>18086.66982217483</v>
      </c>
      <c r="K56" s="36">
        <v>1200</v>
      </c>
      <c r="L56" s="13">
        <v>102.67</v>
      </c>
      <c r="M56" s="35">
        <f t="shared" si="10"/>
        <v>83.198681182004222</v>
      </c>
      <c r="N56" s="9"/>
      <c r="O56" s="35">
        <f t="shared" si="11"/>
        <v>185.86868118200422</v>
      </c>
      <c r="P56" s="24">
        <f t="shared" si="12"/>
        <v>17.585406522989871</v>
      </c>
      <c r="R56" s="5"/>
    </row>
    <row r="57" spans="1:23">
      <c r="A57" s="1">
        <v>17</v>
      </c>
      <c r="B57" s="35">
        <f t="shared" si="13"/>
        <v>19064.68004823189</v>
      </c>
      <c r="C57" s="36">
        <v>1200</v>
      </c>
      <c r="D57" s="8">
        <f t="shared" si="15"/>
        <v>95.323400241159447</v>
      </c>
      <c r="E57" s="13">
        <f>B57/100*0.44</f>
        <v>83.884592212220312</v>
      </c>
      <c r="F57" s="9">
        <v>30</v>
      </c>
      <c r="G57" s="35">
        <f t="shared" si="9"/>
        <v>209.20799245337975</v>
      </c>
      <c r="H57" s="5"/>
      <c r="I57" s="1">
        <v>17</v>
      </c>
      <c r="J57" s="35">
        <f t="shared" si="14"/>
        <v>19100.801140992826</v>
      </c>
      <c r="K57" s="36">
        <v>1200</v>
      </c>
      <c r="L57" s="13">
        <v>102.67</v>
      </c>
      <c r="M57" s="35">
        <f t="shared" si="10"/>
        <v>87.863685248567009</v>
      </c>
      <c r="N57" s="9"/>
      <c r="O57" s="35">
        <f t="shared" si="11"/>
        <v>190.533685248567</v>
      </c>
      <c r="P57" s="24">
        <f t="shared" si="12"/>
        <v>18.674307204812749</v>
      </c>
      <c r="R57" s="5"/>
    </row>
    <row r="58" spans="1:23">
      <c r="A58" s="1">
        <v>18</v>
      </c>
      <c r="B58" s="35">
        <f t="shared" si="13"/>
        <v>20055.472055778511</v>
      </c>
      <c r="C58" s="36">
        <v>1200</v>
      </c>
      <c r="D58" s="8">
        <f t="shared" si="15"/>
        <v>100.27736027889256</v>
      </c>
      <c r="E58" s="13">
        <f>B58/100*0.41</f>
        <v>82.227435428691891</v>
      </c>
      <c r="F58" s="9">
        <v>30</v>
      </c>
      <c r="G58" s="35">
        <f t="shared" si="9"/>
        <v>212.50479570758444</v>
      </c>
      <c r="I58" s="1">
        <v>18</v>
      </c>
      <c r="J58" s="35">
        <f t="shared" si="14"/>
        <v>20110.267455744259</v>
      </c>
      <c r="K58" s="36">
        <v>1200</v>
      </c>
      <c r="L58" s="13">
        <v>102.67</v>
      </c>
      <c r="M58" s="35">
        <f t="shared" si="10"/>
        <v>92.507230296423586</v>
      </c>
      <c r="N58" s="9"/>
      <c r="O58" s="35">
        <f t="shared" si="11"/>
        <v>195.1772302964236</v>
      </c>
      <c r="P58" s="24">
        <f t="shared" si="12"/>
        <v>17.327565411160833</v>
      </c>
      <c r="R58" s="5"/>
      <c r="U58" s="3"/>
    </row>
    <row r="59" spans="1:23">
      <c r="A59" s="1">
        <v>19</v>
      </c>
      <c r="B59" s="35">
        <f t="shared" si="13"/>
        <v>21042.967260070927</v>
      </c>
      <c r="C59" s="36">
        <v>1200</v>
      </c>
      <c r="D59" s="8">
        <f t="shared" si="15"/>
        <v>105.21483630035463</v>
      </c>
      <c r="E59" s="13">
        <f>B59/100*0.41</f>
        <v>86.276165766290788</v>
      </c>
      <c r="F59" s="9">
        <v>30</v>
      </c>
      <c r="G59" s="35">
        <f t="shared" si="9"/>
        <v>221.49100206664542</v>
      </c>
      <c r="I59" s="1">
        <v>19</v>
      </c>
      <c r="J59" s="35">
        <f t="shared" si="14"/>
        <v>21115.090225447835</v>
      </c>
      <c r="K59" s="36">
        <v>1200</v>
      </c>
      <c r="L59" s="13">
        <v>102.67</v>
      </c>
      <c r="M59" s="35">
        <f t="shared" si="10"/>
        <v>97.129415037060042</v>
      </c>
      <c r="N59" s="9"/>
      <c r="O59" s="35">
        <f t="shared" si="11"/>
        <v>199.79941503706004</v>
      </c>
      <c r="P59" s="24">
        <f t="shared" si="12"/>
        <v>21.691587029585378</v>
      </c>
      <c r="Q59" s="24">
        <f>SUM(P50:P59)</f>
        <v>91.846615132913968</v>
      </c>
      <c r="R59" s="5"/>
      <c r="U59" s="3"/>
    </row>
    <row r="60" spans="1:23">
      <c r="A60" s="1">
        <v>20</v>
      </c>
      <c r="B60" s="35">
        <f t="shared" si="13"/>
        <v>22021.476258004281</v>
      </c>
      <c r="C60" s="36">
        <v>1200</v>
      </c>
      <c r="D60" s="8">
        <f t="shared" si="15"/>
        <v>110.10738129002141</v>
      </c>
      <c r="E60" s="13">
        <f>B60/100*0.39</f>
        <v>85.883757406216702</v>
      </c>
      <c r="F60" s="9">
        <v>30</v>
      </c>
      <c r="G60" s="35">
        <f t="shared" si="9"/>
        <v>225.99113869623812</v>
      </c>
      <c r="I60" s="1">
        <v>20</v>
      </c>
      <c r="J60" s="35">
        <f t="shared" si="14"/>
        <v>22115.290810410774</v>
      </c>
      <c r="K60" s="36">
        <v>1200</v>
      </c>
      <c r="L60" s="13">
        <v>102.67</v>
      </c>
      <c r="M60" s="35">
        <f t="shared" si="10"/>
        <v>101.73033772788956</v>
      </c>
      <c r="N60" s="9"/>
      <c r="O60" s="35">
        <f t="shared" si="11"/>
        <v>204.40033772788956</v>
      </c>
      <c r="P60" s="24">
        <f t="shared" si="12"/>
        <v>21.59080096834856</v>
      </c>
      <c r="R60" s="5"/>
      <c r="U60" s="3"/>
    </row>
    <row r="61" spans="1:23">
      <c r="A61" s="1">
        <v>21</v>
      </c>
      <c r="B61" s="35">
        <f t="shared" si="13"/>
        <v>22995.485119308043</v>
      </c>
      <c r="C61" s="36">
        <v>1200</v>
      </c>
      <c r="D61" s="8">
        <f t="shared" si="15"/>
        <v>114.97742559654021</v>
      </c>
      <c r="E61" s="13">
        <f>B61/100*0.37</f>
        <v>85.08329494143976</v>
      </c>
      <c r="F61" s="9">
        <v>30</v>
      </c>
      <c r="G61" s="35">
        <f t="shared" si="9"/>
        <v>230.06072053797999</v>
      </c>
      <c r="I61" s="1">
        <v>21</v>
      </c>
      <c r="J61" s="35">
        <f t="shared" si="14"/>
        <v>23110.890472682884</v>
      </c>
      <c r="K61" s="36">
        <v>1200</v>
      </c>
      <c r="L61" s="13">
        <v>102.67</v>
      </c>
      <c r="M61" s="35">
        <f t="shared" si="10"/>
        <v>106.31009617434128</v>
      </c>
      <c r="N61" s="9"/>
      <c r="O61" s="35">
        <f t="shared" si="11"/>
        <v>208.98009617434127</v>
      </c>
      <c r="P61" s="24">
        <f t="shared" si="12"/>
        <v>21.080624363638719</v>
      </c>
      <c r="R61" s="5"/>
      <c r="U61" s="3"/>
    </row>
    <row r="62" spans="1:23">
      <c r="A62" s="1">
        <v>22</v>
      </c>
      <c r="B62" s="35">
        <f t="shared" si="13"/>
        <v>23965.424398770065</v>
      </c>
      <c r="C62" s="36">
        <v>1200</v>
      </c>
      <c r="D62" s="8">
        <f t="shared" si="15"/>
        <v>119.82712199385033</v>
      </c>
      <c r="E62" s="13">
        <f>B62/100*0.34</f>
        <v>81.482442955818229</v>
      </c>
      <c r="F62" s="9">
        <v>30</v>
      </c>
      <c r="G62" s="35">
        <f t="shared" si="9"/>
        <v>231.30956494966856</v>
      </c>
      <c r="H62" s="4"/>
      <c r="I62" s="1">
        <v>22</v>
      </c>
      <c r="J62" s="35">
        <f t="shared" si="14"/>
        <v>24101.910376508542</v>
      </c>
      <c r="K62" s="36">
        <v>1200</v>
      </c>
      <c r="L62" s="13">
        <v>102.67</v>
      </c>
      <c r="M62" s="35">
        <f t="shared" si="10"/>
        <v>110.86878773193929</v>
      </c>
      <c r="N62" s="9"/>
      <c r="O62" s="35">
        <f t="shared" si="11"/>
        <v>213.53878773193929</v>
      </c>
      <c r="P62" s="24">
        <f t="shared" si="12"/>
        <v>17.770777217729261</v>
      </c>
      <c r="R62" s="5"/>
    </row>
    <row r="63" spans="1:23">
      <c r="A63" s="1">
        <v>23</v>
      </c>
      <c r="B63" s="35">
        <f t="shared" si="13"/>
        <v>24934.114833820397</v>
      </c>
      <c r="C63" s="36">
        <v>1200</v>
      </c>
      <c r="D63" s="8">
        <f t="shared" si="15"/>
        <v>124.67057416910198</v>
      </c>
      <c r="E63" s="13">
        <f>B63/100*0.31</f>
        <v>77.295755984843225</v>
      </c>
      <c r="F63" s="9">
        <v>30</v>
      </c>
      <c r="G63" s="35">
        <f t="shared" si="9"/>
        <v>231.96633015394519</v>
      </c>
      <c r="H63" s="5"/>
      <c r="I63" s="1">
        <v>23</v>
      </c>
      <c r="J63" s="35">
        <f t="shared" si="14"/>
        <v>25088.371588776601</v>
      </c>
      <c r="K63" s="36">
        <v>1200</v>
      </c>
      <c r="L63" s="13">
        <v>102.67</v>
      </c>
      <c r="M63" s="35">
        <f t="shared" si="10"/>
        <v>115.40650930837238</v>
      </c>
      <c r="N63" s="9"/>
      <c r="O63" s="35">
        <f t="shared" si="11"/>
        <v>218.07650930837238</v>
      </c>
      <c r="P63" s="24">
        <f t="shared" si="12"/>
        <v>13.889820845572814</v>
      </c>
      <c r="R63" s="5"/>
    </row>
    <row r="64" spans="1:23">
      <c r="A64" s="1">
        <v>24</v>
      </c>
      <c r="B64" s="35">
        <f t="shared" si="13"/>
        <v>25902.148503666453</v>
      </c>
      <c r="C64" s="36">
        <v>1200</v>
      </c>
      <c r="D64" s="8">
        <f t="shared" si="15"/>
        <v>129.51074251833225</v>
      </c>
      <c r="E64" s="13">
        <f>B64/100*0.29</f>
        <v>75.116230660632695</v>
      </c>
      <c r="F64" s="9">
        <v>30</v>
      </c>
      <c r="G64" s="35">
        <f t="shared" si="9"/>
        <v>234.62697317896493</v>
      </c>
      <c r="H64" s="5"/>
      <c r="I64" s="1">
        <v>24</v>
      </c>
      <c r="J64" s="35">
        <f t="shared" si="14"/>
        <v>26070.295079468229</v>
      </c>
      <c r="K64" s="36">
        <v>1200</v>
      </c>
      <c r="L64" s="13">
        <v>102.67</v>
      </c>
      <c r="M64" s="35">
        <f t="shared" si="10"/>
        <v>119.92335736555385</v>
      </c>
      <c r="N64" s="9"/>
      <c r="O64" s="35">
        <f t="shared" si="11"/>
        <v>222.59335736555386</v>
      </c>
      <c r="P64" s="24">
        <f t="shared" si="12"/>
        <v>12.033615813411075</v>
      </c>
      <c r="R64" s="5"/>
    </row>
    <row r="65" spans="1:18">
      <c r="A65" s="1">
        <v>25</v>
      </c>
      <c r="B65" s="35">
        <f t="shared" si="13"/>
        <v>26867.521530487487</v>
      </c>
      <c r="C65" s="36">
        <v>1200</v>
      </c>
      <c r="D65" s="8">
        <f t="shared" si="15"/>
        <v>134.33760765243744</v>
      </c>
      <c r="E65" s="13">
        <f>B65/100*0.27</f>
        <v>72.542308132316222</v>
      </c>
      <c r="F65" s="9">
        <v>30</v>
      </c>
      <c r="G65" s="35">
        <f t="shared" si="9"/>
        <v>236.87991578475368</v>
      </c>
      <c r="H65" s="5"/>
      <c r="I65" s="1">
        <v>25</v>
      </c>
      <c r="J65" s="35">
        <f t="shared" si="14"/>
        <v>27047.701722102676</v>
      </c>
      <c r="K65" s="36">
        <v>1200</v>
      </c>
      <c r="L65" s="13">
        <v>102.67</v>
      </c>
      <c r="M65" s="35">
        <f t="shared" si="10"/>
        <v>124.41942792167231</v>
      </c>
      <c r="N65" s="9"/>
      <c r="O65" s="35">
        <f t="shared" si="11"/>
        <v>227.08942792167232</v>
      </c>
      <c r="P65" s="24">
        <f t="shared" si="12"/>
        <v>9.7904878630813528</v>
      </c>
    </row>
    <row r="66" spans="1:18">
      <c r="A66" s="1">
        <v>26</v>
      </c>
      <c r="B66" s="35">
        <f t="shared" si="13"/>
        <v>27830.641614702734</v>
      </c>
      <c r="C66" s="36">
        <v>1200</v>
      </c>
      <c r="D66" s="8">
        <f t="shared" si="15"/>
        <v>139.15320807351367</v>
      </c>
      <c r="E66" s="13">
        <f>B66/100*0.25</f>
        <v>69.576604036756834</v>
      </c>
      <c r="F66" s="9">
        <v>30</v>
      </c>
      <c r="G66" s="35">
        <f t="shared" si="9"/>
        <v>238.7298121102705</v>
      </c>
      <c r="H66" s="5"/>
      <c r="I66" s="1">
        <v>26</v>
      </c>
      <c r="J66" s="35">
        <f t="shared" si="14"/>
        <v>28020.612294181003</v>
      </c>
      <c r="K66" s="36">
        <v>1200</v>
      </c>
      <c r="L66" s="13">
        <v>102.67</v>
      </c>
      <c r="M66" s="35">
        <f t="shared" si="10"/>
        <v>128.8948165532326</v>
      </c>
      <c r="N66" s="9"/>
      <c r="O66" s="35">
        <f t="shared" si="11"/>
        <v>231.56481655323262</v>
      </c>
      <c r="P66" s="24">
        <f t="shared" si="12"/>
        <v>7.1649955570378836</v>
      </c>
    </row>
    <row r="67" spans="1:18">
      <c r="A67" s="1">
        <v>27</v>
      </c>
      <c r="B67" s="35">
        <f t="shared" si="13"/>
        <v>28791.911802592462</v>
      </c>
      <c r="C67" s="36">
        <v>1200</v>
      </c>
      <c r="D67" s="8">
        <f t="shared" si="15"/>
        <v>143.9595590129623</v>
      </c>
      <c r="E67" s="13">
        <f>B67/100*0.23</f>
        <v>66.221397145962655</v>
      </c>
      <c r="F67" s="9">
        <v>30</v>
      </c>
      <c r="G67" s="35">
        <f t="shared" si="9"/>
        <v>240.18095615892497</v>
      </c>
      <c r="I67" s="1">
        <v>27</v>
      </c>
      <c r="J67" s="35">
        <f t="shared" si="14"/>
        <v>28989.04747762777</v>
      </c>
      <c r="K67" s="36">
        <v>1200</v>
      </c>
      <c r="L67" s="13">
        <v>102.67</v>
      </c>
      <c r="M67" s="35">
        <f t="shared" si="10"/>
        <v>133.34961839708774</v>
      </c>
      <c r="N67" s="9"/>
      <c r="O67" s="35">
        <f t="shared" si="11"/>
        <v>236.01961839708775</v>
      </c>
      <c r="P67" s="24">
        <f t="shared" si="12"/>
        <v>4.1613377618372169</v>
      </c>
    </row>
    <row r="68" spans="1:18">
      <c r="A68" s="1">
        <v>28</v>
      </c>
      <c r="B68" s="35">
        <f t="shared" si="13"/>
        <v>29751.730846433536</v>
      </c>
      <c r="C68" s="36">
        <v>1200</v>
      </c>
      <c r="D68" s="8">
        <f t="shared" si="15"/>
        <v>148.75865423216769</v>
      </c>
      <c r="E68" s="13">
        <f>B68/100*0.21</f>
        <v>62.478634777510429</v>
      </c>
      <c r="F68" s="9">
        <v>30</v>
      </c>
      <c r="G68" s="35">
        <f t="shared" si="9"/>
        <v>241.23728900967811</v>
      </c>
      <c r="I68" s="1">
        <v>28</v>
      </c>
      <c r="J68" s="35">
        <f t="shared" si="14"/>
        <v>29953.027859230682</v>
      </c>
      <c r="K68" s="36">
        <v>1200</v>
      </c>
      <c r="L68" s="13">
        <v>102.67</v>
      </c>
      <c r="M68" s="35">
        <f t="shared" si="10"/>
        <v>137.78392815246116</v>
      </c>
      <c r="N68" s="9"/>
      <c r="O68" s="35">
        <f t="shared" si="11"/>
        <v>240.45392815246117</v>
      </c>
      <c r="P68" s="24">
        <f t="shared" si="12"/>
        <v>0.78336085721693394</v>
      </c>
      <c r="R68" s="9"/>
    </row>
    <row r="69" spans="1:18">
      <c r="A69" s="1">
        <v>29</v>
      </c>
      <c r="B69" s="35">
        <f t="shared" si="13"/>
        <v>30710.493557423859</v>
      </c>
      <c r="C69" s="36">
        <v>1200</v>
      </c>
      <c r="D69" s="8">
        <f t="shared" si="15"/>
        <v>153.5524677871193</v>
      </c>
      <c r="E69" s="13">
        <f>B69/100*0.19</f>
        <v>58.34993775910533</v>
      </c>
      <c r="F69" s="9">
        <v>30</v>
      </c>
      <c r="G69" s="35">
        <f t="shared" si="9"/>
        <v>241.90240554622463</v>
      </c>
      <c r="I69" s="1">
        <v>29</v>
      </c>
      <c r="J69" s="35">
        <f t="shared" si="14"/>
        <v>30912.573931078223</v>
      </c>
      <c r="K69" s="36">
        <v>1200</v>
      </c>
      <c r="L69" s="13">
        <v>102.67</v>
      </c>
      <c r="M69" s="35">
        <f t="shared" si="10"/>
        <v>142.19784008295983</v>
      </c>
      <c r="N69" s="9"/>
      <c r="O69" s="35">
        <f t="shared" si="11"/>
        <v>244.86784008295984</v>
      </c>
      <c r="P69" s="24">
        <f t="shared" si="12"/>
        <v>-2.9654345367352164</v>
      </c>
      <c r="R69" s="9"/>
    </row>
    <row r="70" spans="1:18">
      <c r="A70" s="1">
        <v>30</v>
      </c>
      <c r="B70" s="35">
        <f t="shared" si="13"/>
        <v>31668.591151877634</v>
      </c>
      <c r="C70" s="36">
        <v>1200</v>
      </c>
      <c r="D70" s="8">
        <f t="shared" si="15"/>
        <v>158.34295575938816</v>
      </c>
      <c r="E70" s="13">
        <f>B70/100*0.18</f>
        <v>57.003464073379739</v>
      </c>
      <c r="F70" s="9">
        <v>30</v>
      </c>
      <c r="G70" s="35">
        <f t="shared" si="9"/>
        <v>245.34641983276791</v>
      </c>
      <c r="I70" s="1">
        <v>30</v>
      </c>
      <c r="J70" s="35">
        <f t="shared" si="14"/>
        <v>31867.706090995263</v>
      </c>
      <c r="K70" s="36">
        <v>1200</v>
      </c>
      <c r="L70" s="13">
        <v>102.67</v>
      </c>
      <c r="M70" s="35">
        <f t="shared" si="10"/>
        <v>146.59144801857821</v>
      </c>
      <c r="N70" s="9"/>
      <c r="O70" s="35">
        <f t="shared" si="11"/>
        <v>249.26144801857822</v>
      </c>
      <c r="P70" s="24">
        <f t="shared" si="12"/>
        <v>-3.9150281858103142</v>
      </c>
      <c r="Q70" s="24">
        <f>SUM(P61:P70)</f>
        <v>79.794557556979726</v>
      </c>
      <c r="R70" s="9"/>
    </row>
    <row r="71" spans="1:18">
      <c r="A71" s="1">
        <v>31</v>
      </c>
      <c r="B71" s="35">
        <f t="shared" si="13"/>
        <v>32623.244732044866</v>
      </c>
      <c r="C71" s="36">
        <v>1200</v>
      </c>
      <c r="D71" s="8">
        <f t="shared" si="15"/>
        <v>163.11622366022434</v>
      </c>
      <c r="E71" s="13">
        <f>B71/100*0.17</f>
        <v>55.459516044476281</v>
      </c>
      <c r="F71" s="9">
        <v>30</v>
      </c>
      <c r="G71" s="35">
        <f t="shared" si="9"/>
        <v>248.57573970470062</v>
      </c>
      <c r="I71" s="1">
        <v>31</v>
      </c>
      <c r="J71" s="35">
        <f t="shared" si="14"/>
        <v>32818.444642976683</v>
      </c>
      <c r="K71" s="36">
        <v>1200</v>
      </c>
      <c r="L71" s="13">
        <v>102.67</v>
      </c>
      <c r="M71" s="13">
        <f>J71/100*0.35</f>
        <v>114.86455625041837</v>
      </c>
      <c r="N71" s="9"/>
      <c r="O71" s="35">
        <f t="shared" si="11"/>
        <v>217.53455625041838</v>
      </c>
      <c r="P71" s="24">
        <f t="shared" si="12"/>
        <v>31.041183454282248</v>
      </c>
      <c r="R71" s="9"/>
    </row>
    <row r="72" spans="1:18">
      <c r="A72" s="1">
        <v>32</v>
      </c>
      <c r="B72" s="35">
        <f t="shared" si="13"/>
        <v>33574.668992340172</v>
      </c>
      <c r="C72" s="36">
        <v>1200</v>
      </c>
      <c r="D72" s="8">
        <f t="shared" si="15"/>
        <v>167.87334496170087</v>
      </c>
      <c r="E72" s="13">
        <f>B72/100*0.17</f>
        <v>57.0769372869783</v>
      </c>
      <c r="F72" s="9">
        <v>30</v>
      </c>
      <c r="G72" s="35">
        <f t="shared" si="9"/>
        <v>254.95028224867917</v>
      </c>
      <c r="I72" s="1">
        <v>32</v>
      </c>
      <c r="J72" s="35">
        <f t="shared" si="14"/>
        <v>33800.910086726268</v>
      </c>
      <c r="K72" s="36">
        <v>1200</v>
      </c>
      <c r="L72" s="13">
        <v>102.67</v>
      </c>
      <c r="M72" s="13">
        <f>J72/100*0.3</f>
        <v>101.40273026017881</v>
      </c>
      <c r="N72" s="9"/>
      <c r="O72" s="35">
        <f t="shared" si="11"/>
        <v>204.07273026017882</v>
      </c>
      <c r="P72" s="24">
        <f t="shared" si="12"/>
        <v>50.877551988500358</v>
      </c>
    </row>
    <row r="73" spans="1:18">
      <c r="A73" s="1">
        <v>33</v>
      </c>
      <c r="B73" s="35">
        <f t="shared" si="13"/>
        <v>34519.718710091496</v>
      </c>
      <c r="C73" s="36">
        <v>1200</v>
      </c>
      <c r="D73" s="8">
        <f t="shared" si="15"/>
        <v>172.59859355045748</v>
      </c>
      <c r="E73" s="13">
        <f>B73/100*0.16</f>
        <v>55.231549936146394</v>
      </c>
      <c r="F73" s="9">
        <v>30</v>
      </c>
      <c r="G73" s="35">
        <f t="shared" si="9"/>
        <v>257.8301434866039</v>
      </c>
      <c r="I73" s="1">
        <v>33</v>
      </c>
      <c r="J73" s="35">
        <f t="shared" si="14"/>
        <v>34796.837356466087</v>
      </c>
      <c r="K73" s="36">
        <v>1200</v>
      </c>
      <c r="L73" s="13">
        <v>102.67</v>
      </c>
      <c r="M73" s="13">
        <f>J73/100*0.25</f>
        <v>86.992093391165213</v>
      </c>
      <c r="N73" s="9"/>
      <c r="O73" s="35">
        <f t="shared" si="11"/>
        <v>189.66209339116523</v>
      </c>
      <c r="P73" s="24">
        <f t="shared" si="12"/>
        <v>68.168050095438673</v>
      </c>
    </row>
    <row r="74" spans="1:18">
      <c r="A74" s="1">
        <v>34</v>
      </c>
      <c r="B74" s="35">
        <f t="shared" si="13"/>
        <v>35461.888566604895</v>
      </c>
      <c r="C74" s="36">
        <v>1200</v>
      </c>
      <c r="D74" s="8">
        <f t="shared" si="15"/>
        <v>177.30944283302449</v>
      </c>
      <c r="E74" s="13">
        <f>B74/100*0.15</f>
        <v>53.192832849907347</v>
      </c>
      <c r="F74" s="9">
        <v>30</v>
      </c>
      <c r="G74" s="35">
        <f t="shared" si="9"/>
        <v>260.50227568293184</v>
      </c>
      <c r="I74" s="1">
        <v>34</v>
      </c>
      <c r="J74" s="35">
        <f t="shared" si="14"/>
        <v>35807.175263074925</v>
      </c>
      <c r="K74" s="36">
        <v>1200</v>
      </c>
      <c r="L74" s="13">
        <v>102.67</v>
      </c>
      <c r="M74" s="13">
        <f>J74/100*0.13</f>
        <v>46.549327841997403</v>
      </c>
      <c r="N74" s="9"/>
      <c r="O74" s="35">
        <f t="shared" si="11"/>
        <v>149.2193278419974</v>
      </c>
      <c r="P74" s="24">
        <f t="shared" si="12"/>
        <v>111.28294784093444</v>
      </c>
    </row>
    <row r="75" spans="1:18">
      <c r="A75" s="1">
        <v>35</v>
      </c>
      <c r="B75" s="35">
        <f t="shared" si="13"/>
        <v>36401.386290921961</v>
      </c>
      <c r="C75" s="36">
        <v>1200</v>
      </c>
      <c r="D75" s="8">
        <f t="shared" si="15"/>
        <v>182.0069314546098</v>
      </c>
      <c r="E75" s="13">
        <f>B75/100*0.14</f>
        <v>50.961940807290752</v>
      </c>
      <c r="F75" s="9">
        <v>30</v>
      </c>
      <c r="G75" s="35">
        <f t="shared" si="9"/>
        <v>262.96887226190051</v>
      </c>
      <c r="I75" s="1">
        <v>35</v>
      </c>
      <c r="J75" s="35">
        <f t="shared" si="14"/>
        <v>36857.955935232931</v>
      </c>
      <c r="K75" s="36">
        <v>1200</v>
      </c>
      <c r="L75" s="13">
        <v>102.67</v>
      </c>
      <c r="M75" s="13">
        <f>J75/100*0.07</f>
        <v>25.800569154663052</v>
      </c>
      <c r="N75" s="9"/>
      <c r="O75" s="35">
        <f t="shared" si="11"/>
        <v>128.47056915466305</v>
      </c>
      <c r="P75" s="24">
        <f t="shared" si="12"/>
        <v>134.49830310723746</v>
      </c>
    </row>
    <row r="76" spans="1:18">
      <c r="A76" s="34"/>
      <c r="B76" s="29"/>
      <c r="C76" s="29">
        <f>SUM(C41:C75)</f>
        <v>42000</v>
      </c>
      <c r="D76" s="21">
        <f>SUM(D41:D75)</f>
        <v>3809.6850107071659</v>
      </c>
      <c r="E76" s="21">
        <f>SUM(E41:E75)</f>
        <v>2101.8975706327856</v>
      </c>
      <c r="F76" s="21">
        <f>SUM(F41:F75)</f>
        <v>1050</v>
      </c>
      <c r="G76" s="78">
        <f>SUM(G41:G75)</f>
        <v>6961.5825813399533</v>
      </c>
      <c r="H76" s="14"/>
      <c r="I76" s="34"/>
      <c r="J76" s="29"/>
      <c r="K76" s="29">
        <f>SUM(K41:K75)</f>
        <v>42000</v>
      </c>
      <c r="L76" s="21">
        <f>SUM(L41:L75)</f>
        <v>3593.4500000000016</v>
      </c>
      <c r="M76" s="21">
        <f>SUM(M41:M75)</f>
        <v>2777.0646339217333</v>
      </c>
      <c r="N76" s="21"/>
      <c r="O76" s="78">
        <f>SUM(O41:O75)</f>
        <v>6370.5146339217345</v>
      </c>
      <c r="Q76" s="14"/>
      <c r="R76" s="5"/>
    </row>
    <row r="77" spans="1:18">
      <c r="O77" s="9"/>
      <c r="Q77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1"/>
  <sheetViews>
    <sheetView workbookViewId="0">
      <selection activeCell="A47" sqref="A47"/>
    </sheetView>
  </sheetViews>
  <sheetFormatPr baseColWidth="10" defaultRowHeight="12.75"/>
  <cols>
    <col min="1" max="1" width="49.5703125" style="59" customWidth="1"/>
    <col min="2" max="2" width="8.85546875" style="63" customWidth="1"/>
    <col min="3" max="3" width="55.42578125" style="1" customWidth="1"/>
    <col min="4" max="4" width="10" style="66" customWidth="1"/>
    <col min="5" max="5" width="11.42578125" style="2" customWidth="1"/>
    <col min="6" max="6" width="11.7109375" style="2" bestFit="1" customWidth="1"/>
    <col min="7" max="8" width="11.42578125" style="2"/>
    <col min="9" max="11" width="11.42578125" style="1"/>
    <col min="12" max="12" width="11.7109375" style="1" bestFit="1" customWidth="1"/>
    <col min="13" max="16384" width="11.42578125" style="1"/>
  </cols>
  <sheetData>
    <row r="1" spans="1:19">
      <c r="A1" s="56" t="s">
        <v>34</v>
      </c>
      <c r="C1" s="4" t="s">
        <v>32</v>
      </c>
      <c r="D1" s="63"/>
      <c r="E1" s="1"/>
      <c r="F1" s="3"/>
      <c r="G1" s="3"/>
      <c r="H1" s="3"/>
      <c r="I1" s="5"/>
      <c r="J1" s="5"/>
      <c r="L1" s="9"/>
      <c r="O1" s="4"/>
    </row>
    <row r="2" spans="1:19">
      <c r="A2" s="58"/>
      <c r="B2" s="64"/>
      <c r="D2" s="1"/>
      <c r="E2" s="36"/>
      <c r="F2" s="3"/>
      <c r="G2" s="35"/>
      <c r="H2" s="9"/>
      <c r="I2" s="35"/>
      <c r="J2" s="24"/>
      <c r="K2" s="9"/>
      <c r="L2" s="2"/>
      <c r="S2" s="9"/>
    </row>
    <row r="3" spans="1:19">
      <c r="A3" s="61" t="s">
        <v>21</v>
      </c>
      <c r="C3" s="6" t="s">
        <v>21</v>
      </c>
      <c r="D3" s="39"/>
      <c r="E3" s="36"/>
      <c r="F3" s="3"/>
      <c r="G3" s="35"/>
      <c r="H3" s="9"/>
      <c r="I3" s="35"/>
      <c r="J3" s="24"/>
      <c r="K3" s="2"/>
      <c r="L3" s="9"/>
      <c r="P3" s="9"/>
      <c r="S3" s="9"/>
    </row>
    <row r="4" spans="1:19">
      <c r="A4" s="42" t="s">
        <v>53</v>
      </c>
      <c r="C4" s="43" t="s">
        <v>35</v>
      </c>
      <c r="D4" s="39"/>
      <c r="E4" s="36"/>
      <c r="F4" s="3"/>
      <c r="G4" s="35"/>
      <c r="H4" s="9"/>
      <c r="I4" s="35"/>
      <c r="J4" s="24"/>
      <c r="K4" s="3"/>
      <c r="L4" s="2"/>
      <c r="S4" s="9"/>
    </row>
    <row r="5" spans="1:19">
      <c r="A5" s="59" t="s">
        <v>67</v>
      </c>
      <c r="C5" s="59" t="s">
        <v>68</v>
      </c>
      <c r="D5" s="63"/>
      <c r="F5" s="1"/>
      <c r="G5" s="35"/>
      <c r="H5" s="9"/>
      <c r="I5" s="35"/>
      <c r="J5" s="24"/>
      <c r="K5" s="3"/>
      <c r="L5" s="2"/>
      <c r="P5" s="9"/>
      <c r="S5" s="9"/>
    </row>
    <row r="6" spans="1:19">
      <c r="A6" s="55"/>
      <c r="D6" s="39"/>
      <c r="E6" s="36"/>
      <c r="F6" s="4"/>
      <c r="G6" s="35"/>
      <c r="H6" s="9"/>
      <c r="I6" s="35"/>
      <c r="J6" s="24"/>
      <c r="K6" s="26"/>
      <c r="L6" s="2"/>
      <c r="S6" s="9"/>
    </row>
    <row r="7" spans="1:19">
      <c r="A7" s="55" t="s">
        <v>60</v>
      </c>
      <c r="B7" s="64"/>
      <c r="C7" s="57" t="s">
        <v>66</v>
      </c>
      <c r="D7" s="39"/>
      <c r="E7" s="36"/>
      <c r="F7" s="3"/>
      <c r="G7" s="35"/>
      <c r="H7" s="9"/>
      <c r="I7" s="35"/>
      <c r="J7" s="24"/>
      <c r="K7" s="3"/>
      <c r="L7" s="2"/>
      <c r="S7" s="9"/>
    </row>
    <row r="8" spans="1:19">
      <c r="A8" s="59" t="s">
        <v>69</v>
      </c>
      <c r="C8" s="1" t="s">
        <v>56</v>
      </c>
      <c r="E8" s="36"/>
      <c r="F8" s="76"/>
      <c r="G8" s="35"/>
      <c r="H8" s="9"/>
      <c r="I8" s="35"/>
      <c r="J8" s="24"/>
      <c r="S8" s="9"/>
    </row>
    <row r="9" spans="1:19">
      <c r="D9" s="39"/>
      <c r="E9" s="36"/>
      <c r="F9" s="76"/>
      <c r="G9" s="35"/>
      <c r="H9" s="9"/>
      <c r="I9" s="35"/>
      <c r="J9" s="24"/>
      <c r="K9" s="13"/>
      <c r="S9" s="9"/>
    </row>
    <row r="10" spans="1:19">
      <c r="A10" s="59" t="s">
        <v>70</v>
      </c>
      <c r="C10" s="55" t="s">
        <v>64</v>
      </c>
      <c r="D10" s="39"/>
      <c r="F10" s="77"/>
      <c r="H10" s="9"/>
      <c r="I10" s="35"/>
      <c r="J10" s="24"/>
      <c r="S10" s="9"/>
    </row>
    <row r="11" spans="1:19">
      <c r="D11" s="39"/>
      <c r="E11" s="1"/>
      <c r="F11" s="59"/>
      <c r="G11" s="1"/>
      <c r="H11" s="9"/>
      <c r="I11" s="35"/>
      <c r="J11" s="24"/>
      <c r="K11" s="9"/>
      <c r="O11" s="4"/>
      <c r="S11" s="9"/>
    </row>
    <row r="12" spans="1:19">
      <c r="A12" s="62" t="s">
        <v>97</v>
      </c>
      <c r="C12" s="1" t="s">
        <v>55</v>
      </c>
      <c r="D12" s="39"/>
      <c r="E12" s="62"/>
      <c r="F12" s="59"/>
      <c r="G12" s="1"/>
      <c r="H12" s="9"/>
      <c r="I12" s="35"/>
      <c r="J12" s="24"/>
      <c r="K12" s="9"/>
      <c r="O12" s="4"/>
      <c r="S12" s="9"/>
    </row>
    <row r="13" spans="1:19">
      <c r="A13" s="62"/>
      <c r="C13" s="1" t="s">
        <v>96</v>
      </c>
      <c r="D13" s="39"/>
      <c r="E13" s="36"/>
      <c r="F13" s="76"/>
      <c r="G13" s="35"/>
      <c r="H13" s="9"/>
      <c r="I13" s="35"/>
      <c r="J13" s="24"/>
      <c r="K13" s="9"/>
      <c r="S13" s="9"/>
    </row>
    <row r="14" spans="1:19">
      <c r="A14" s="59" t="s">
        <v>98</v>
      </c>
      <c r="C14" s="1" t="s">
        <v>65</v>
      </c>
      <c r="D14" s="39"/>
      <c r="E14" s="36"/>
      <c r="F14" s="76"/>
      <c r="G14" s="35"/>
      <c r="H14" s="9"/>
      <c r="I14" s="35"/>
      <c r="J14" s="24"/>
      <c r="K14" s="2"/>
      <c r="Q14" s="25"/>
      <c r="S14" s="9"/>
    </row>
    <row r="15" spans="1:19">
      <c r="E15" s="36"/>
      <c r="F15" s="76"/>
      <c r="G15" s="35"/>
      <c r="H15" s="9"/>
      <c r="I15" s="35"/>
      <c r="J15" s="24"/>
      <c r="K15" s="13"/>
      <c r="Q15" s="23"/>
      <c r="S15" s="9"/>
    </row>
    <row r="16" spans="1:19">
      <c r="A16" s="61" t="s">
        <v>62</v>
      </c>
      <c r="C16" s="61" t="s">
        <v>62</v>
      </c>
      <c r="D16" s="39"/>
      <c r="E16" s="36"/>
      <c r="F16" s="76"/>
      <c r="G16" s="35"/>
      <c r="H16" s="9"/>
      <c r="I16" s="35"/>
      <c r="J16" s="24"/>
      <c r="K16" s="2"/>
      <c r="Q16" s="14"/>
      <c r="S16" s="9"/>
    </row>
    <row r="17" spans="1:19">
      <c r="A17" s="57" t="s">
        <v>99</v>
      </c>
      <c r="C17" s="1" t="s">
        <v>57</v>
      </c>
      <c r="D17" s="39"/>
      <c r="F17" s="58"/>
      <c r="H17" s="9"/>
      <c r="I17" s="35"/>
      <c r="J17" s="24"/>
      <c r="K17" s="2"/>
      <c r="S17" s="9"/>
    </row>
    <row r="18" spans="1:19">
      <c r="A18" s="55" t="s">
        <v>100</v>
      </c>
      <c r="C18" s="55" t="s">
        <v>36</v>
      </c>
      <c r="D18" s="30"/>
      <c r="F18" s="58"/>
      <c r="H18" s="9"/>
      <c r="I18" s="35"/>
      <c r="J18" s="24"/>
      <c r="K18" s="2"/>
      <c r="Q18" s="14"/>
      <c r="S18" s="9"/>
    </row>
    <row r="19" spans="1:19">
      <c r="D19" s="39"/>
      <c r="F19" s="58"/>
      <c r="H19" s="9"/>
      <c r="I19" s="35"/>
      <c r="J19" s="24"/>
      <c r="Q19" s="14"/>
      <c r="S19" s="9"/>
    </row>
    <row r="20" spans="1:19">
      <c r="A20" s="61" t="s">
        <v>50</v>
      </c>
      <c r="B20" s="64"/>
      <c r="C20" s="61" t="s">
        <v>50</v>
      </c>
      <c r="D20" s="39"/>
      <c r="F20" s="59"/>
      <c r="G20" s="1"/>
      <c r="H20" s="9"/>
      <c r="I20" s="35"/>
      <c r="J20" s="24"/>
      <c r="K20" s="7"/>
      <c r="Q20" s="20"/>
      <c r="S20" s="9"/>
    </row>
    <row r="21" spans="1:19">
      <c r="A21" s="59" t="s">
        <v>102</v>
      </c>
      <c r="C21" s="1" t="s">
        <v>101</v>
      </c>
      <c r="D21" s="39"/>
      <c r="F21" s="59"/>
      <c r="G21" s="1"/>
      <c r="H21" s="9"/>
      <c r="I21" s="35"/>
      <c r="J21" s="24"/>
      <c r="S21" s="9"/>
    </row>
    <row r="22" spans="1:19">
      <c r="A22" s="59" t="s">
        <v>72</v>
      </c>
      <c r="C22" s="1" t="s">
        <v>71</v>
      </c>
      <c r="D22" s="39"/>
      <c r="F22" s="76"/>
      <c r="G22" s="35"/>
      <c r="H22" s="9"/>
      <c r="I22" s="35"/>
      <c r="J22" s="24"/>
      <c r="K22" s="9"/>
      <c r="O22" s="4"/>
      <c r="S22" s="9"/>
    </row>
    <row r="23" spans="1:19">
      <c r="A23" s="59" t="s">
        <v>58</v>
      </c>
      <c r="B23" s="64"/>
      <c r="D23" s="39"/>
      <c r="E23" s="36"/>
      <c r="F23" s="76"/>
      <c r="G23" s="35"/>
      <c r="H23" s="9"/>
      <c r="I23" s="35"/>
      <c r="J23" s="24"/>
      <c r="K23" s="2"/>
      <c r="S23" s="9"/>
    </row>
    <row r="24" spans="1:19">
      <c r="A24" s="59" t="s">
        <v>78</v>
      </c>
      <c r="C24" s="55" t="s">
        <v>61</v>
      </c>
      <c r="D24" s="39"/>
      <c r="E24" s="36"/>
      <c r="F24" s="76"/>
      <c r="G24" s="35"/>
      <c r="H24" s="9"/>
      <c r="I24" s="35"/>
      <c r="J24" s="24"/>
      <c r="K24" s="2"/>
      <c r="Q24" s="25"/>
      <c r="S24" s="9"/>
    </row>
    <row r="25" spans="1:19">
      <c r="A25" s="55" t="s">
        <v>76</v>
      </c>
      <c r="C25" s="1" t="s">
        <v>77</v>
      </c>
      <c r="D25" s="39"/>
      <c r="E25" s="36"/>
      <c r="F25" s="76"/>
      <c r="G25" s="35"/>
      <c r="H25" s="9"/>
      <c r="I25" s="35"/>
      <c r="J25" s="24"/>
      <c r="Q25" s="23"/>
      <c r="S25" s="9"/>
    </row>
    <row r="26" spans="1:19">
      <c r="D26" s="39"/>
      <c r="E26" s="36"/>
      <c r="F26" s="3"/>
      <c r="G26" s="35"/>
      <c r="H26" s="9"/>
      <c r="I26" s="35"/>
      <c r="J26" s="24"/>
      <c r="Q26" s="14"/>
      <c r="S26" s="9"/>
    </row>
    <row r="27" spans="1:19">
      <c r="A27" s="59" t="s">
        <v>74</v>
      </c>
      <c r="C27" s="1" t="s">
        <v>80</v>
      </c>
      <c r="D27" s="39"/>
      <c r="E27" s="36"/>
      <c r="F27" s="3"/>
      <c r="G27" s="35"/>
      <c r="H27" s="9"/>
      <c r="I27" s="35"/>
      <c r="J27" s="24"/>
      <c r="S27" s="9"/>
    </row>
    <row r="28" spans="1:19">
      <c r="D28" s="39"/>
      <c r="E28" s="36"/>
      <c r="F28" s="3"/>
      <c r="G28" s="35"/>
      <c r="H28" s="9"/>
      <c r="I28" s="35"/>
      <c r="J28" s="24"/>
      <c r="S28" s="9"/>
    </row>
    <row r="29" spans="1:19">
      <c r="A29" s="59" t="s">
        <v>75</v>
      </c>
      <c r="C29" s="55" t="s">
        <v>95</v>
      </c>
      <c r="D29" s="39"/>
      <c r="E29" s="36"/>
      <c r="F29" s="3"/>
      <c r="G29" s="35"/>
      <c r="H29" s="9"/>
      <c r="I29" s="35"/>
      <c r="J29" s="24"/>
      <c r="S29" s="9"/>
    </row>
    <row r="30" spans="1:19">
      <c r="C30" s="43"/>
      <c r="D30" s="39"/>
      <c r="E30" s="36"/>
      <c r="F30" s="3"/>
      <c r="G30" s="35"/>
      <c r="H30" s="9"/>
      <c r="I30" s="35"/>
      <c r="J30" s="24"/>
      <c r="S30" s="9"/>
    </row>
    <row r="31" spans="1:19">
      <c r="A31" s="61" t="s">
        <v>49</v>
      </c>
      <c r="C31" s="61" t="s">
        <v>49</v>
      </c>
      <c r="D31" s="39"/>
      <c r="H31" s="9"/>
      <c r="I31" s="35"/>
      <c r="J31" s="24"/>
      <c r="Q31" s="14"/>
      <c r="S31" s="9"/>
    </row>
    <row r="32" spans="1:19">
      <c r="A32" s="55" t="s">
        <v>63</v>
      </c>
      <c r="C32" s="55" t="s">
        <v>63</v>
      </c>
      <c r="D32" s="39"/>
      <c r="E32" s="36"/>
      <c r="F32" s="3"/>
      <c r="G32" s="35"/>
      <c r="H32" s="9"/>
      <c r="I32" s="35"/>
      <c r="J32" s="24"/>
      <c r="Q32" s="14"/>
      <c r="S32" s="9"/>
    </row>
    <row r="33" spans="1:19">
      <c r="A33" s="59" t="s">
        <v>59</v>
      </c>
      <c r="C33" s="59" t="s">
        <v>79</v>
      </c>
      <c r="D33" s="39"/>
      <c r="E33" s="36"/>
      <c r="F33" s="3"/>
      <c r="G33" s="35"/>
      <c r="H33" s="9"/>
      <c r="I33" s="35"/>
      <c r="J33" s="24"/>
      <c r="Q33" s="20"/>
      <c r="S33" s="9"/>
    </row>
    <row r="34" spans="1:19">
      <c r="A34" s="42" t="s">
        <v>3</v>
      </c>
      <c r="B34" s="64"/>
      <c r="C34" s="9" t="s">
        <v>73</v>
      </c>
      <c r="D34" s="39"/>
      <c r="E34" s="36"/>
      <c r="F34" s="3"/>
      <c r="G34" s="13"/>
      <c r="H34" s="9"/>
      <c r="I34" s="35"/>
      <c r="J34" s="24"/>
      <c r="K34" s="13"/>
      <c r="S34" s="9"/>
    </row>
    <row r="35" spans="1:19">
      <c r="D35" s="39"/>
      <c r="E35" s="36"/>
      <c r="F35" s="3"/>
      <c r="G35" s="13"/>
      <c r="H35" s="9"/>
      <c r="I35" s="35"/>
      <c r="J35" s="24"/>
      <c r="K35" s="13"/>
      <c r="O35" s="4"/>
      <c r="S35" s="9"/>
    </row>
    <row r="36" spans="1:19">
      <c r="A36" s="61" t="s">
        <v>47</v>
      </c>
      <c r="B36" s="69"/>
      <c r="C36" s="70" t="s">
        <v>47</v>
      </c>
      <c r="D36" s="39"/>
      <c r="E36" s="36"/>
      <c r="F36" s="3"/>
      <c r="G36" s="13"/>
      <c r="H36" s="9"/>
      <c r="I36" s="35"/>
      <c r="J36" s="24"/>
      <c r="S36" s="9"/>
    </row>
    <row r="37" spans="1:19">
      <c r="A37" s="59" t="s">
        <v>46</v>
      </c>
      <c r="B37" s="64"/>
      <c r="C37" s="35" t="s">
        <v>45</v>
      </c>
      <c r="D37" s="39"/>
      <c r="E37" s="36"/>
      <c r="F37" s="3"/>
      <c r="G37" s="13"/>
      <c r="H37" s="9"/>
      <c r="I37" s="35"/>
      <c r="J37" s="24"/>
      <c r="Q37" s="25"/>
      <c r="S37" s="9"/>
    </row>
    <row r="38" spans="1:19">
      <c r="A38" s="59" t="s">
        <v>54</v>
      </c>
      <c r="B38" s="64"/>
      <c r="C38" s="35" t="s">
        <v>44</v>
      </c>
      <c r="D38" s="39"/>
      <c r="E38" s="36"/>
      <c r="F38" s="3"/>
      <c r="G38" s="13"/>
      <c r="H38" s="9"/>
      <c r="I38" s="35"/>
      <c r="J38" s="24"/>
      <c r="Q38" s="23"/>
      <c r="S38" s="9"/>
    </row>
    <row r="39" spans="1:19">
      <c r="B39" s="64"/>
      <c r="D39" s="39"/>
      <c r="E39" s="36"/>
      <c r="F39" s="3"/>
      <c r="G39" s="13"/>
      <c r="H39" s="9"/>
      <c r="I39" s="35"/>
      <c r="J39" s="24"/>
      <c r="Q39" s="14"/>
      <c r="S39" s="9"/>
    </row>
    <row r="40" spans="1:19">
      <c r="A40" s="71" t="s">
        <v>43</v>
      </c>
      <c r="B40" s="69"/>
      <c r="C40" s="70" t="s">
        <v>43</v>
      </c>
      <c r="D40" s="39"/>
      <c r="E40" s="36"/>
      <c r="F40" s="3"/>
      <c r="G40" s="13"/>
      <c r="H40" s="9"/>
      <c r="I40" s="35"/>
      <c r="J40" s="24"/>
      <c r="S40" s="9"/>
    </row>
    <row r="41" spans="1:19">
      <c r="A41" s="42" t="s">
        <v>42</v>
      </c>
      <c r="B41" s="64"/>
      <c r="C41" s="42">
        <v>100</v>
      </c>
      <c r="D41" s="65"/>
      <c r="E41" s="29"/>
      <c r="F41" s="21"/>
      <c r="G41" s="21"/>
      <c r="H41" s="21"/>
      <c r="I41" s="21"/>
      <c r="K41" s="14"/>
      <c r="L41" s="5"/>
      <c r="Q41" s="14"/>
      <c r="S41" s="9"/>
    </row>
    <row r="42" spans="1:19">
      <c r="B42" s="64"/>
      <c r="D42" s="67"/>
      <c r="H42" s="10"/>
      <c r="I42" s="9"/>
      <c r="K42" s="14"/>
      <c r="Q42" s="14"/>
      <c r="S42" s="9"/>
    </row>
    <row r="43" spans="1:19">
      <c r="A43" s="61" t="s">
        <v>41</v>
      </c>
      <c r="B43" s="69"/>
      <c r="C43" s="6" t="s">
        <v>41</v>
      </c>
      <c r="D43" s="68"/>
      <c r="H43" s="5"/>
      <c r="Q43" s="20"/>
      <c r="R43" s="9"/>
      <c r="S43" s="9"/>
    </row>
    <row r="44" spans="1:19">
      <c r="A44" s="59" t="s">
        <v>42</v>
      </c>
      <c r="B44" s="64"/>
      <c r="C44" s="1" t="s">
        <v>40</v>
      </c>
      <c r="D44" s="63"/>
      <c r="E44" s="1"/>
      <c r="F44" s="26"/>
      <c r="G44" s="3"/>
      <c r="H44" s="3"/>
      <c r="J44" s="5"/>
    </row>
    <row r="45" spans="1:19">
      <c r="B45" s="64"/>
      <c r="D45" s="64"/>
      <c r="E45" s="36"/>
      <c r="F45" s="13"/>
      <c r="G45" s="35"/>
      <c r="H45" s="9"/>
      <c r="I45" s="35"/>
      <c r="J45" s="24"/>
      <c r="O45" s="4"/>
    </row>
    <row r="46" spans="1:19">
      <c r="A46" s="61" t="s">
        <v>39</v>
      </c>
      <c r="B46" s="69"/>
      <c r="C46" s="70" t="s">
        <v>39</v>
      </c>
      <c r="D46" s="39"/>
      <c r="E46" s="36"/>
      <c r="F46" s="13"/>
      <c r="G46" s="35"/>
      <c r="H46" s="9"/>
      <c r="I46" s="35"/>
      <c r="J46" s="24"/>
    </row>
    <row r="47" spans="1:19">
      <c r="A47" s="55" t="s">
        <v>38</v>
      </c>
      <c r="B47" s="64"/>
      <c r="C47" s="35" t="s">
        <v>37</v>
      </c>
      <c r="D47" s="39"/>
      <c r="E47" s="36"/>
      <c r="F47" s="13"/>
      <c r="G47" s="35"/>
      <c r="H47" s="9"/>
      <c r="I47" s="35"/>
      <c r="J47" s="24"/>
      <c r="Q47" s="25"/>
    </row>
    <row r="48" spans="1:19">
      <c r="D48" s="39"/>
      <c r="E48" s="36"/>
      <c r="F48" s="13"/>
      <c r="G48" s="35"/>
      <c r="H48" s="9"/>
      <c r="I48" s="35"/>
      <c r="J48" s="24"/>
      <c r="Q48" s="23"/>
    </row>
    <row r="49" spans="1:17">
      <c r="D49" s="39"/>
      <c r="E49" s="36"/>
      <c r="F49" s="13"/>
      <c r="G49" s="35"/>
      <c r="H49" s="9"/>
      <c r="I49" s="35"/>
      <c r="J49" s="24"/>
      <c r="Q49" s="22"/>
    </row>
    <row r="50" spans="1:17">
      <c r="A50" s="42"/>
      <c r="B50" s="64"/>
      <c r="C50" s="9"/>
      <c r="D50" s="39"/>
      <c r="E50" s="36"/>
      <c r="F50" s="13"/>
      <c r="G50" s="35"/>
      <c r="H50" s="9"/>
      <c r="I50" s="35"/>
      <c r="J50" s="24"/>
    </row>
    <row r="51" spans="1:17">
      <c r="A51" s="61"/>
      <c r="B51" s="72"/>
      <c r="C51" s="6"/>
      <c r="D51" s="39"/>
      <c r="E51" s="36"/>
      <c r="F51" s="13"/>
      <c r="G51" s="35"/>
      <c r="H51" s="9"/>
      <c r="I51" s="35"/>
      <c r="J51" s="24"/>
      <c r="Q51" s="14"/>
    </row>
    <row r="52" spans="1:17">
      <c r="A52" s="1"/>
      <c r="B52" s="1"/>
      <c r="D52" s="39"/>
      <c r="E52" s="36"/>
      <c r="F52" s="13"/>
      <c r="G52" s="35"/>
      <c r="H52" s="9"/>
      <c r="I52" s="35"/>
      <c r="J52" s="24"/>
      <c r="L52" s="5"/>
      <c r="Q52" s="14"/>
    </row>
    <row r="53" spans="1:17">
      <c r="A53" s="42"/>
      <c r="B53" s="64"/>
      <c r="C53" s="9"/>
      <c r="D53" s="39"/>
      <c r="E53" s="36"/>
      <c r="F53" s="13"/>
      <c r="G53" s="35"/>
      <c r="H53" s="9"/>
      <c r="I53" s="35"/>
      <c r="J53" s="24"/>
      <c r="L53" s="5"/>
      <c r="Q53" s="20"/>
    </row>
    <row r="54" spans="1:17">
      <c r="A54" s="42"/>
      <c r="B54" s="64"/>
      <c r="C54" s="9"/>
      <c r="D54" s="39"/>
      <c r="E54" s="36"/>
      <c r="F54" s="13"/>
      <c r="G54" s="35"/>
      <c r="H54" s="9"/>
      <c r="I54" s="35"/>
      <c r="J54" s="24"/>
      <c r="L54" s="5"/>
    </row>
    <row r="55" spans="1:17">
      <c r="A55" s="42"/>
      <c r="B55" s="64"/>
      <c r="C55" s="9"/>
      <c r="D55" s="39"/>
      <c r="E55" s="36"/>
      <c r="F55" s="13"/>
      <c r="G55" s="35"/>
      <c r="H55" s="9"/>
      <c r="I55" s="35"/>
      <c r="J55" s="24"/>
      <c r="L55" s="5"/>
    </row>
    <row r="56" spans="1:17">
      <c r="A56" s="42"/>
      <c r="B56" s="64"/>
      <c r="C56" s="9"/>
      <c r="D56" s="39"/>
      <c r="E56" s="36"/>
      <c r="F56" s="13"/>
      <c r="G56" s="35"/>
      <c r="H56" s="9"/>
      <c r="I56" s="35"/>
      <c r="J56" s="24"/>
      <c r="K56" s="9"/>
      <c r="L56" s="5"/>
    </row>
    <row r="57" spans="1:17">
      <c r="A57" s="42"/>
      <c r="B57" s="64"/>
      <c r="C57" s="9"/>
      <c r="D57" s="39"/>
      <c r="E57" s="36"/>
      <c r="F57" s="13"/>
      <c r="G57" s="35"/>
      <c r="H57" s="9"/>
      <c r="I57" s="35"/>
      <c r="J57" s="24"/>
      <c r="K57" s="18"/>
      <c r="L57" s="5"/>
    </row>
    <row r="58" spans="1:17">
      <c r="A58" s="42"/>
      <c r="B58" s="64"/>
      <c r="C58" s="9"/>
      <c r="D58" s="39"/>
      <c r="E58" s="36"/>
      <c r="F58" s="13"/>
      <c r="G58" s="35"/>
      <c r="H58" s="9"/>
      <c r="I58" s="35"/>
      <c r="J58" s="24"/>
      <c r="K58" s="16"/>
      <c r="L58" s="5"/>
    </row>
    <row r="59" spans="1:17">
      <c r="A59" s="42"/>
      <c r="B59" s="64"/>
      <c r="C59" s="9"/>
      <c r="D59" s="39"/>
      <c r="E59" s="36"/>
      <c r="F59" s="13"/>
      <c r="G59" s="35"/>
      <c r="H59" s="9"/>
      <c r="I59" s="35"/>
      <c r="J59" s="24"/>
      <c r="K59" s="17"/>
      <c r="L59" s="5"/>
    </row>
    <row r="60" spans="1:17">
      <c r="A60" s="42"/>
      <c r="B60" s="64"/>
      <c r="C60" s="9"/>
      <c r="D60" s="39"/>
      <c r="E60" s="36"/>
      <c r="F60" s="13"/>
      <c r="G60" s="35"/>
      <c r="H60" s="9"/>
      <c r="I60" s="35"/>
      <c r="J60" s="24"/>
      <c r="K60" s="17"/>
      <c r="L60" s="5"/>
    </row>
    <row r="61" spans="1:17">
      <c r="A61" s="42"/>
      <c r="B61" s="64"/>
      <c r="C61" s="9"/>
      <c r="D61" s="39"/>
      <c r="E61" s="36"/>
      <c r="F61" s="13"/>
      <c r="G61" s="35"/>
      <c r="H61" s="9"/>
      <c r="I61" s="35"/>
      <c r="J61" s="24"/>
      <c r="K61" s="16"/>
      <c r="L61" s="5"/>
    </row>
    <row r="62" spans="1:17">
      <c r="A62" s="42"/>
      <c r="B62" s="64"/>
      <c r="C62" s="9"/>
      <c r="D62" s="39"/>
      <c r="E62" s="36"/>
      <c r="F62" s="13"/>
      <c r="G62" s="35"/>
      <c r="H62" s="9"/>
      <c r="I62" s="35"/>
      <c r="J62" s="24"/>
      <c r="L62" s="5"/>
      <c r="O62" s="3"/>
    </row>
    <row r="63" spans="1:17">
      <c r="A63" s="42"/>
      <c r="B63" s="64"/>
      <c r="C63" s="9"/>
      <c r="D63" s="39"/>
      <c r="E63" s="36"/>
      <c r="F63" s="13"/>
      <c r="G63" s="35"/>
      <c r="H63" s="9"/>
      <c r="I63" s="35"/>
      <c r="J63" s="24"/>
      <c r="K63" s="13"/>
      <c r="L63" s="5"/>
      <c r="O63" s="3"/>
    </row>
    <row r="64" spans="1:17">
      <c r="A64" s="42"/>
      <c r="B64" s="64"/>
      <c r="C64" s="9"/>
      <c r="D64" s="39"/>
      <c r="E64" s="36"/>
      <c r="F64" s="13"/>
      <c r="G64" s="35"/>
      <c r="H64" s="9"/>
      <c r="I64" s="35"/>
      <c r="J64" s="24"/>
      <c r="L64" s="5"/>
      <c r="O64" s="3"/>
    </row>
    <row r="65" spans="1:15">
      <c r="A65" s="42"/>
      <c r="B65" s="64"/>
      <c r="C65" s="9"/>
      <c r="D65" s="39"/>
      <c r="E65" s="36"/>
      <c r="F65" s="13"/>
      <c r="G65" s="35"/>
      <c r="H65" s="9"/>
      <c r="I65" s="35"/>
      <c r="J65" s="24"/>
      <c r="L65" s="5"/>
      <c r="O65" s="3"/>
    </row>
    <row r="66" spans="1:15">
      <c r="A66" s="42"/>
      <c r="B66" s="64"/>
      <c r="C66" s="9"/>
      <c r="D66" s="39"/>
      <c r="E66" s="36"/>
      <c r="F66" s="13"/>
      <c r="G66" s="35"/>
      <c r="H66" s="9"/>
      <c r="I66" s="35"/>
      <c r="J66" s="24"/>
      <c r="K66" s="2"/>
      <c r="L66" s="5"/>
    </row>
    <row r="67" spans="1:15">
      <c r="A67" s="42"/>
      <c r="B67" s="64"/>
      <c r="C67" s="9"/>
      <c r="D67" s="39"/>
      <c r="E67" s="36"/>
      <c r="F67" s="13"/>
      <c r="G67" s="35"/>
      <c r="H67" s="9"/>
      <c r="I67" s="35"/>
      <c r="J67" s="24"/>
      <c r="K67" s="2"/>
      <c r="L67" s="5"/>
    </row>
    <row r="68" spans="1:15">
      <c r="A68" s="42"/>
      <c r="B68" s="64"/>
      <c r="C68" s="9"/>
      <c r="D68" s="39"/>
      <c r="E68" s="36"/>
      <c r="F68" s="13"/>
      <c r="G68" s="35"/>
      <c r="H68" s="9"/>
      <c r="I68" s="35"/>
      <c r="J68" s="24"/>
      <c r="K68" s="2"/>
      <c r="L68" s="5"/>
    </row>
    <row r="69" spans="1:15">
      <c r="A69" s="42"/>
      <c r="B69" s="64"/>
      <c r="C69" s="9"/>
      <c r="D69" s="39"/>
      <c r="E69" s="36"/>
      <c r="F69" s="13"/>
      <c r="G69" s="35"/>
      <c r="H69" s="9"/>
      <c r="I69" s="35"/>
      <c r="J69" s="24"/>
      <c r="K69" s="2"/>
    </row>
    <row r="70" spans="1:15">
      <c r="A70" s="42"/>
      <c r="B70" s="64"/>
      <c r="C70" s="9"/>
      <c r="D70" s="39"/>
      <c r="E70" s="36"/>
      <c r="F70" s="13"/>
      <c r="G70" s="35"/>
      <c r="H70" s="9"/>
      <c r="I70" s="35"/>
      <c r="J70" s="24"/>
      <c r="K70" s="2"/>
    </row>
    <row r="71" spans="1:15">
      <c r="A71" s="42"/>
      <c r="B71" s="64"/>
      <c r="C71" s="9"/>
      <c r="D71" s="39"/>
      <c r="E71" s="36"/>
      <c r="F71" s="13"/>
      <c r="G71" s="35"/>
      <c r="H71" s="9"/>
      <c r="I71" s="35"/>
      <c r="J71" s="24"/>
      <c r="K71" s="2"/>
    </row>
    <row r="72" spans="1:15">
      <c r="A72" s="42"/>
      <c r="B72" s="64"/>
      <c r="C72" s="9"/>
      <c r="D72" s="39"/>
      <c r="E72" s="36"/>
      <c r="F72" s="13"/>
      <c r="G72" s="35"/>
      <c r="H72" s="9"/>
      <c r="I72" s="35"/>
      <c r="J72" s="24"/>
      <c r="K72" s="2"/>
      <c r="L72" s="9"/>
    </row>
    <row r="73" spans="1:15">
      <c r="A73" s="42"/>
      <c r="B73" s="64"/>
      <c r="C73" s="9"/>
      <c r="D73" s="39"/>
      <c r="E73" s="36"/>
      <c r="F73" s="13"/>
      <c r="G73" s="13"/>
      <c r="H73" s="9"/>
      <c r="I73" s="35"/>
      <c r="J73" s="24"/>
      <c r="K73" s="2"/>
      <c r="L73" s="9"/>
    </row>
    <row r="74" spans="1:15">
      <c r="A74" s="42"/>
      <c r="B74" s="64"/>
      <c r="C74" s="9"/>
      <c r="D74" s="39"/>
      <c r="E74" s="36"/>
      <c r="F74" s="13"/>
      <c r="G74" s="13"/>
      <c r="H74" s="9"/>
      <c r="I74" s="35"/>
      <c r="J74" s="24"/>
      <c r="L74" s="9"/>
    </row>
    <row r="75" spans="1:15">
      <c r="A75" s="42"/>
      <c r="B75" s="64"/>
      <c r="C75" s="9"/>
      <c r="D75" s="39"/>
      <c r="E75" s="36"/>
      <c r="F75" s="13"/>
      <c r="G75" s="13"/>
      <c r="H75" s="9"/>
      <c r="I75" s="35"/>
      <c r="J75" s="24"/>
      <c r="L75" s="9"/>
    </row>
    <row r="76" spans="1:15">
      <c r="A76" s="42"/>
      <c r="B76" s="64"/>
      <c r="C76" s="9"/>
      <c r="D76" s="39"/>
      <c r="E76" s="36"/>
      <c r="F76" s="13"/>
      <c r="G76" s="13"/>
      <c r="H76" s="9"/>
      <c r="I76" s="35"/>
      <c r="J76" s="24"/>
    </row>
    <row r="77" spans="1:15">
      <c r="A77" s="42"/>
      <c r="B77" s="64"/>
      <c r="C77" s="9"/>
      <c r="D77" s="39"/>
      <c r="E77" s="36"/>
      <c r="F77" s="13"/>
      <c r="G77" s="13"/>
      <c r="H77" s="9"/>
      <c r="I77" s="35"/>
      <c r="J77" s="24"/>
    </row>
    <row r="78" spans="1:15">
      <c r="A78" s="42"/>
      <c r="B78" s="64"/>
      <c r="C78" s="9"/>
      <c r="D78" s="39"/>
      <c r="E78" s="36"/>
      <c r="F78" s="13"/>
      <c r="G78" s="13"/>
      <c r="H78" s="9"/>
      <c r="I78" s="35"/>
      <c r="J78" s="24"/>
    </row>
    <row r="79" spans="1:15">
      <c r="A79" s="42"/>
      <c r="B79" s="64"/>
      <c r="C79" s="9"/>
      <c r="D79" s="39"/>
      <c r="E79" s="36"/>
      <c r="F79" s="13"/>
      <c r="G79" s="13"/>
      <c r="H79" s="9"/>
      <c r="I79" s="35"/>
      <c r="J79" s="24"/>
    </row>
    <row r="80" spans="1:15">
      <c r="A80" s="60"/>
      <c r="B80" s="65"/>
      <c r="C80" s="21"/>
      <c r="D80" s="65"/>
      <c r="E80" s="29"/>
      <c r="F80" s="21"/>
      <c r="G80" s="21"/>
      <c r="H80" s="21"/>
      <c r="I80" s="21"/>
      <c r="K80" s="14"/>
      <c r="L80" s="5"/>
    </row>
    <row r="81" spans="9:11">
      <c r="I81" s="9"/>
      <c r="K81" s="1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76"/>
  <sheetViews>
    <sheetView workbookViewId="0">
      <selection activeCell="A26" sqref="A26"/>
    </sheetView>
  </sheetViews>
  <sheetFormatPr baseColWidth="10" defaultRowHeight="12.75"/>
  <cols>
    <col min="1" max="1" width="13.5703125" style="1" customWidth="1"/>
    <col min="2" max="2" width="11.7109375" style="1" customWidth="1"/>
    <col min="3" max="3" width="11.85546875" style="3" customWidth="1"/>
    <col min="4" max="4" width="10.7109375" style="1" customWidth="1"/>
    <col min="5" max="5" width="14.42578125" style="1" customWidth="1"/>
    <col min="6" max="6" width="7.85546875" style="1" customWidth="1"/>
    <col min="7" max="7" width="11.42578125" style="1" customWidth="1"/>
    <col min="8" max="8" width="11.42578125" style="2" customWidth="1"/>
    <col min="9" max="9" width="11.42578125" style="2"/>
    <col min="10" max="10" width="11.42578125" style="2" customWidth="1"/>
    <col min="11" max="11" width="11.7109375" style="2" bestFit="1" customWidth="1"/>
    <col min="12" max="13" width="11.42578125" style="2"/>
    <col min="14" max="16" width="11.42578125" style="1"/>
    <col min="17" max="17" width="11.7109375" style="1" bestFit="1" customWidth="1"/>
    <col min="18" max="16384" width="11.42578125" style="1"/>
  </cols>
  <sheetData>
    <row r="1" spans="1:23">
      <c r="A1" s="12" t="s">
        <v>27</v>
      </c>
      <c r="C1" s="73" t="s">
        <v>13</v>
      </c>
      <c r="D1" s="73" t="s">
        <v>88</v>
      </c>
      <c r="E1" s="73" t="s">
        <v>89</v>
      </c>
      <c r="H1" s="1"/>
      <c r="I1" s="73" t="s">
        <v>13</v>
      </c>
      <c r="J1" s="73" t="s">
        <v>88</v>
      </c>
      <c r="K1" s="73" t="s">
        <v>89</v>
      </c>
      <c r="N1" s="2"/>
      <c r="O1" s="73" t="s">
        <v>13</v>
      </c>
      <c r="P1" s="73" t="s">
        <v>88</v>
      </c>
      <c r="Q1" s="73" t="s">
        <v>89</v>
      </c>
      <c r="S1" s="6" t="s">
        <v>104</v>
      </c>
    </row>
    <row r="2" spans="1:23">
      <c r="A2" s="4" t="s">
        <v>26</v>
      </c>
      <c r="C2" s="33">
        <v>100</v>
      </c>
      <c r="D2" s="9">
        <v>1200</v>
      </c>
      <c r="E2" s="2">
        <f>42000+5390</f>
        <v>47390</v>
      </c>
      <c r="G2" s="4" t="s">
        <v>26</v>
      </c>
      <c r="I2" s="11">
        <v>140</v>
      </c>
      <c r="J2" s="9">
        <v>1680</v>
      </c>
      <c r="K2" s="2">
        <v>64190</v>
      </c>
      <c r="M2" s="4" t="s">
        <v>26</v>
      </c>
      <c r="N2" s="2"/>
      <c r="O2" s="11">
        <v>162.16999999999999</v>
      </c>
      <c r="P2" s="9">
        <v>1946.04</v>
      </c>
      <c r="Q2" s="2">
        <f>P2*35</f>
        <v>68111.399999999994</v>
      </c>
      <c r="S2" s="4" t="s">
        <v>25</v>
      </c>
      <c r="W2" s="9"/>
    </row>
    <row r="3" spans="1:23">
      <c r="A3" s="5" t="s">
        <v>2</v>
      </c>
      <c r="D3" s="9"/>
      <c r="E3" s="9">
        <v>495</v>
      </c>
      <c r="G3" s="5" t="s">
        <v>2</v>
      </c>
      <c r="H3" s="1"/>
      <c r="I3" s="3"/>
      <c r="K3" s="9">
        <v>495</v>
      </c>
      <c r="M3" s="5" t="s">
        <v>2</v>
      </c>
      <c r="O3" s="3"/>
      <c r="P3" s="2"/>
      <c r="Q3" s="9">
        <v>495</v>
      </c>
      <c r="S3" s="1" t="s">
        <v>11</v>
      </c>
      <c r="W3" s="9"/>
    </row>
    <row r="4" spans="1:23">
      <c r="A4" s="5" t="s">
        <v>1</v>
      </c>
      <c r="B4" s="14">
        <v>1.2E-2</v>
      </c>
      <c r="C4" s="2">
        <v>1.2</v>
      </c>
      <c r="D4" s="3">
        <v>14.4</v>
      </c>
      <c r="E4" s="2">
        <f>D4*35</f>
        <v>504</v>
      </c>
      <c r="G4" s="5" t="s">
        <v>1</v>
      </c>
      <c r="H4" s="14">
        <v>1.2E-2</v>
      </c>
      <c r="I4" s="2">
        <v>1.68</v>
      </c>
      <c r="J4" s="3">
        <v>20.16</v>
      </c>
      <c r="K4" s="2">
        <f>J4*35</f>
        <v>705.6</v>
      </c>
      <c r="M4" s="5" t="s">
        <v>1</v>
      </c>
      <c r="N4" s="14">
        <v>1.2E-2</v>
      </c>
      <c r="O4" s="2">
        <v>1.95</v>
      </c>
      <c r="P4" s="3">
        <v>23.35</v>
      </c>
      <c r="Q4" s="2">
        <f>P4*35</f>
        <v>817.25</v>
      </c>
      <c r="S4" s="1" t="s">
        <v>9</v>
      </c>
      <c r="U4" s="25" t="s">
        <v>6</v>
      </c>
      <c r="W4" s="9"/>
    </row>
    <row r="5" spans="1:23">
      <c r="A5" s="1" t="s">
        <v>0</v>
      </c>
      <c r="B5" s="14">
        <v>6.25E-2</v>
      </c>
      <c r="C5" s="2">
        <v>6.25</v>
      </c>
      <c r="D5" s="3">
        <v>75</v>
      </c>
      <c r="E5" s="2">
        <f>D5*35</f>
        <v>2625</v>
      </c>
      <c r="G5" s="1" t="s">
        <v>0</v>
      </c>
      <c r="H5" s="14">
        <v>6.0299999999999999E-2</v>
      </c>
      <c r="I5" s="2">
        <v>8.4499999999999993</v>
      </c>
      <c r="J5" s="3">
        <v>101.4</v>
      </c>
      <c r="K5" s="2">
        <f>J5*35</f>
        <v>3549</v>
      </c>
      <c r="M5" s="1" t="s">
        <v>0</v>
      </c>
      <c r="N5" s="14">
        <v>5.96E-2</v>
      </c>
      <c r="O5" s="2">
        <v>9.67</v>
      </c>
      <c r="P5" s="3">
        <v>116.03</v>
      </c>
      <c r="Q5" s="2">
        <f>P5*35</f>
        <v>4061.05</v>
      </c>
      <c r="S5" s="1" t="s">
        <v>8</v>
      </c>
      <c r="U5" s="23">
        <v>0.06</v>
      </c>
      <c r="W5" s="9"/>
    </row>
    <row r="6" spans="1:23">
      <c r="A6" s="5" t="s">
        <v>18</v>
      </c>
      <c r="B6" s="14">
        <v>5.5E-2</v>
      </c>
      <c r="C6" s="14">
        <v>5.5E-2</v>
      </c>
      <c r="D6" s="26">
        <v>8.4700000000000006</v>
      </c>
      <c r="E6" s="2">
        <f>D6*35</f>
        <v>296.45000000000005</v>
      </c>
      <c r="G6" s="5" t="s">
        <v>18</v>
      </c>
      <c r="H6" s="14">
        <v>5.5E-2</v>
      </c>
      <c r="I6" s="14">
        <v>5.5E-2</v>
      </c>
      <c r="J6" s="26">
        <v>8.4700000000000006</v>
      </c>
      <c r="K6" s="2">
        <f>J6*35</f>
        <v>296.45000000000005</v>
      </c>
      <c r="M6" s="5" t="s">
        <v>18</v>
      </c>
      <c r="N6" s="14">
        <v>5.5E-2</v>
      </c>
      <c r="O6" s="14"/>
      <c r="P6" s="26">
        <v>8.4700000000000006</v>
      </c>
      <c r="Q6" s="2">
        <f>P6*35</f>
        <v>296.45000000000005</v>
      </c>
      <c r="S6" s="1" t="s">
        <v>7</v>
      </c>
      <c r="U6" s="14">
        <v>5.0000000000000001E-3</v>
      </c>
      <c r="W6" s="9"/>
    </row>
    <row r="7" spans="1:23">
      <c r="A7" s="5"/>
      <c r="B7" s="14"/>
      <c r="D7" s="3"/>
      <c r="E7" s="2"/>
      <c r="G7" s="5"/>
      <c r="H7" s="14"/>
      <c r="I7" s="1"/>
      <c r="J7" s="3"/>
      <c r="K7" s="9"/>
      <c r="M7" s="5"/>
      <c r="N7" s="14"/>
      <c r="P7" s="3"/>
      <c r="Q7" s="2"/>
      <c r="W7" s="9"/>
    </row>
    <row r="8" spans="1:23">
      <c r="B8" s="14">
        <f>(D8-D6)/(D2/100)/100</f>
        <v>7.4499999999999997E-2</v>
      </c>
      <c r="C8" s="8">
        <f>SUM(C4:C6)</f>
        <v>7.5049999999999999</v>
      </c>
      <c r="D8" s="54">
        <f>SUM(D4:D7)</f>
        <v>97.87</v>
      </c>
      <c r="E8" s="9">
        <f>SUM(E3:E6)</f>
        <v>3920.45</v>
      </c>
      <c r="H8" s="14">
        <f>(J8-J6)/(J2/100)/100</f>
        <v>7.2357142857142856E-2</v>
      </c>
      <c r="I8" s="8">
        <f>SUM(I4:I7)</f>
        <v>10.184999999999999</v>
      </c>
      <c r="J8" s="54">
        <f>SUM(J4:J7)</f>
        <v>130.03</v>
      </c>
      <c r="K8" s="9">
        <f>SUM(K3:K6)</f>
        <v>5046.05</v>
      </c>
      <c r="N8" s="14">
        <f>(P8-P6)/(P2/100)/100</f>
        <v>7.1622371585373379E-2</v>
      </c>
      <c r="O8" s="8">
        <f>SUM(O4:O7)</f>
        <v>11.62</v>
      </c>
      <c r="P8" s="54">
        <f>SUM(P4:P7)</f>
        <v>147.85</v>
      </c>
      <c r="Q8" s="9">
        <f>SUM(Q3:Q6)</f>
        <v>5669.75</v>
      </c>
      <c r="S8" s="1" t="s">
        <v>5</v>
      </c>
      <c r="U8" s="14">
        <v>5.5399999999999998E-2</v>
      </c>
      <c r="W8" s="9"/>
    </row>
    <row r="9" spans="1:23">
      <c r="M9" s="1"/>
      <c r="S9" s="1" t="s">
        <v>4</v>
      </c>
      <c r="U9" s="14">
        <v>5.5999999999999999E-3</v>
      </c>
      <c r="W9" s="9"/>
    </row>
    <row r="10" spans="1:23">
      <c r="A10" s="2" t="s">
        <v>24</v>
      </c>
      <c r="C10" s="2">
        <v>30.2</v>
      </c>
      <c r="D10" s="2"/>
      <c r="E10" s="32"/>
      <c r="G10" s="2" t="s">
        <v>24</v>
      </c>
      <c r="H10" s="1"/>
      <c r="I10" s="2">
        <v>30.2</v>
      </c>
      <c r="M10" s="2" t="s">
        <v>24</v>
      </c>
      <c r="O10" s="2">
        <v>30.2</v>
      </c>
      <c r="P10" s="9"/>
      <c r="Q10" s="2"/>
      <c r="S10" s="1" t="s">
        <v>12</v>
      </c>
      <c r="U10" s="20">
        <v>4.9399999999999999E-2</v>
      </c>
      <c r="W10" s="9"/>
    </row>
    <row r="11" spans="1:23">
      <c r="A11" s="2"/>
      <c r="C11" s="14"/>
      <c r="D11" s="9"/>
      <c r="E11" s="9"/>
      <c r="G11" s="2"/>
      <c r="I11" s="14"/>
      <c r="J11" s="9"/>
      <c r="K11" s="9"/>
      <c r="N11" s="2"/>
      <c r="O11" s="14"/>
      <c r="P11" s="9"/>
      <c r="Q11" s="9"/>
      <c r="W11" s="9"/>
    </row>
    <row r="12" spans="1:23">
      <c r="P12" s="2"/>
      <c r="Q12" s="2"/>
      <c r="S12" s="4" t="s">
        <v>22</v>
      </c>
      <c r="W12" s="9"/>
    </row>
    <row r="13" spans="1:23">
      <c r="A13" s="2"/>
      <c r="C13" s="2"/>
      <c r="D13" s="13"/>
      <c r="E13" s="9"/>
      <c r="H13" s="14"/>
      <c r="I13" s="8"/>
      <c r="J13" s="13"/>
      <c r="K13" s="9"/>
      <c r="M13" s="1"/>
      <c r="N13" s="14"/>
      <c r="O13" s="8"/>
      <c r="P13" s="13"/>
      <c r="Q13" s="9"/>
      <c r="S13" s="1" t="s">
        <v>11</v>
      </c>
      <c r="W13" s="9"/>
    </row>
    <row r="14" spans="1:23">
      <c r="I14" s="73" t="s">
        <v>13</v>
      </c>
      <c r="J14" s="73" t="s">
        <v>88</v>
      </c>
      <c r="K14" s="73" t="s">
        <v>89</v>
      </c>
      <c r="M14" s="1"/>
      <c r="N14" s="2"/>
      <c r="O14" s="73" t="s">
        <v>13</v>
      </c>
      <c r="P14" s="73" t="s">
        <v>88</v>
      </c>
      <c r="Q14" s="73" t="s">
        <v>89</v>
      </c>
      <c r="S14" s="1" t="s">
        <v>9</v>
      </c>
      <c r="U14" s="25" t="s">
        <v>6</v>
      </c>
      <c r="W14" s="9"/>
    </row>
    <row r="15" spans="1:23">
      <c r="A15" s="10" t="s">
        <v>90</v>
      </c>
      <c r="G15" s="4" t="s">
        <v>23</v>
      </c>
      <c r="H15" s="1"/>
      <c r="I15" s="10">
        <v>140</v>
      </c>
      <c r="J15" s="7">
        <v>1680</v>
      </c>
      <c r="K15" s="9">
        <v>64190</v>
      </c>
      <c r="M15" s="4" t="s">
        <v>23</v>
      </c>
      <c r="O15" s="10">
        <v>162.16999999999999</v>
      </c>
      <c r="P15" s="7">
        <f>O15*12</f>
        <v>1946.04</v>
      </c>
      <c r="Q15" s="9">
        <f>P15*35</f>
        <v>68111.399999999994</v>
      </c>
      <c r="S15" s="1" t="s">
        <v>8</v>
      </c>
      <c r="U15" s="23">
        <v>0.06</v>
      </c>
      <c r="W15" s="9"/>
    </row>
    <row r="16" spans="1:23">
      <c r="A16" s="6" t="s">
        <v>32</v>
      </c>
      <c r="G16" s="5" t="s">
        <v>2</v>
      </c>
      <c r="H16" s="1"/>
      <c r="J16" s="1"/>
      <c r="K16" s="9">
        <v>495</v>
      </c>
      <c r="M16" s="5" t="s">
        <v>2</v>
      </c>
      <c r="O16" s="2"/>
      <c r="Q16" s="9">
        <v>495</v>
      </c>
      <c r="S16" s="1" t="s">
        <v>7</v>
      </c>
      <c r="U16" s="14">
        <v>4.5999999999999999E-3</v>
      </c>
      <c r="W16" s="9"/>
    </row>
    <row r="17" spans="1:23">
      <c r="A17" s="1" t="s">
        <v>82</v>
      </c>
      <c r="G17" s="5" t="s">
        <v>1</v>
      </c>
      <c r="H17" s="14">
        <v>2.5000000000000001E-2</v>
      </c>
      <c r="I17" s="2">
        <v>3.5</v>
      </c>
      <c r="J17" s="9">
        <v>42</v>
      </c>
      <c r="K17" s="9">
        <f>J17*37</f>
        <v>1554</v>
      </c>
      <c r="M17" s="5" t="s">
        <v>1</v>
      </c>
      <c r="N17" s="14">
        <v>2.5000000000000001E-2</v>
      </c>
      <c r="O17" s="2">
        <f>O15/100*2.5</f>
        <v>4.0542499999999997</v>
      </c>
      <c r="P17" s="9">
        <f>O17*12</f>
        <v>48.650999999999996</v>
      </c>
      <c r="Q17" s="9">
        <f>P17*37</f>
        <v>1800.0869999999998</v>
      </c>
      <c r="W17" s="9"/>
    </row>
    <row r="18" spans="1:23">
      <c r="A18" s="1" t="s">
        <v>85</v>
      </c>
      <c r="G18" s="5" t="s">
        <v>18</v>
      </c>
      <c r="H18" s="14">
        <v>2.5000000000000001E-2</v>
      </c>
      <c r="J18" s="2">
        <v>3.85</v>
      </c>
      <c r="K18" s="9">
        <f>J18*37</f>
        <v>142.45000000000002</v>
      </c>
      <c r="M18" s="5" t="s">
        <v>18</v>
      </c>
      <c r="N18" s="14">
        <v>2.5000000000000001E-2</v>
      </c>
      <c r="O18" s="2"/>
      <c r="P18" s="2">
        <v>3.85</v>
      </c>
      <c r="Q18" s="9">
        <f>P18*37</f>
        <v>142.45000000000002</v>
      </c>
      <c r="S18" s="1" t="s">
        <v>5</v>
      </c>
      <c r="U18" s="14">
        <v>5.5399999999999998E-2</v>
      </c>
      <c r="W18" s="9"/>
    </row>
    <row r="19" spans="1:23">
      <c r="A19" s="1" t="s">
        <v>94</v>
      </c>
      <c r="G19" s="2" t="s">
        <v>20</v>
      </c>
      <c r="H19" s="14">
        <v>1.4999999999999999E-2</v>
      </c>
      <c r="I19" s="1"/>
      <c r="K19" s="9"/>
      <c r="M19" s="2" t="s">
        <v>20</v>
      </c>
      <c r="N19" s="14">
        <v>1.4999999999999999E-2</v>
      </c>
      <c r="P19" s="2"/>
      <c r="Q19" s="9"/>
      <c r="S19" s="1" t="s">
        <v>4</v>
      </c>
      <c r="U19" s="14">
        <v>5.5999999999999999E-3</v>
      </c>
      <c r="W19" s="9"/>
    </row>
    <row r="20" spans="1:23">
      <c r="G20" s="2"/>
      <c r="J20" s="1"/>
      <c r="K20" s="9"/>
      <c r="S20" s="1" t="s">
        <v>12</v>
      </c>
      <c r="U20" s="20">
        <v>4.9799999999999997E-2</v>
      </c>
      <c r="W20" s="9"/>
    </row>
    <row r="21" spans="1:23">
      <c r="A21" s="71" t="s">
        <v>23</v>
      </c>
      <c r="G21" s="2"/>
      <c r="I21" s="8"/>
      <c r="J21" s="54">
        <f>SUM(J17:J18)</f>
        <v>45.85</v>
      </c>
      <c r="K21" s="9">
        <f>SUM(K16:K19)</f>
        <v>2191.4499999999998</v>
      </c>
      <c r="P21" s="54">
        <f>SUM(P17:P18)</f>
        <v>52.500999999999998</v>
      </c>
      <c r="Q21" s="9">
        <f>SUM(Q16:Q19)</f>
        <v>2437.5369999999994</v>
      </c>
      <c r="W21" s="9"/>
    </row>
    <row r="22" spans="1:23">
      <c r="A22" s="1" t="s">
        <v>83</v>
      </c>
      <c r="G22" s="2"/>
      <c r="H22" s="1"/>
      <c r="I22" s="1"/>
      <c r="J22" s="1"/>
      <c r="K22" s="1"/>
      <c r="S22" s="4" t="s">
        <v>17</v>
      </c>
      <c r="W22" s="9"/>
    </row>
    <row r="23" spans="1:23">
      <c r="A23" s="1" t="s">
        <v>51</v>
      </c>
      <c r="G23" s="2" t="s">
        <v>19</v>
      </c>
      <c r="I23" s="1"/>
      <c r="J23" s="1"/>
      <c r="K23" s="9">
        <v>27272</v>
      </c>
      <c r="S23" s="1" t="s">
        <v>11</v>
      </c>
      <c r="W23" s="9"/>
    </row>
    <row r="24" spans="1:23">
      <c r="A24" s="1" t="s">
        <v>52</v>
      </c>
      <c r="G24" s="2" t="s">
        <v>24</v>
      </c>
      <c r="H24" s="1"/>
      <c r="I24" s="2">
        <v>34.5</v>
      </c>
      <c r="J24" s="13"/>
      <c r="K24" s="9"/>
      <c r="S24" s="1" t="s">
        <v>9</v>
      </c>
      <c r="U24" s="25" t="s">
        <v>6</v>
      </c>
      <c r="W24" s="9"/>
    </row>
    <row r="25" spans="1:23">
      <c r="A25" s="1" t="s">
        <v>84</v>
      </c>
      <c r="G25" s="7" t="s">
        <v>15</v>
      </c>
      <c r="J25" s="1"/>
      <c r="K25" s="1"/>
      <c r="S25" s="1" t="s">
        <v>8</v>
      </c>
      <c r="U25" s="23">
        <v>0.06</v>
      </c>
      <c r="W25" s="9"/>
    </row>
    <row r="26" spans="1:23">
      <c r="A26" s="1" t="s">
        <v>93</v>
      </c>
      <c r="C26" s="1"/>
      <c r="G26" s="7" t="s">
        <v>81</v>
      </c>
      <c r="S26" s="1" t="s">
        <v>7</v>
      </c>
      <c r="U26" s="14">
        <v>4.5999999999999999E-3</v>
      </c>
      <c r="W26" s="9"/>
    </row>
    <row r="27" spans="1:23">
      <c r="W27" s="9"/>
    </row>
    <row r="28" spans="1:23">
      <c r="C28" s="1"/>
      <c r="L28" s="5"/>
      <c r="S28" s="1" t="s">
        <v>5</v>
      </c>
      <c r="U28" s="14">
        <v>5.5399999999999998E-2</v>
      </c>
      <c r="W28" s="9"/>
    </row>
    <row r="29" spans="1:23">
      <c r="C29" s="1"/>
      <c r="L29" s="5"/>
      <c r="S29" s="1" t="s">
        <v>4</v>
      </c>
      <c r="U29" s="14">
        <v>5.7000000000000002E-3</v>
      </c>
      <c r="W29" s="9"/>
    </row>
    <row r="30" spans="1:23">
      <c r="A30" s="4"/>
      <c r="S30" s="1" t="s">
        <v>12</v>
      </c>
      <c r="U30" s="20">
        <v>4.9700000000000001E-2</v>
      </c>
      <c r="W30" s="9"/>
    </row>
    <row r="31" spans="1:23">
      <c r="B31" s="9"/>
      <c r="C31" s="9"/>
      <c r="W31" s="9"/>
    </row>
    <row r="32" spans="1:23">
      <c r="B32" s="9"/>
      <c r="S32" s="4" t="s">
        <v>86</v>
      </c>
      <c r="W32" s="9"/>
    </row>
    <row r="33" spans="1:23">
      <c r="W33" s="9"/>
    </row>
    <row r="34" spans="1:23">
      <c r="S34" s="1" t="s">
        <v>8</v>
      </c>
      <c r="U34" s="23">
        <v>0.06</v>
      </c>
      <c r="W34" s="9"/>
    </row>
    <row r="35" spans="1:23">
      <c r="S35" s="1" t="s">
        <v>21</v>
      </c>
      <c r="U35" s="20">
        <v>5.1700000000000003E-2</v>
      </c>
      <c r="W35" s="9"/>
    </row>
    <row r="36" spans="1:23">
      <c r="S36" s="1" t="s">
        <v>87</v>
      </c>
      <c r="W36" s="9"/>
    </row>
    <row r="37" spans="1:23">
      <c r="A37" s="4"/>
      <c r="W37" s="9"/>
    </row>
    <row r="38" spans="1:23">
      <c r="S38" s="31" t="s">
        <v>16</v>
      </c>
      <c r="W38" s="9"/>
    </row>
    <row r="39" spans="1:23">
      <c r="V39" s="9"/>
      <c r="W39" s="9"/>
    </row>
    <row r="40" spans="1:23">
      <c r="S40" s="4" t="s">
        <v>91</v>
      </c>
    </row>
    <row r="42" spans="1:23">
      <c r="O42" s="5"/>
      <c r="S42" s="74" t="s">
        <v>8</v>
      </c>
      <c r="U42" s="23">
        <v>0.06</v>
      </c>
    </row>
    <row r="43" spans="1:23">
      <c r="S43" s="1" t="s">
        <v>92</v>
      </c>
      <c r="U43" s="14">
        <v>8.6E-3</v>
      </c>
    </row>
    <row r="44" spans="1:23">
      <c r="H44" s="1"/>
      <c r="I44" s="3"/>
      <c r="J44" s="1"/>
      <c r="K44" s="1"/>
      <c r="L44" s="1"/>
      <c r="M44" s="4"/>
      <c r="S44" s="1" t="s">
        <v>21</v>
      </c>
      <c r="U44" s="75">
        <f>U42-U43</f>
        <v>5.1400000000000001E-2</v>
      </c>
    </row>
    <row r="45" spans="1:23">
      <c r="H45" s="1"/>
      <c r="I45" s="3"/>
      <c r="J45" s="1"/>
      <c r="K45" s="1"/>
      <c r="L45" s="1"/>
      <c r="M45" s="1"/>
      <c r="U45" s="22"/>
    </row>
    <row r="46" spans="1:23">
      <c r="H46" s="1"/>
      <c r="I46" s="3"/>
      <c r="J46" s="1"/>
      <c r="K46" s="1"/>
      <c r="L46" s="1"/>
      <c r="M46" s="1"/>
    </row>
    <row r="47" spans="1:23">
      <c r="H47" s="1"/>
      <c r="I47" s="3"/>
      <c r="J47" s="1"/>
      <c r="K47" s="1"/>
      <c r="L47" s="1"/>
      <c r="M47" s="1"/>
      <c r="U47" s="14"/>
    </row>
    <row r="48" spans="1:23">
      <c r="H48" s="1"/>
      <c r="I48" s="3"/>
      <c r="J48" s="1"/>
      <c r="K48" s="1"/>
      <c r="L48" s="1"/>
      <c r="M48" s="1"/>
      <c r="U48" s="14"/>
    </row>
    <row r="49" spans="1:21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/>
      <c r="U49" s="20"/>
    </row>
    <row r="50" spans="1:21">
      <c r="A50" s="44"/>
      <c r="B50" s="44"/>
      <c r="C50" s="16"/>
      <c r="D50" s="44"/>
      <c r="E50" s="44"/>
      <c r="F50" s="44"/>
      <c r="G50" s="44"/>
      <c r="H50" s="46"/>
      <c r="I50" s="46"/>
      <c r="J50" s="46"/>
      <c r="K50" s="46"/>
      <c r="L50" s="46"/>
      <c r="M50" s="46"/>
      <c r="N50" s="44"/>
      <c r="O50" s="44"/>
      <c r="P50" s="44"/>
      <c r="Q50" s="45"/>
    </row>
    <row r="51" spans="1:21">
      <c r="A51" s="45"/>
      <c r="B51" s="44"/>
      <c r="C51" s="16"/>
      <c r="D51" s="44"/>
      <c r="E51" s="44"/>
      <c r="F51" s="44"/>
      <c r="G51" s="46"/>
      <c r="H51" s="46"/>
      <c r="I51" s="46"/>
      <c r="J51" s="44"/>
      <c r="K51" s="46"/>
      <c r="L51" s="46"/>
      <c r="M51" s="46"/>
      <c r="N51" s="46"/>
      <c r="O51" s="44"/>
      <c r="P51" s="44"/>
      <c r="Q51" s="45"/>
    </row>
    <row r="52" spans="1:21">
      <c r="A52" s="47"/>
      <c r="B52" s="44"/>
      <c r="C52" s="16"/>
      <c r="D52" s="16"/>
      <c r="E52" s="48"/>
      <c r="F52" s="44"/>
      <c r="G52" s="47"/>
      <c r="H52" s="19"/>
      <c r="I52" s="8"/>
      <c r="J52" s="48"/>
      <c r="K52" s="46"/>
      <c r="L52" s="46"/>
      <c r="M52" s="47"/>
      <c r="N52" s="44"/>
      <c r="O52" s="17"/>
      <c r="P52" s="48"/>
      <c r="Q52" s="45"/>
    </row>
    <row r="53" spans="1:21">
      <c r="A53" s="45"/>
      <c r="B53" s="44"/>
      <c r="C53" s="16"/>
      <c r="D53" s="46"/>
      <c r="E53" s="46"/>
      <c r="F53" s="44"/>
      <c r="G53" s="45"/>
      <c r="H53" s="44"/>
      <c r="I53" s="46"/>
      <c r="J53" s="49"/>
      <c r="K53" s="46"/>
      <c r="L53" s="46"/>
      <c r="M53" s="45"/>
      <c r="N53" s="44"/>
      <c r="O53" s="16"/>
      <c r="P53" s="49"/>
      <c r="Q53" s="45"/>
    </row>
    <row r="54" spans="1:21">
      <c r="A54" s="45"/>
      <c r="B54" s="44"/>
      <c r="C54" s="46"/>
      <c r="D54" s="46"/>
      <c r="E54" s="46"/>
      <c r="F54" s="44"/>
      <c r="G54" s="45"/>
      <c r="H54" s="44"/>
      <c r="I54" s="8"/>
      <c r="J54" s="8"/>
      <c r="K54" s="50"/>
      <c r="L54" s="46"/>
      <c r="M54" s="45"/>
      <c r="N54" s="44"/>
      <c r="O54" s="46"/>
      <c r="P54" s="16"/>
      <c r="Q54" s="45"/>
    </row>
    <row r="55" spans="1:21">
      <c r="A55" s="44"/>
      <c r="B55" s="44"/>
      <c r="C55" s="46"/>
      <c r="D55" s="46"/>
      <c r="E55" s="46"/>
      <c r="F55" s="44"/>
      <c r="G55" s="44"/>
      <c r="H55" s="44"/>
      <c r="I55" s="8"/>
      <c r="J55" s="8"/>
      <c r="K55" s="50"/>
      <c r="L55" s="46"/>
      <c r="M55" s="44"/>
      <c r="N55" s="44"/>
      <c r="O55" s="46"/>
      <c r="P55" s="17"/>
      <c r="Q55" s="45"/>
    </row>
    <row r="56" spans="1:21">
      <c r="A56" s="45"/>
      <c r="B56" s="44"/>
      <c r="C56" s="46"/>
      <c r="D56" s="46"/>
      <c r="E56" s="46"/>
      <c r="F56" s="44"/>
      <c r="G56" s="45"/>
      <c r="H56" s="44"/>
      <c r="I56" s="15"/>
      <c r="J56" s="8"/>
      <c r="K56" s="46"/>
      <c r="L56" s="46"/>
      <c r="M56" s="45"/>
      <c r="N56" s="44"/>
      <c r="O56" s="44"/>
      <c r="P56" s="17"/>
      <c r="Q56" s="45"/>
    </row>
    <row r="57" spans="1:21">
      <c r="A57" s="45"/>
      <c r="B57" s="44"/>
      <c r="C57" s="46"/>
      <c r="D57" s="46"/>
      <c r="E57" s="48"/>
      <c r="F57" s="44"/>
      <c r="G57" s="45"/>
      <c r="H57" s="44"/>
      <c r="I57" s="46"/>
      <c r="J57" s="46"/>
      <c r="K57" s="46"/>
      <c r="L57" s="46"/>
      <c r="M57" s="45"/>
      <c r="N57" s="44"/>
      <c r="O57" s="44"/>
      <c r="P57" s="16"/>
      <c r="Q57" s="45"/>
    </row>
    <row r="58" spans="1:21">
      <c r="A58" s="44"/>
      <c r="B58" s="44"/>
      <c r="C58" s="46"/>
      <c r="D58" s="46"/>
      <c r="E58" s="44"/>
      <c r="F58" s="44"/>
      <c r="G58" s="44"/>
      <c r="H58" s="44"/>
      <c r="I58" s="46"/>
      <c r="J58" s="46"/>
      <c r="K58" s="46"/>
      <c r="L58" s="46"/>
      <c r="M58" s="44"/>
      <c r="N58" s="44"/>
      <c r="O58" s="16"/>
      <c r="P58" s="44"/>
      <c r="Q58" s="45"/>
      <c r="S58" s="3"/>
    </row>
    <row r="59" spans="1:21">
      <c r="A59" s="44"/>
      <c r="B59" s="50"/>
      <c r="C59" s="8"/>
      <c r="D59" s="8"/>
      <c r="E59" s="46"/>
      <c r="F59" s="44"/>
      <c r="G59" s="44"/>
      <c r="H59" s="50"/>
      <c r="I59" s="15"/>
      <c r="J59" s="8"/>
      <c r="K59" s="46"/>
      <c r="L59" s="46"/>
      <c r="M59" s="44"/>
      <c r="N59" s="50"/>
      <c r="O59" s="8"/>
      <c r="P59" s="8"/>
      <c r="Q59" s="45"/>
      <c r="S59" s="3"/>
    </row>
    <row r="60" spans="1:21">
      <c r="A60" s="44"/>
      <c r="B60" s="44"/>
      <c r="C60" s="16"/>
      <c r="D60" s="44"/>
      <c r="E60" s="44"/>
      <c r="F60" s="44"/>
      <c r="G60" s="44"/>
      <c r="H60" s="46"/>
      <c r="I60" s="46"/>
      <c r="J60" s="46"/>
      <c r="K60" s="46"/>
      <c r="L60" s="46"/>
      <c r="M60" s="46"/>
      <c r="N60" s="44"/>
      <c r="O60" s="44"/>
      <c r="P60" s="44"/>
      <c r="Q60" s="45"/>
      <c r="S60" s="3"/>
    </row>
    <row r="61" spans="1:21">
      <c r="A61" s="45"/>
      <c r="B61" s="44"/>
      <c r="C61" s="16"/>
      <c r="D61" s="44"/>
      <c r="E61" s="44"/>
      <c r="F61" s="44"/>
      <c r="G61" s="44"/>
      <c r="H61" s="44"/>
      <c r="I61" s="46"/>
      <c r="J61" s="46"/>
      <c r="K61" s="46"/>
      <c r="L61" s="46"/>
      <c r="M61" s="46"/>
      <c r="N61" s="46"/>
      <c r="O61" s="46"/>
      <c r="P61" s="44"/>
      <c r="Q61" s="45"/>
      <c r="S61" s="3"/>
    </row>
    <row r="62" spans="1:21">
      <c r="A62" s="47"/>
      <c r="B62" s="44"/>
      <c r="C62" s="51"/>
      <c r="D62" s="48"/>
      <c r="E62" s="46"/>
      <c r="F62" s="44"/>
      <c r="G62" s="47"/>
      <c r="H62" s="44"/>
      <c r="I62" s="46"/>
      <c r="J62" s="46"/>
      <c r="K62" s="46"/>
      <c r="L62" s="46"/>
      <c r="M62" s="52"/>
      <c r="N62" s="46"/>
      <c r="O62" s="46"/>
      <c r="P62" s="46"/>
      <c r="Q62" s="45"/>
    </row>
    <row r="63" spans="1:21">
      <c r="A63" s="45"/>
      <c r="B63" s="44"/>
      <c r="C63" s="16"/>
      <c r="D63" s="48"/>
      <c r="E63" s="48"/>
      <c r="F63" s="44"/>
      <c r="G63" s="45"/>
      <c r="H63" s="44"/>
      <c r="I63" s="46"/>
      <c r="J63" s="46"/>
      <c r="K63" s="46"/>
      <c r="L63" s="46"/>
      <c r="M63" s="53"/>
      <c r="N63" s="46"/>
      <c r="O63" s="46"/>
      <c r="P63" s="46"/>
      <c r="Q63" s="45"/>
    </row>
    <row r="64" spans="1:21">
      <c r="A64" s="45"/>
      <c r="B64" s="44"/>
      <c r="C64" s="46"/>
      <c r="D64" s="16"/>
      <c r="E64" s="46"/>
      <c r="F64" s="44"/>
      <c r="G64" s="45"/>
      <c r="H64" s="44"/>
      <c r="I64" s="46"/>
      <c r="J64" s="46"/>
      <c r="K64" s="46"/>
      <c r="L64" s="46"/>
      <c r="M64" s="53"/>
      <c r="N64" s="46"/>
      <c r="O64" s="46"/>
      <c r="P64" s="46"/>
      <c r="Q64" s="45"/>
    </row>
    <row r="65" spans="1:17">
      <c r="A65" s="44"/>
      <c r="B65" s="44"/>
      <c r="C65" s="46"/>
      <c r="D65" s="16"/>
      <c r="E65" s="46"/>
      <c r="F65" s="44"/>
      <c r="G65" s="45"/>
      <c r="H65" s="44"/>
      <c r="I65" s="46"/>
      <c r="J65" s="46"/>
      <c r="K65" s="46"/>
      <c r="L65" s="46"/>
      <c r="M65" s="53"/>
      <c r="N65" s="46"/>
      <c r="O65" s="53"/>
      <c r="P65" s="46"/>
      <c r="Q65" s="44"/>
    </row>
    <row r="66" spans="1:17">
      <c r="A66" s="45"/>
      <c r="B66" s="44"/>
      <c r="C66" s="46"/>
      <c r="D66" s="16"/>
      <c r="E66" s="46"/>
      <c r="F66" s="44"/>
      <c r="G66" s="45"/>
      <c r="H66" s="44"/>
      <c r="I66" s="46"/>
      <c r="J66" s="46"/>
      <c r="K66" s="46"/>
      <c r="L66" s="46"/>
      <c r="M66" s="53"/>
      <c r="N66" s="46"/>
      <c r="O66" s="46"/>
      <c r="P66" s="46"/>
      <c r="Q66" s="44"/>
    </row>
    <row r="67" spans="1:17">
      <c r="A67" s="45"/>
      <c r="B67" s="44"/>
      <c r="C67" s="44"/>
      <c r="D67" s="16"/>
      <c r="E67" s="44"/>
      <c r="F67" s="44"/>
      <c r="G67" s="44"/>
      <c r="H67" s="44"/>
      <c r="I67" s="46"/>
      <c r="J67" s="46"/>
      <c r="K67" s="46"/>
      <c r="L67" s="46"/>
      <c r="M67" s="46"/>
      <c r="N67" s="46"/>
      <c r="O67" s="46"/>
      <c r="P67" s="46"/>
      <c r="Q67" s="44"/>
    </row>
    <row r="68" spans="1:17">
      <c r="A68" s="44"/>
      <c r="B68" s="44"/>
      <c r="C68" s="16"/>
      <c r="D68" s="44"/>
      <c r="E68" s="44"/>
      <c r="F68" s="44"/>
      <c r="G68" s="44"/>
      <c r="H68" s="44"/>
      <c r="I68" s="46"/>
      <c r="J68" s="46"/>
      <c r="K68" s="46"/>
      <c r="L68" s="46"/>
      <c r="M68" s="53"/>
      <c r="N68" s="46"/>
      <c r="O68" s="46"/>
      <c r="P68" s="46"/>
      <c r="Q68" s="48"/>
    </row>
    <row r="69" spans="1:17">
      <c r="A69" s="44"/>
      <c r="B69" s="44"/>
      <c r="C69" s="8"/>
      <c r="D69" s="16"/>
      <c r="E69" s="48"/>
      <c r="F69" s="44"/>
      <c r="G69" s="44"/>
      <c r="H69" s="44"/>
      <c r="I69" s="46"/>
      <c r="J69" s="46"/>
      <c r="K69" s="46"/>
      <c r="L69" s="46"/>
      <c r="M69" s="53"/>
      <c r="N69" s="46"/>
      <c r="O69" s="46"/>
      <c r="P69" s="46"/>
      <c r="Q69" s="48"/>
    </row>
    <row r="70" spans="1:17">
      <c r="A70" s="44"/>
      <c r="B70" s="44"/>
      <c r="C70" s="16"/>
      <c r="D70" s="44"/>
      <c r="E70" s="44"/>
      <c r="F70" s="44"/>
      <c r="G70" s="44"/>
      <c r="H70" s="46"/>
      <c r="I70" s="46"/>
      <c r="J70" s="46"/>
      <c r="K70" s="46"/>
      <c r="L70" s="46"/>
      <c r="M70" s="46"/>
      <c r="N70" s="46"/>
      <c r="O70" s="44"/>
      <c r="P70" s="44"/>
      <c r="Q70" s="48"/>
    </row>
    <row r="71" spans="1:17">
      <c r="A71" s="44"/>
      <c r="B71" s="44"/>
      <c r="C71" s="16"/>
      <c r="D71" s="44"/>
      <c r="E71" s="44"/>
      <c r="F71" s="44"/>
      <c r="G71" s="44"/>
      <c r="H71" s="46"/>
      <c r="I71" s="46"/>
      <c r="J71" s="46"/>
      <c r="K71" s="46"/>
      <c r="L71" s="46"/>
      <c r="M71" s="46"/>
      <c r="N71" s="44"/>
      <c r="O71" s="44"/>
      <c r="P71" s="44"/>
      <c r="Q71" s="48"/>
    </row>
    <row r="72" spans="1:17">
      <c r="A72" s="44"/>
      <c r="B72" s="44"/>
      <c r="C72" s="16"/>
      <c r="D72" s="44"/>
      <c r="E72" s="44"/>
      <c r="F72" s="44"/>
      <c r="G72" s="44"/>
      <c r="H72" s="46"/>
      <c r="I72" s="46"/>
      <c r="J72" s="46"/>
      <c r="K72" s="46"/>
      <c r="L72" s="46"/>
      <c r="M72" s="46"/>
      <c r="N72" s="44"/>
      <c r="O72" s="44"/>
      <c r="P72" s="44"/>
      <c r="Q72" s="44"/>
    </row>
    <row r="73" spans="1:17">
      <c r="A73" s="44"/>
      <c r="B73" s="44"/>
      <c r="C73" s="16"/>
      <c r="D73" s="44"/>
      <c r="E73" s="44"/>
      <c r="F73" s="44"/>
      <c r="G73" s="44"/>
      <c r="H73" s="46"/>
      <c r="I73" s="46"/>
      <c r="J73" s="46"/>
      <c r="K73" s="46"/>
      <c r="L73" s="46"/>
      <c r="M73" s="46"/>
      <c r="N73" s="44"/>
      <c r="O73" s="44"/>
      <c r="P73" s="44"/>
      <c r="Q73" s="44"/>
    </row>
    <row r="74" spans="1:17">
      <c r="A74" s="44"/>
      <c r="B74" s="44"/>
      <c r="C74" s="16"/>
      <c r="D74" s="44"/>
      <c r="E74" s="44"/>
      <c r="F74" s="44"/>
      <c r="G74" s="44"/>
      <c r="H74" s="46"/>
      <c r="I74" s="46"/>
      <c r="J74" s="46"/>
      <c r="K74" s="46"/>
      <c r="L74" s="46"/>
      <c r="M74" s="46"/>
      <c r="N74" s="44"/>
      <c r="O74" s="44"/>
      <c r="P74" s="44"/>
      <c r="Q74" s="44"/>
    </row>
    <row r="75" spans="1:17">
      <c r="A75" s="44"/>
      <c r="B75" s="44"/>
      <c r="C75" s="16"/>
      <c r="D75" s="44"/>
      <c r="E75" s="44"/>
      <c r="F75" s="44"/>
      <c r="G75" s="44"/>
      <c r="H75" s="46"/>
      <c r="I75" s="46"/>
      <c r="J75" s="46"/>
      <c r="K75" s="46"/>
      <c r="L75" s="46"/>
      <c r="M75" s="46"/>
      <c r="N75" s="44"/>
      <c r="O75" s="44"/>
      <c r="P75" s="44"/>
      <c r="Q75" s="44"/>
    </row>
    <row r="76" spans="1:17">
      <c r="A76" s="44"/>
      <c r="B76" s="44"/>
      <c r="C76" s="16"/>
      <c r="D76" s="44"/>
      <c r="E76" s="44"/>
      <c r="F76" s="44"/>
      <c r="G76" s="44"/>
      <c r="H76" s="46"/>
      <c r="I76" s="46"/>
      <c r="J76" s="46"/>
      <c r="K76" s="46"/>
      <c r="L76" s="46"/>
      <c r="M76" s="46"/>
      <c r="N76" s="44"/>
      <c r="O76" s="44"/>
      <c r="P76" s="44"/>
      <c r="Q76" s="44"/>
    </row>
  </sheetData>
  <hyperlinks>
    <hyperlink ref="S38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Rechnung fairr vs. VWB</vt:lpstr>
      <vt:lpstr>Konditionen fairr vs VWB</vt:lpstr>
      <vt:lpstr>Honorar Fond-Riester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2014-12-10T02:11:30Z</dcterms:modified>
</cp:coreProperties>
</file>