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8515" windowHeight="13350" tabRatio="967" activeTab="1"/>
  </bookViews>
  <sheets>
    <sheet name="Report_Unternehmen" sheetId="17" r:id="rId1"/>
    <sheet name="Bewertung" sheetId="1" r:id="rId2"/>
    <sheet name="Schlußkurse" sheetId="13" r:id="rId3"/>
    <sheet name="Buchwert_je_Aktie" sheetId="14" r:id="rId4"/>
    <sheet name="Ergebnis_je_Aktie_verwässert" sheetId="3" r:id="rId5"/>
    <sheet name="Dividende_je_Aktie" sheetId="15" r:id="rId6"/>
    <sheet name="Aktien_im_Umlauf_splitbereinigt" sheetId="10" r:id="rId7"/>
    <sheet name="KGV" sheetId="2" r:id="rId8"/>
    <sheet name="Dividendenrendite" sheetId="16" r:id="rId9"/>
    <sheet name="Ausschüttungsquote" sheetId="6" r:id="rId10"/>
    <sheet name="Bewertung_Stammdaten" sheetId="8" r:id="rId11"/>
    <sheet name="Bereinigung_offen" sheetId="12" r:id="rId12"/>
    <sheet name="Bereinigung" sheetId="9" r:id="rId13"/>
  </sheets>
  <definedNames>
    <definedName name="_xlnm._FilterDatabase" localSheetId="6" hidden="1">Aktien_im_Umlauf_splitbereinigt!$A$3:$Z$3</definedName>
    <definedName name="_xlnm._FilterDatabase" localSheetId="9" hidden="1">Ausschüttungsquote!$A$3:$X$3</definedName>
    <definedName name="_xlnm._FilterDatabase" localSheetId="12" hidden="1">Bereinigung!$A$1:$P$1</definedName>
    <definedName name="_xlnm._FilterDatabase" localSheetId="11" hidden="1">Bereinigung_offen!$A$2:$N$2</definedName>
    <definedName name="_xlnm._FilterDatabase" localSheetId="1">Bewertung!$A$2:$BJ$2</definedName>
    <definedName name="_xlnm._FilterDatabase" localSheetId="3" hidden="1">Buchwert_je_Aktie!$A$3:$AK$3</definedName>
    <definedName name="_xlnm._FilterDatabase" localSheetId="5" hidden="1">Dividende_je_Aktie!$A$3:$AM$3</definedName>
    <definedName name="_xlnm._FilterDatabase" localSheetId="8" hidden="1">Dividendenrendite!$A$3:$R$3</definedName>
    <definedName name="_xlnm._FilterDatabase" localSheetId="4" hidden="1">Ergebnis_je_Aktie_verwässert!$A$3:$AK$3</definedName>
    <definedName name="_xlnm._FilterDatabase" localSheetId="7" hidden="1">KGV!$A$3:$R$3</definedName>
    <definedName name="_xlnm._FilterDatabase" localSheetId="2" hidden="1">Schlußkurse!$A$5:$AU$70</definedName>
  </definedNames>
  <calcPr calcId="145621"/>
  <pivotCaches>
    <pivotCache cacheId="62" r:id="rId14"/>
    <pivotCache cacheId="63" r:id="rId15"/>
    <pivotCache cacheId="64" r:id="rId16"/>
    <pivotCache cacheId="65" r:id="rId17"/>
    <pivotCache cacheId="66" r:id="rId18"/>
    <pivotCache cacheId="67" r:id="rId19"/>
  </pivotCaches>
</workbook>
</file>

<file path=xl/calcChain.xml><?xml version="1.0" encoding="utf-8"?>
<calcChain xmlns="http://schemas.openxmlformats.org/spreadsheetml/2006/main">
  <c r="Y5" i="10" l="1"/>
  <c r="Y6" i="10"/>
  <c r="Y7" i="10"/>
  <c r="Y8" i="10"/>
  <c r="Y9" i="10"/>
  <c r="Y10" i="10"/>
  <c r="Y11" i="10"/>
  <c r="Y12" i="10"/>
  <c r="Y13" i="10"/>
  <c r="Y14" i="10"/>
  <c r="Y15" i="10"/>
  <c r="Y16" i="10"/>
  <c r="Y17" i="10"/>
  <c r="Y18" i="10"/>
  <c r="Y19" i="10"/>
  <c r="Y20" i="10"/>
  <c r="Y21" i="10"/>
  <c r="Y22" i="10"/>
  <c r="Y23" i="10"/>
  <c r="Y24" i="10"/>
  <c r="Y25" i="10"/>
  <c r="Y26" i="10"/>
  <c r="Y27" i="10"/>
  <c r="Y28" i="10"/>
  <c r="Y30" i="10"/>
  <c r="Y31" i="10"/>
  <c r="Y32" i="10"/>
  <c r="Y33" i="10"/>
  <c r="Y34" i="10"/>
  <c r="Y35" i="10"/>
  <c r="Y36" i="10"/>
  <c r="Y37" i="10"/>
  <c r="Y38" i="10"/>
  <c r="Y40" i="10"/>
  <c r="Y41" i="10"/>
  <c r="Y42" i="10"/>
  <c r="Y43" i="10"/>
  <c r="Y44" i="10"/>
  <c r="Y45" i="10"/>
  <c r="Y46" i="10"/>
  <c r="Y47" i="10"/>
  <c r="Y48" i="10"/>
  <c r="Y49" i="10"/>
  <c r="Y50" i="10"/>
  <c r="Y51" i="10"/>
  <c r="Y52" i="10"/>
  <c r="Y54" i="10"/>
  <c r="Y55" i="10"/>
  <c r="Y56" i="10"/>
  <c r="Y57" i="10"/>
  <c r="Y58" i="10"/>
  <c r="Y60" i="10"/>
  <c r="Y61" i="10"/>
  <c r="Y62" i="10"/>
  <c r="Y63" i="10"/>
  <c r="Y64" i="10"/>
  <c r="Y65" i="10"/>
  <c r="Y66" i="10"/>
  <c r="Y67" i="10"/>
  <c r="Y68" i="10"/>
  <c r="Y4" i="10"/>
  <c r="X5" i="10"/>
  <c r="X6" i="10"/>
  <c r="X7" i="10"/>
  <c r="X8" i="10"/>
  <c r="X9" i="10"/>
  <c r="X10" i="10"/>
  <c r="X11" i="10"/>
  <c r="X12" i="10"/>
  <c r="X13" i="10"/>
  <c r="X14" i="10"/>
  <c r="X15" i="10"/>
  <c r="X16" i="10"/>
  <c r="X17" i="10"/>
  <c r="X18" i="10"/>
  <c r="X19" i="10"/>
  <c r="X20" i="10"/>
  <c r="X21" i="10"/>
  <c r="X22" i="10"/>
  <c r="X23" i="10"/>
  <c r="X24" i="10"/>
  <c r="X25" i="10"/>
  <c r="X26" i="10"/>
  <c r="X27" i="10"/>
  <c r="X28" i="10"/>
  <c r="X30" i="10"/>
  <c r="X31" i="10"/>
  <c r="X32" i="10"/>
  <c r="X33" i="10"/>
  <c r="X34" i="10"/>
  <c r="X35" i="10"/>
  <c r="X36" i="10"/>
  <c r="X37" i="10"/>
  <c r="X38" i="10"/>
  <c r="X40" i="10"/>
  <c r="X41" i="10"/>
  <c r="X42" i="10"/>
  <c r="X43" i="10"/>
  <c r="X44" i="10"/>
  <c r="X45" i="10"/>
  <c r="X46" i="10"/>
  <c r="X47" i="10"/>
  <c r="X48" i="10"/>
  <c r="X49" i="10"/>
  <c r="X50" i="10"/>
  <c r="X51" i="10"/>
  <c r="X52" i="10"/>
  <c r="X54" i="10"/>
  <c r="X55" i="10"/>
  <c r="X56" i="10"/>
  <c r="X57" i="10"/>
  <c r="X58" i="10"/>
  <c r="X60" i="10"/>
  <c r="X61" i="10"/>
  <c r="X62" i="10"/>
  <c r="X63" i="10"/>
  <c r="X64" i="10"/>
  <c r="X65" i="10"/>
  <c r="X66" i="10"/>
  <c r="X67" i="10"/>
  <c r="X68" i="10"/>
  <c r="X4" i="10"/>
  <c r="W68" i="10"/>
  <c r="W67" i="10"/>
  <c r="W66" i="10"/>
  <c r="W65" i="10"/>
  <c r="W64" i="10"/>
  <c r="W63" i="10"/>
  <c r="W62" i="10"/>
  <c r="W61" i="10"/>
  <c r="W60" i="10"/>
  <c r="W59" i="10"/>
  <c r="W58" i="10"/>
  <c r="W57" i="10"/>
  <c r="W56" i="10"/>
  <c r="W55" i="10"/>
  <c r="W54" i="10"/>
  <c r="W53" i="10"/>
  <c r="W52" i="10"/>
  <c r="W51" i="10"/>
  <c r="W50" i="10"/>
  <c r="W49" i="10"/>
  <c r="W48" i="10"/>
  <c r="W47" i="10"/>
  <c r="W46" i="10"/>
  <c r="W45" i="10"/>
  <c r="W44" i="10"/>
  <c r="W43" i="10"/>
  <c r="W42" i="10"/>
  <c r="W41" i="10"/>
  <c r="W40" i="10"/>
  <c r="W39" i="10"/>
  <c r="W38" i="10"/>
  <c r="W37" i="10"/>
  <c r="W36" i="10"/>
  <c r="W35" i="10"/>
  <c r="W34" i="10"/>
  <c r="W33" i="10"/>
  <c r="W32" i="10"/>
  <c r="W31" i="10"/>
  <c r="W30" i="10"/>
  <c r="W29" i="10"/>
  <c r="W28" i="10"/>
  <c r="W27" i="10"/>
  <c r="W26" i="10"/>
  <c r="W25" i="10"/>
  <c r="W24" i="10"/>
  <c r="W23" i="10"/>
  <c r="W22" i="10"/>
  <c r="W21" i="10"/>
  <c r="W20" i="10"/>
  <c r="W19" i="10"/>
  <c r="W18" i="10"/>
  <c r="W17" i="10"/>
  <c r="W16" i="10"/>
  <c r="W15" i="10"/>
  <c r="W14" i="10"/>
  <c r="W13" i="10"/>
  <c r="W12" i="10"/>
  <c r="W11" i="10"/>
  <c r="W10" i="10"/>
  <c r="W9" i="10"/>
  <c r="W8" i="10"/>
  <c r="W7" i="10"/>
  <c r="W6" i="10"/>
  <c r="W5" i="10"/>
  <c r="W4" i="10"/>
  <c r="V68" i="10"/>
  <c r="V67" i="10"/>
  <c r="V66" i="10"/>
  <c r="V65" i="10"/>
  <c r="V64" i="10"/>
  <c r="V63" i="10"/>
  <c r="V62" i="10"/>
  <c r="V61" i="10"/>
  <c r="V60" i="10"/>
  <c r="V59" i="10"/>
  <c r="V58" i="10"/>
  <c r="V57" i="10"/>
  <c r="V56" i="10"/>
  <c r="V55" i="10"/>
  <c r="V54" i="10"/>
  <c r="V53" i="10"/>
  <c r="V52" i="10"/>
  <c r="V51" i="10"/>
  <c r="V50" i="10"/>
  <c r="V49" i="10"/>
  <c r="V48" i="10"/>
  <c r="V47" i="10"/>
  <c r="V46" i="10"/>
  <c r="V45" i="10"/>
  <c r="V44" i="10"/>
  <c r="V43" i="10"/>
  <c r="V42" i="10"/>
  <c r="V41" i="10"/>
  <c r="V40" i="10"/>
  <c r="V39" i="10"/>
  <c r="V38" i="10"/>
  <c r="V37" i="10"/>
  <c r="V36" i="10"/>
  <c r="V35" i="10"/>
  <c r="V34" i="10"/>
  <c r="V33" i="10"/>
  <c r="V32" i="10"/>
  <c r="V31" i="10"/>
  <c r="V30" i="10"/>
  <c r="V29" i="10"/>
  <c r="V28" i="10"/>
  <c r="V27" i="10"/>
  <c r="V26" i="10"/>
  <c r="V25" i="10"/>
  <c r="V24" i="10"/>
  <c r="V23" i="10"/>
  <c r="V22" i="10"/>
  <c r="V21" i="10"/>
  <c r="V20" i="10"/>
  <c r="V19" i="10"/>
  <c r="V18" i="10"/>
  <c r="V17" i="10"/>
  <c r="V16" i="10"/>
  <c r="V15" i="10"/>
  <c r="V14" i="10"/>
  <c r="V13" i="10"/>
  <c r="V12" i="10"/>
  <c r="V11" i="10"/>
  <c r="V10" i="10"/>
  <c r="V9" i="10"/>
  <c r="V8" i="10"/>
  <c r="V7" i="10"/>
  <c r="V6" i="10"/>
  <c r="V5" i="10"/>
  <c r="V4" i="10"/>
  <c r="U68" i="10"/>
  <c r="U67" i="10"/>
  <c r="U66" i="10"/>
  <c r="U65" i="10"/>
  <c r="U64" i="10"/>
  <c r="U63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U12" i="10"/>
  <c r="U11" i="10"/>
  <c r="U10" i="10"/>
  <c r="U9" i="10"/>
  <c r="U8" i="10"/>
  <c r="U7" i="10"/>
  <c r="U6" i="10"/>
  <c r="U5" i="10"/>
  <c r="U4" i="10"/>
  <c r="T68" i="10"/>
  <c r="T67" i="10"/>
  <c r="T66" i="10"/>
  <c r="T65" i="10"/>
  <c r="T64" i="10"/>
  <c r="T63" i="10"/>
  <c r="T62" i="10"/>
  <c r="T61" i="10"/>
  <c r="T60" i="10"/>
  <c r="T59" i="10"/>
  <c r="T58" i="10"/>
  <c r="T57" i="10"/>
  <c r="T56" i="10"/>
  <c r="T55" i="10"/>
  <c r="T54" i="10"/>
  <c r="T53" i="10"/>
  <c r="T52" i="10"/>
  <c r="T51" i="10"/>
  <c r="T50" i="10"/>
  <c r="T49" i="10"/>
  <c r="T48" i="10"/>
  <c r="T47" i="10"/>
  <c r="T46" i="10"/>
  <c r="T45" i="10"/>
  <c r="T44" i="10"/>
  <c r="T43" i="10"/>
  <c r="T42" i="10"/>
  <c r="T41" i="10"/>
  <c r="T40" i="10"/>
  <c r="T39" i="10"/>
  <c r="T38" i="10"/>
  <c r="T37" i="10"/>
  <c r="T36" i="10"/>
  <c r="T35" i="10"/>
  <c r="T34" i="10"/>
  <c r="T33" i="10"/>
  <c r="T32" i="10"/>
  <c r="T31" i="10"/>
  <c r="T30" i="10"/>
  <c r="T29" i="10"/>
  <c r="T28" i="10"/>
  <c r="T27" i="10"/>
  <c r="T26" i="10"/>
  <c r="T25" i="10"/>
  <c r="T24" i="10"/>
  <c r="T23" i="10"/>
  <c r="T22" i="10"/>
  <c r="T21" i="10"/>
  <c r="T20" i="10"/>
  <c r="T19" i="10"/>
  <c r="T18" i="10"/>
  <c r="T17" i="10"/>
  <c r="T16" i="10"/>
  <c r="T15" i="10"/>
  <c r="T14" i="10"/>
  <c r="T13" i="10"/>
  <c r="T12" i="10"/>
  <c r="T11" i="10"/>
  <c r="T10" i="10"/>
  <c r="T9" i="10"/>
  <c r="T8" i="10"/>
  <c r="T7" i="10"/>
  <c r="T6" i="10"/>
  <c r="T5" i="10"/>
  <c r="T4" i="10"/>
  <c r="S68" i="10"/>
  <c r="S67" i="10"/>
  <c r="S66" i="10"/>
  <c r="S65" i="10"/>
  <c r="S64" i="10"/>
  <c r="S63" i="10"/>
  <c r="S62" i="10"/>
  <c r="S61" i="10"/>
  <c r="S60" i="10"/>
  <c r="S59" i="10"/>
  <c r="S58" i="10"/>
  <c r="S57" i="10"/>
  <c r="S56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30" i="10"/>
  <c r="S29" i="10"/>
  <c r="S28" i="10"/>
  <c r="S27" i="10"/>
  <c r="S26" i="10"/>
  <c r="S25" i="10"/>
  <c r="S24" i="10"/>
  <c r="S23" i="10"/>
  <c r="S22" i="10"/>
  <c r="S21" i="10"/>
  <c r="S20" i="10"/>
  <c r="S19" i="10"/>
  <c r="S18" i="10"/>
  <c r="S17" i="10"/>
  <c r="S16" i="10"/>
  <c r="S15" i="10"/>
  <c r="S14" i="10"/>
  <c r="S13" i="10"/>
  <c r="S12" i="10"/>
  <c r="S11" i="10"/>
  <c r="S10" i="10"/>
  <c r="S9" i="10"/>
  <c r="S8" i="10"/>
  <c r="S7" i="10"/>
  <c r="S6" i="10"/>
  <c r="S5" i="10"/>
  <c r="S4" i="10"/>
  <c r="R68" i="10"/>
  <c r="R67" i="10"/>
  <c r="R66" i="10"/>
  <c r="R65" i="10"/>
  <c r="R64" i="10"/>
  <c r="R63" i="10"/>
  <c r="R62" i="10"/>
  <c r="R61" i="10"/>
  <c r="R60" i="10"/>
  <c r="R59" i="10"/>
  <c r="R58" i="10"/>
  <c r="R57" i="10"/>
  <c r="R56" i="10"/>
  <c r="R55" i="10"/>
  <c r="R54" i="10"/>
  <c r="R53" i="10"/>
  <c r="R52" i="10"/>
  <c r="R51" i="10"/>
  <c r="R50" i="10"/>
  <c r="R49" i="10"/>
  <c r="R48" i="10"/>
  <c r="R47" i="10"/>
  <c r="R46" i="10"/>
  <c r="R45" i="10"/>
  <c r="R44" i="10"/>
  <c r="R43" i="10"/>
  <c r="R42" i="10"/>
  <c r="R41" i="10"/>
  <c r="R40" i="10"/>
  <c r="R39" i="10"/>
  <c r="R38" i="10"/>
  <c r="R37" i="10"/>
  <c r="R36" i="10"/>
  <c r="R35" i="10"/>
  <c r="R34" i="10"/>
  <c r="R33" i="10"/>
  <c r="R32" i="10"/>
  <c r="R31" i="10"/>
  <c r="R30" i="10"/>
  <c r="R29" i="10"/>
  <c r="R28" i="10"/>
  <c r="R27" i="10"/>
  <c r="R26" i="10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R9" i="10"/>
  <c r="R8" i="10"/>
  <c r="R7" i="10"/>
  <c r="R6" i="10"/>
  <c r="R5" i="10"/>
  <c r="R4" i="10"/>
  <c r="Q68" i="10"/>
  <c r="Q67" i="10"/>
  <c r="Q66" i="10"/>
  <c r="Q65" i="10"/>
  <c r="Q64" i="10"/>
  <c r="Q63" i="10"/>
  <c r="Q62" i="10"/>
  <c r="Q61" i="10"/>
  <c r="Q60" i="10"/>
  <c r="Q59" i="10"/>
  <c r="Q58" i="10"/>
  <c r="Q57" i="10"/>
  <c r="Q56" i="10"/>
  <c r="Q55" i="10"/>
  <c r="Q54" i="10"/>
  <c r="Q53" i="10"/>
  <c r="Q52" i="10"/>
  <c r="Q51" i="10"/>
  <c r="Q50" i="10"/>
  <c r="Q49" i="10"/>
  <c r="Q48" i="10"/>
  <c r="Q47" i="10"/>
  <c r="Q46" i="10"/>
  <c r="Q45" i="10"/>
  <c r="Q44" i="10"/>
  <c r="Q43" i="10"/>
  <c r="Q42" i="10"/>
  <c r="Q41" i="10"/>
  <c r="Q40" i="10"/>
  <c r="Q39" i="10"/>
  <c r="Q38" i="10"/>
  <c r="Q37" i="10"/>
  <c r="Q36" i="10"/>
  <c r="Q35" i="10"/>
  <c r="Q34" i="10"/>
  <c r="Q33" i="10"/>
  <c r="Q32" i="10"/>
  <c r="Q31" i="10"/>
  <c r="Q30" i="10"/>
  <c r="Q29" i="10"/>
  <c r="Q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  <c r="Q7" i="10"/>
  <c r="Q6" i="10"/>
  <c r="Q5" i="10"/>
  <c r="Q4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P7" i="10"/>
  <c r="P6" i="10"/>
  <c r="P5" i="10"/>
  <c r="P4" i="10"/>
  <c r="O68" i="10"/>
  <c r="O67" i="10"/>
  <c r="O66" i="10"/>
  <c r="O65" i="10"/>
  <c r="O64" i="10"/>
  <c r="O63" i="10"/>
  <c r="O62" i="10"/>
  <c r="O61" i="10"/>
  <c r="O60" i="10"/>
  <c r="O59" i="10"/>
  <c r="X59" i="10" s="1"/>
  <c r="Y59" i="10" s="1"/>
  <c r="O58" i="10"/>
  <c r="O57" i="10"/>
  <c r="O56" i="10"/>
  <c r="O55" i="10"/>
  <c r="O54" i="10"/>
  <c r="O53" i="10"/>
  <c r="O52" i="10"/>
  <c r="O51" i="10"/>
  <c r="O50" i="10"/>
  <c r="O49" i="10"/>
  <c r="O48" i="10"/>
  <c r="O47" i="10"/>
  <c r="O46" i="10"/>
  <c r="O45" i="10"/>
  <c r="O44" i="10"/>
  <c r="O43" i="10"/>
  <c r="O42" i="10"/>
  <c r="O41" i="10"/>
  <c r="O40" i="10"/>
  <c r="O39" i="10"/>
  <c r="O38" i="10"/>
  <c r="O37" i="10"/>
  <c r="O36" i="10"/>
  <c r="O35" i="10"/>
  <c r="O34" i="10"/>
  <c r="O33" i="10"/>
  <c r="O32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14" i="10"/>
  <c r="O13" i="10"/>
  <c r="O12" i="10"/>
  <c r="O11" i="10"/>
  <c r="O10" i="10"/>
  <c r="O9" i="10"/>
  <c r="O8" i="10"/>
  <c r="O7" i="10"/>
  <c r="O6" i="10"/>
  <c r="O5" i="10"/>
  <c r="O4" i="10"/>
  <c r="N5" i="10"/>
  <c r="N6" i="10"/>
  <c r="N7" i="10"/>
  <c r="N8" i="10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X39" i="10" s="1"/>
  <c r="Y39" i="10" s="1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N59" i="10"/>
  <c r="N60" i="10"/>
  <c r="N61" i="10"/>
  <c r="N62" i="10"/>
  <c r="N63" i="10"/>
  <c r="N64" i="10"/>
  <c r="N65" i="10"/>
  <c r="N66" i="10"/>
  <c r="N67" i="10"/>
  <c r="N68" i="10"/>
  <c r="N4" i="10"/>
  <c r="X29" i="10" l="1"/>
  <c r="Y29" i="10" s="1"/>
  <c r="X53" i="10"/>
  <c r="Y53" i="10" s="1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R8" i="6"/>
  <c r="R7" i="6"/>
  <c r="R6" i="6"/>
  <c r="R5" i="6"/>
  <c r="R4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P5" i="6"/>
  <c r="P4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K68" i="6"/>
  <c r="K67" i="6"/>
  <c r="K66" i="6"/>
  <c r="K65" i="6"/>
  <c r="K64" i="6"/>
  <c r="K63" i="6"/>
  <c r="K62" i="6"/>
  <c r="K61" i="6"/>
  <c r="K60" i="6"/>
  <c r="K59" i="6"/>
  <c r="K58" i="6"/>
  <c r="K57" i="6"/>
  <c r="K56" i="6"/>
  <c r="K55" i="6"/>
  <c r="K54" i="6"/>
  <c r="K53" i="6"/>
  <c r="K52" i="6"/>
  <c r="K51" i="6"/>
  <c r="K50" i="6"/>
  <c r="K49" i="6"/>
  <c r="K48" i="6"/>
  <c r="K47" i="6"/>
  <c r="K46" i="6"/>
  <c r="K45" i="6"/>
  <c r="K44" i="6"/>
  <c r="K43" i="6"/>
  <c r="K42" i="6"/>
  <c r="K41" i="6"/>
  <c r="K40" i="6"/>
  <c r="K39" i="6"/>
  <c r="K38" i="6"/>
  <c r="K37" i="6"/>
  <c r="K36" i="6"/>
  <c r="K35" i="6"/>
  <c r="K34" i="6"/>
  <c r="K33" i="6"/>
  <c r="K32" i="6"/>
  <c r="K31" i="6"/>
  <c r="K30" i="6"/>
  <c r="K29" i="6"/>
  <c r="K28" i="6"/>
  <c r="K27" i="6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S67" i="6" l="1"/>
  <c r="S63" i="6"/>
  <c r="S59" i="6"/>
  <c r="S55" i="6"/>
  <c r="S51" i="6"/>
  <c r="S65" i="6"/>
  <c r="S57" i="6"/>
  <c r="S53" i="6"/>
  <c r="S29" i="6"/>
  <c r="S21" i="6"/>
  <c r="S5" i="6"/>
  <c r="S47" i="6"/>
  <c r="S43" i="6"/>
  <c r="S39" i="6"/>
  <c r="S35" i="6"/>
  <c r="S31" i="6"/>
  <c r="S27" i="6"/>
  <c r="S23" i="6"/>
  <c r="S19" i="6"/>
  <c r="S15" i="6"/>
  <c r="S11" i="6"/>
  <c r="S7" i="6"/>
  <c r="S61" i="6"/>
  <c r="S45" i="6"/>
  <c r="S41" i="6"/>
  <c r="S33" i="6"/>
  <c r="S25" i="6"/>
  <c r="S17" i="6"/>
  <c r="S9" i="6"/>
  <c r="S49" i="6"/>
  <c r="S37" i="6"/>
  <c r="S13" i="6"/>
  <c r="S66" i="6"/>
  <c r="S62" i="6"/>
  <c r="S58" i="6"/>
  <c r="S54" i="6"/>
  <c r="S50" i="6"/>
  <c r="S46" i="6"/>
  <c r="S42" i="6"/>
  <c r="S38" i="6"/>
  <c r="S34" i="6"/>
  <c r="S30" i="6"/>
  <c r="S26" i="6"/>
  <c r="S22" i="6"/>
  <c r="S18" i="6"/>
  <c r="S14" i="6"/>
  <c r="S10" i="6"/>
  <c r="S6" i="6"/>
  <c r="S68" i="6"/>
  <c r="S64" i="6"/>
  <c r="S60" i="6"/>
  <c r="S56" i="6"/>
  <c r="S52" i="6"/>
  <c r="S48" i="6"/>
  <c r="S44" i="6"/>
  <c r="S40" i="6"/>
  <c r="S36" i="6"/>
  <c r="S32" i="6"/>
  <c r="S28" i="6"/>
  <c r="S24" i="6"/>
  <c r="S20" i="6"/>
  <c r="S16" i="6"/>
  <c r="S12" i="6"/>
  <c r="S8" i="6"/>
  <c r="S4" i="6"/>
  <c r="AM1" i="1"/>
  <c r="D7" i="8" l="1"/>
  <c r="AU70" i="13" l="1"/>
  <c r="AT70" i="13"/>
  <c r="AS70" i="13"/>
  <c r="AR70" i="13"/>
  <c r="AQ70" i="13"/>
  <c r="AP70" i="13"/>
  <c r="AO70" i="13"/>
  <c r="AN70" i="13"/>
  <c r="AM70" i="13"/>
  <c r="AL70" i="13"/>
  <c r="AK70" i="13"/>
  <c r="AJ70" i="13"/>
  <c r="AI70" i="13"/>
  <c r="AU69" i="13"/>
  <c r="AT69" i="13"/>
  <c r="AS69" i="13"/>
  <c r="AR69" i="13"/>
  <c r="AQ69" i="13"/>
  <c r="AP69" i="13"/>
  <c r="AO69" i="13"/>
  <c r="AN69" i="13"/>
  <c r="AM69" i="13"/>
  <c r="AL69" i="13"/>
  <c r="AK69" i="13"/>
  <c r="AJ69" i="13"/>
  <c r="AI69" i="13"/>
  <c r="AU68" i="13"/>
  <c r="AT68" i="13"/>
  <c r="AS68" i="13"/>
  <c r="AR68" i="13"/>
  <c r="AQ68" i="13"/>
  <c r="AP68" i="13"/>
  <c r="AO68" i="13"/>
  <c r="AN68" i="13"/>
  <c r="AM68" i="13"/>
  <c r="AL68" i="13"/>
  <c r="AK68" i="13"/>
  <c r="AJ68" i="13"/>
  <c r="AI68" i="13"/>
  <c r="AU67" i="13"/>
  <c r="AT67" i="13"/>
  <c r="AS67" i="13"/>
  <c r="AR67" i="13"/>
  <c r="AQ67" i="13"/>
  <c r="AP67" i="13"/>
  <c r="AO67" i="13"/>
  <c r="AN67" i="13"/>
  <c r="AM67" i="13"/>
  <c r="AL67" i="13"/>
  <c r="AK67" i="13"/>
  <c r="AJ67" i="13"/>
  <c r="AI67" i="13"/>
  <c r="AU66" i="13"/>
  <c r="AT66" i="13"/>
  <c r="AS66" i="13"/>
  <c r="AR66" i="13"/>
  <c r="AQ66" i="13"/>
  <c r="AP66" i="13"/>
  <c r="AO66" i="13"/>
  <c r="AN66" i="13"/>
  <c r="AM66" i="13"/>
  <c r="AL66" i="13"/>
  <c r="AK66" i="13"/>
  <c r="AJ66" i="13"/>
  <c r="AI66" i="13"/>
  <c r="AU65" i="13"/>
  <c r="AT65" i="13"/>
  <c r="AS65" i="13"/>
  <c r="AR65" i="13"/>
  <c r="AQ65" i="13"/>
  <c r="AP65" i="13"/>
  <c r="AO65" i="13"/>
  <c r="AN65" i="13"/>
  <c r="AM65" i="13"/>
  <c r="AL65" i="13"/>
  <c r="AK65" i="13"/>
  <c r="AJ65" i="13"/>
  <c r="AI65" i="13"/>
  <c r="AU64" i="13"/>
  <c r="AT64" i="13"/>
  <c r="AS64" i="13"/>
  <c r="AR64" i="13"/>
  <c r="AQ64" i="13"/>
  <c r="AP64" i="13"/>
  <c r="AO64" i="13"/>
  <c r="AN64" i="13"/>
  <c r="AM64" i="13"/>
  <c r="AL64" i="13"/>
  <c r="AK64" i="13"/>
  <c r="AJ64" i="13"/>
  <c r="AI64" i="13"/>
  <c r="AU63" i="13"/>
  <c r="AT63" i="13"/>
  <c r="AS63" i="13"/>
  <c r="AR63" i="13"/>
  <c r="AQ63" i="13"/>
  <c r="AP63" i="13"/>
  <c r="AO63" i="13"/>
  <c r="AN63" i="13"/>
  <c r="AM63" i="13"/>
  <c r="AL63" i="13"/>
  <c r="AK63" i="13"/>
  <c r="AJ63" i="13"/>
  <c r="AI63" i="13"/>
  <c r="AU62" i="13"/>
  <c r="AT62" i="13"/>
  <c r="AS62" i="13"/>
  <c r="AR62" i="13"/>
  <c r="AQ62" i="13"/>
  <c r="AP62" i="13"/>
  <c r="AO62" i="13"/>
  <c r="AN62" i="13"/>
  <c r="AM62" i="13"/>
  <c r="AL62" i="13"/>
  <c r="AK62" i="13"/>
  <c r="AJ62" i="13"/>
  <c r="AI62" i="13"/>
  <c r="AU61" i="13"/>
  <c r="AT61" i="13"/>
  <c r="AS61" i="13"/>
  <c r="AR61" i="13"/>
  <c r="AQ61" i="13"/>
  <c r="AP61" i="13"/>
  <c r="AO61" i="13"/>
  <c r="AN61" i="13"/>
  <c r="AM61" i="13"/>
  <c r="AL61" i="13"/>
  <c r="AK61" i="13"/>
  <c r="AJ61" i="13"/>
  <c r="AI61" i="13"/>
  <c r="AU60" i="13"/>
  <c r="AT60" i="13"/>
  <c r="AS60" i="13"/>
  <c r="AR60" i="13"/>
  <c r="AQ60" i="13"/>
  <c r="AP60" i="13"/>
  <c r="AO60" i="13"/>
  <c r="AN60" i="13"/>
  <c r="AM60" i="13"/>
  <c r="AL60" i="13"/>
  <c r="AK60" i="13"/>
  <c r="AJ60" i="13"/>
  <c r="AI60" i="13"/>
  <c r="AU59" i="13"/>
  <c r="AT59" i="13"/>
  <c r="AS59" i="13"/>
  <c r="AR59" i="13"/>
  <c r="AQ59" i="13"/>
  <c r="AP59" i="13"/>
  <c r="AO59" i="13"/>
  <c r="AN59" i="13"/>
  <c r="AM59" i="13"/>
  <c r="AL59" i="13"/>
  <c r="AK59" i="13"/>
  <c r="AJ59" i="13"/>
  <c r="AI59" i="13"/>
  <c r="AU58" i="13"/>
  <c r="AT58" i="13"/>
  <c r="AS58" i="13"/>
  <c r="AR58" i="13"/>
  <c r="AQ58" i="13"/>
  <c r="AP58" i="13"/>
  <c r="AO58" i="13"/>
  <c r="AN58" i="13"/>
  <c r="AM58" i="13"/>
  <c r="AL58" i="13"/>
  <c r="AK58" i="13"/>
  <c r="AJ58" i="13"/>
  <c r="AI58" i="13"/>
  <c r="AU57" i="13"/>
  <c r="AT57" i="13"/>
  <c r="AS57" i="13"/>
  <c r="AR57" i="13"/>
  <c r="AQ57" i="13"/>
  <c r="AP57" i="13"/>
  <c r="AO57" i="13"/>
  <c r="AN57" i="13"/>
  <c r="AM57" i="13"/>
  <c r="AL57" i="13"/>
  <c r="AK57" i="13"/>
  <c r="AJ57" i="13"/>
  <c r="AI57" i="13"/>
  <c r="AU56" i="13"/>
  <c r="AT56" i="13"/>
  <c r="AS56" i="13"/>
  <c r="AR56" i="13"/>
  <c r="AQ56" i="13"/>
  <c r="AP56" i="13"/>
  <c r="AO56" i="13"/>
  <c r="AN56" i="13"/>
  <c r="AM56" i="13"/>
  <c r="AL56" i="13"/>
  <c r="AK56" i="13"/>
  <c r="AJ56" i="13"/>
  <c r="AI56" i="13"/>
  <c r="AU55" i="13"/>
  <c r="AT55" i="13"/>
  <c r="AS55" i="13"/>
  <c r="AR55" i="13"/>
  <c r="AQ55" i="13"/>
  <c r="AP55" i="13"/>
  <c r="AO55" i="13"/>
  <c r="AN55" i="13"/>
  <c r="AM55" i="13"/>
  <c r="AL55" i="13"/>
  <c r="AK55" i="13"/>
  <c r="AJ55" i="13"/>
  <c r="AI55" i="13"/>
  <c r="AU54" i="13"/>
  <c r="AT54" i="13"/>
  <c r="AS54" i="13"/>
  <c r="AR54" i="13"/>
  <c r="AQ54" i="13"/>
  <c r="AP54" i="13"/>
  <c r="AO54" i="13"/>
  <c r="AN54" i="13"/>
  <c r="AM54" i="13"/>
  <c r="AL54" i="13"/>
  <c r="AK54" i="13"/>
  <c r="AJ54" i="13"/>
  <c r="AI54" i="13"/>
  <c r="AU53" i="13"/>
  <c r="AT53" i="13"/>
  <c r="AS53" i="13"/>
  <c r="AR53" i="13"/>
  <c r="AQ53" i="13"/>
  <c r="AP53" i="13"/>
  <c r="AO53" i="13"/>
  <c r="AN53" i="13"/>
  <c r="AM53" i="13"/>
  <c r="AL53" i="13"/>
  <c r="AK53" i="13"/>
  <c r="AJ53" i="13"/>
  <c r="AI53" i="13"/>
  <c r="AU52" i="13"/>
  <c r="AT52" i="13"/>
  <c r="AS52" i="13"/>
  <c r="AR52" i="13"/>
  <c r="AQ52" i="13"/>
  <c r="AP52" i="13"/>
  <c r="AO52" i="13"/>
  <c r="AN52" i="13"/>
  <c r="AM52" i="13"/>
  <c r="AL52" i="13"/>
  <c r="AK52" i="13"/>
  <c r="AJ52" i="13"/>
  <c r="AI52" i="13"/>
  <c r="AU51" i="13"/>
  <c r="AT51" i="13"/>
  <c r="AS51" i="13"/>
  <c r="AR51" i="13"/>
  <c r="AQ51" i="13"/>
  <c r="AP51" i="13"/>
  <c r="AO51" i="13"/>
  <c r="AN51" i="13"/>
  <c r="AM51" i="13"/>
  <c r="AL51" i="13"/>
  <c r="AK51" i="13"/>
  <c r="AJ51" i="13"/>
  <c r="AI51" i="13"/>
  <c r="AU50" i="13"/>
  <c r="AT50" i="13"/>
  <c r="AS50" i="13"/>
  <c r="AR50" i="13"/>
  <c r="AQ50" i="13"/>
  <c r="AP50" i="13"/>
  <c r="AO50" i="13"/>
  <c r="AN50" i="13"/>
  <c r="AM50" i="13"/>
  <c r="AL50" i="13"/>
  <c r="AK50" i="13"/>
  <c r="AJ50" i="13"/>
  <c r="AI50" i="13"/>
  <c r="AU49" i="13"/>
  <c r="AT49" i="13"/>
  <c r="AS49" i="13"/>
  <c r="AR49" i="13"/>
  <c r="AQ49" i="13"/>
  <c r="AP49" i="13"/>
  <c r="AO49" i="13"/>
  <c r="AN49" i="13"/>
  <c r="AM49" i="13"/>
  <c r="AL49" i="13"/>
  <c r="AK49" i="13"/>
  <c r="AJ49" i="13"/>
  <c r="AI49" i="13"/>
  <c r="AU48" i="13"/>
  <c r="AT48" i="13"/>
  <c r="AS48" i="13"/>
  <c r="AR48" i="13"/>
  <c r="AQ48" i="13"/>
  <c r="AP48" i="13"/>
  <c r="AO48" i="13"/>
  <c r="AN48" i="13"/>
  <c r="AM48" i="13"/>
  <c r="AL48" i="13"/>
  <c r="AK48" i="13"/>
  <c r="AJ48" i="13"/>
  <c r="AI48" i="13"/>
  <c r="AU47" i="13"/>
  <c r="AT47" i="13"/>
  <c r="AS47" i="13"/>
  <c r="AR47" i="13"/>
  <c r="AQ47" i="13"/>
  <c r="AP47" i="13"/>
  <c r="AO47" i="13"/>
  <c r="AN47" i="13"/>
  <c r="AM47" i="13"/>
  <c r="AL47" i="13"/>
  <c r="AK47" i="13"/>
  <c r="AJ47" i="13"/>
  <c r="AI47" i="13"/>
  <c r="AU46" i="13"/>
  <c r="AT46" i="13"/>
  <c r="AS46" i="13"/>
  <c r="AR46" i="13"/>
  <c r="AQ46" i="13"/>
  <c r="AP46" i="13"/>
  <c r="AO46" i="13"/>
  <c r="AN46" i="13"/>
  <c r="AM46" i="13"/>
  <c r="AL46" i="13"/>
  <c r="AK46" i="13"/>
  <c r="AJ46" i="13"/>
  <c r="AI46" i="13"/>
  <c r="AU45" i="13"/>
  <c r="AT45" i="13"/>
  <c r="AS45" i="13"/>
  <c r="AR45" i="13"/>
  <c r="AQ45" i="13"/>
  <c r="AP45" i="13"/>
  <c r="AO45" i="13"/>
  <c r="AN45" i="13"/>
  <c r="AM45" i="13"/>
  <c r="AL45" i="13"/>
  <c r="AK45" i="13"/>
  <c r="AJ45" i="13"/>
  <c r="AI45" i="13"/>
  <c r="AU44" i="13"/>
  <c r="AT44" i="13"/>
  <c r="AS44" i="13"/>
  <c r="AR44" i="13"/>
  <c r="AQ44" i="13"/>
  <c r="AP44" i="13"/>
  <c r="AO44" i="13"/>
  <c r="AN44" i="13"/>
  <c r="AM44" i="13"/>
  <c r="AL44" i="13"/>
  <c r="AK44" i="13"/>
  <c r="AJ44" i="13"/>
  <c r="AI44" i="13"/>
  <c r="AU43" i="13"/>
  <c r="AT43" i="13"/>
  <c r="AS43" i="13"/>
  <c r="AR43" i="13"/>
  <c r="AQ43" i="13"/>
  <c r="AP43" i="13"/>
  <c r="AO43" i="13"/>
  <c r="AN43" i="13"/>
  <c r="AM43" i="13"/>
  <c r="AL43" i="13"/>
  <c r="AK43" i="13"/>
  <c r="AJ43" i="13"/>
  <c r="AI43" i="13"/>
  <c r="AU42" i="13"/>
  <c r="AT42" i="13"/>
  <c r="AS42" i="13"/>
  <c r="AR42" i="13"/>
  <c r="AQ42" i="13"/>
  <c r="AP42" i="13"/>
  <c r="AO42" i="13"/>
  <c r="AN42" i="13"/>
  <c r="AM42" i="13"/>
  <c r="AL42" i="13"/>
  <c r="AK42" i="13"/>
  <c r="AJ42" i="13"/>
  <c r="AI42" i="13"/>
  <c r="AU41" i="13"/>
  <c r="AT41" i="13"/>
  <c r="AS41" i="13"/>
  <c r="AR41" i="13"/>
  <c r="AQ41" i="13"/>
  <c r="AP41" i="13"/>
  <c r="AO41" i="13"/>
  <c r="AN41" i="13"/>
  <c r="AM41" i="13"/>
  <c r="AL41" i="13"/>
  <c r="AK41" i="13"/>
  <c r="AJ41" i="13"/>
  <c r="AI41" i="13"/>
  <c r="AU40" i="13"/>
  <c r="AT40" i="13"/>
  <c r="AS40" i="13"/>
  <c r="AR40" i="13"/>
  <c r="AQ40" i="13"/>
  <c r="AP40" i="13"/>
  <c r="AO40" i="13"/>
  <c r="AN40" i="13"/>
  <c r="AM40" i="13"/>
  <c r="AL40" i="13"/>
  <c r="AK40" i="13"/>
  <c r="AJ40" i="13"/>
  <c r="AI40" i="13"/>
  <c r="AU39" i="13"/>
  <c r="AT39" i="13"/>
  <c r="AS39" i="13"/>
  <c r="AR39" i="13"/>
  <c r="AQ39" i="13"/>
  <c r="AP39" i="13"/>
  <c r="AO39" i="13"/>
  <c r="AN39" i="13"/>
  <c r="AM39" i="13"/>
  <c r="AL39" i="13"/>
  <c r="AK39" i="13"/>
  <c r="AJ39" i="13"/>
  <c r="AI39" i="13"/>
  <c r="AU38" i="13"/>
  <c r="AT38" i="13"/>
  <c r="AS38" i="13"/>
  <c r="AR38" i="13"/>
  <c r="AQ38" i="13"/>
  <c r="AP38" i="13"/>
  <c r="AO38" i="13"/>
  <c r="AN38" i="13"/>
  <c r="AM38" i="13"/>
  <c r="AL38" i="13"/>
  <c r="AK38" i="13"/>
  <c r="AJ38" i="13"/>
  <c r="AI38" i="13"/>
  <c r="AU37" i="13"/>
  <c r="AT37" i="13"/>
  <c r="AS37" i="13"/>
  <c r="AR37" i="13"/>
  <c r="AQ37" i="13"/>
  <c r="AP37" i="13"/>
  <c r="AO37" i="13"/>
  <c r="AN37" i="13"/>
  <c r="AM37" i="13"/>
  <c r="AL37" i="13"/>
  <c r="AK37" i="13"/>
  <c r="AJ37" i="13"/>
  <c r="AI37" i="13"/>
  <c r="AU36" i="13"/>
  <c r="AT36" i="13"/>
  <c r="AS36" i="13"/>
  <c r="AR36" i="13"/>
  <c r="AQ36" i="13"/>
  <c r="AP36" i="13"/>
  <c r="AO36" i="13"/>
  <c r="AN36" i="13"/>
  <c r="AM36" i="13"/>
  <c r="AL36" i="13"/>
  <c r="AK36" i="13"/>
  <c r="AJ36" i="13"/>
  <c r="AI36" i="13"/>
  <c r="AU35" i="13"/>
  <c r="AT35" i="13"/>
  <c r="AS35" i="13"/>
  <c r="AR35" i="13"/>
  <c r="AQ35" i="13"/>
  <c r="AP35" i="13"/>
  <c r="AO35" i="13"/>
  <c r="AN35" i="13"/>
  <c r="AM35" i="13"/>
  <c r="AL35" i="13"/>
  <c r="AK35" i="13"/>
  <c r="AJ35" i="13"/>
  <c r="AI35" i="13"/>
  <c r="AU34" i="13"/>
  <c r="AT34" i="13"/>
  <c r="AS34" i="13"/>
  <c r="AR34" i="13"/>
  <c r="AQ34" i="13"/>
  <c r="AP34" i="13"/>
  <c r="AO34" i="13"/>
  <c r="AN34" i="13"/>
  <c r="AM34" i="13"/>
  <c r="AL34" i="13"/>
  <c r="AK34" i="13"/>
  <c r="AJ34" i="13"/>
  <c r="AI34" i="13"/>
  <c r="AU33" i="13"/>
  <c r="AT33" i="13"/>
  <c r="AS33" i="13"/>
  <c r="AR33" i="13"/>
  <c r="AQ33" i="13"/>
  <c r="AP33" i="13"/>
  <c r="AO33" i="13"/>
  <c r="AN33" i="13"/>
  <c r="AM33" i="13"/>
  <c r="AL33" i="13"/>
  <c r="AK33" i="13"/>
  <c r="AJ33" i="13"/>
  <c r="AI33" i="13"/>
  <c r="AU32" i="13"/>
  <c r="AT32" i="13"/>
  <c r="AS32" i="13"/>
  <c r="AR32" i="13"/>
  <c r="AQ32" i="13"/>
  <c r="AP32" i="13"/>
  <c r="AO32" i="13"/>
  <c r="AN32" i="13"/>
  <c r="AM32" i="13"/>
  <c r="AL32" i="13"/>
  <c r="AK32" i="13"/>
  <c r="AJ32" i="13"/>
  <c r="AI32" i="13"/>
  <c r="AU31" i="13"/>
  <c r="AT31" i="13"/>
  <c r="AS31" i="13"/>
  <c r="AR31" i="13"/>
  <c r="AQ31" i="13"/>
  <c r="AP31" i="13"/>
  <c r="AO31" i="13"/>
  <c r="AN31" i="13"/>
  <c r="AM31" i="13"/>
  <c r="AL31" i="13"/>
  <c r="AK31" i="13"/>
  <c r="AJ31" i="13"/>
  <c r="AI31" i="13"/>
  <c r="AU30" i="13"/>
  <c r="AT30" i="13"/>
  <c r="AS30" i="13"/>
  <c r="AR30" i="13"/>
  <c r="AQ30" i="13"/>
  <c r="AP30" i="13"/>
  <c r="AO30" i="13"/>
  <c r="AN30" i="13"/>
  <c r="AM30" i="13"/>
  <c r="AL30" i="13"/>
  <c r="AK30" i="13"/>
  <c r="AJ30" i="13"/>
  <c r="AI30" i="13"/>
  <c r="AU29" i="13"/>
  <c r="AT29" i="13"/>
  <c r="AS29" i="13"/>
  <c r="AR29" i="13"/>
  <c r="AQ29" i="13"/>
  <c r="AP29" i="13"/>
  <c r="AO29" i="13"/>
  <c r="AN29" i="13"/>
  <c r="AM29" i="13"/>
  <c r="AL29" i="13"/>
  <c r="AK29" i="13"/>
  <c r="AJ29" i="13"/>
  <c r="AI29" i="13"/>
  <c r="AU28" i="13"/>
  <c r="AT28" i="13"/>
  <c r="AS28" i="13"/>
  <c r="AR28" i="13"/>
  <c r="AQ28" i="13"/>
  <c r="AP28" i="13"/>
  <c r="AO28" i="13"/>
  <c r="AN28" i="13"/>
  <c r="AM28" i="13"/>
  <c r="AL28" i="13"/>
  <c r="AK28" i="13"/>
  <c r="AJ28" i="13"/>
  <c r="AI28" i="13"/>
  <c r="AU27" i="13"/>
  <c r="AT27" i="13"/>
  <c r="AS27" i="13"/>
  <c r="AR27" i="13"/>
  <c r="AQ27" i="13"/>
  <c r="AP27" i="13"/>
  <c r="AO27" i="13"/>
  <c r="AN27" i="13"/>
  <c r="AM27" i="13"/>
  <c r="AL27" i="13"/>
  <c r="AK27" i="13"/>
  <c r="AJ27" i="13"/>
  <c r="AI27" i="13"/>
  <c r="AU26" i="13"/>
  <c r="AT26" i="13"/>
  <c r="AS26" i="13"/>
  <c r="AR26" i="13"/>
  <c r="AQ26" i="13"/>
  <c r="AP26" i="13"/>
  <c r="AO26" i="13"/>
  <c r="AN26" i="13"/>
  <c r="AM26" i="13"/>
  <c r="AL26" i="13"/>
  <c r="AK26" i="13"/>
  <c r="AJ26" i="13"/>
  <c r="AI26" i="13"/>
  <c r="AU25" i="13"/>
  <c r="AT25" i="13"/>
  <c r="AS25" i="13"/>
  <c r="AR25" i="13"/>
  <c r="AQ25" i="13"/>
  <c r="AP25" i="13"/>
  <c r="AO25" i="13"/>
  <c r="AN25" i="13"/>
  <c r="AM25" i="13"/>
  <c r="AL25" i="13"/>
  <c r="AK25" i="13"/>
  <c r="AJ25" i="13"/>
  <c r="AI25" i="13"/>
  <c r="AU24" i="13"/>
  <c r="AT24" i="13"/>
  <c r="AS24" i="13"/>
  <c r="AR24" i="13"/>
  <c r="AQ24" i="13"/>
  <c r="AP24" i="13"/>
  <c r="AO24" i="13"/>
  <c r="AN24" i="13"/>
  <c r="AM24" i="13"/>
  <c r="AL24" i="13"/>
  <c r="AK24" i="13"/>
  <c r="AJ24" i="13"/>
  <c r="AI24" i="13"/>
  <c r="AU23" i="13"/>
  <c r="AT23" i="13"/>
  <c r="AS23" i="13"/>
  <c r="AR23" i="13"/>
  <c r="AQ23" i="13"/>
  <c r="AP23" i="13"/>
  <c r="AO23" i="13"/>
  <c r="AN23" i="13"/>
  <c r="AM23" i="13"/>
  <c r="AL23" i="13"/>
  <c r="AK23" i="13"/>
  <c r="AJ23" i="13"/>
  <c r="AI23" i="13"/>
  <c r="AU22" i="13"/>
  <c r="AT22" i="13"/>
  <c r="AS22" i="13"/>
  <c r="AR22" i="13"/>
  <c r="AQ22" i="13"/>
  <c r="AP22" i="13"/>
  <c r="AO22" i="13"/>
  <c r="AN22" i="13"/>
  <c r="AM22" i="13"/>
  <c r="AL22" i="13"/>
  <c r="AK22" i="13"/>
  <c r="AJ22" i="13"/>
  <c r="AI22" i="13"/>
  <c r="AU21" i="13"/>
  <c r="AT21" i="13"/>
  <c r="AS21" i="13"/>
  <c r="AR21" i="13"/>
  <c r="AQ21" i="13"/>
  <c r="AP21" i="13"/>
  <c r="AO21" i="13"/>
  <c r="AN21" i="13"/>
  <c r="AM21" i="13"/>
  <c r="AL21" i="13"/>
  <c r="AK21" i="13"/>
  <c r="AJ21" i="13"/>
  <c r="AI21" i="13"/>
  <c r="AU20" i="13"/>
  <c r="AT20" i="13"/>
  <c r="AS20" i="13"/>
  <c r="AR20" i="13"/>
  <c r="AQ20" i="13"/>
  <c r="AP20" i="13"/>
  <c r="AO20" i="13"/>
  <c r="AN20" i="13"/>
  <c r="AM20" i="13"/>
  <c r="AL20" i="13"/>
  <c r="AK20" i="13"/>
  <c r="AJ20" i="13"/>
  <c r="AI20" i="13"/>
  <c r="AU19" i="13"/>
  <c r="AT19" i="13"/>
  <c r="AS19" i="13"/>
  <c r="AR19" i="13"/>
  <c r="AQ19" i="13"/>
  <c r="AP19" i="13"/>
  <c r="AO19" i="13"/>
  <c r="AN19" i="13"/>
  <c r="AM19" i="13"/>
  <c r="AL19" i="13"/>
  <c r="AK19" i="13"/>
  <c r="AJ19" i="13"/>
  <c r="AI19" i="13"/>
  <c r="AU18" i="13"/>
  <c r="AT18" i="13"/>
  <c r="AS18" i="13"/>
  <c r="AR18" i="13"/>
  <c r="AQ18" i="13"/>
  <c r="AP18" i="13"/>
  <c r="AO18" i="13"/>
  <c r="AN18" i="13"/>
  <c r="AM18" i="13"/>
  <c r="AL18" i="13"/>
  <c r="AK18" i="13"/>
  <c r="AJ18" i="13"/>
  <c r="AI18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U16" i="13"/>
  <c r="AT16" i="13"/>
  <c r="AS16" i="13"/>
  <c r="AR16" i="13"/>
  <c r="AQ16" i="13"/>
  <c r="AP16" i="13"/>
  <c r="AO16" i="13"/>
  <c r="AN16" i="13"/>
  <c r="AM16" i="13"/>
  <c r="AL16" i="13"/>
  <c r="AK16" i="13"/>
  <c r="AJ16" i="13"/>
  <c r="AI16" i="13"/>
  <c r="AU15" i="13"/>
  <c r="AT15" i="13"/>
  <c r="AS15" i="13"/>
  <c r="AR15" i="13"/>
  <c r="AQ15" i="13"/>
  <c r="AP15" i="13"/>
  <c r="AO15" i="13"/>
  <c r="AN15" i="13"/>
  <c r="AM15" i="13"/>
  <c r="AL15" i="13"/>
  <c r="AK15" i="13"/>
  <c r="AJ15" i="13"/>
  <c r="AI15" i="13"/>
  <c r="AU14" i="13"/>
  <c r="AT14" i="13"/>
  <c r="AS14" i="13"/>
  <c r="AR14" i="13"/>
  <c r="AQ14" i="13"/>
  <c r="AP14" i="13"/>
  <c r="AO14" i="13"/>
  <c r="AN14" i="13"/>
  <c r="AM14" i="13"/>
  <c r="AL14" i="13"/>
  <c r="AK14" i="13"/>
  <c r="AJ14" i="13"/>
  <c r="AI14" i="13"/>
  <c r="AU13" i="13"/>
  <c r="AT13" i="13"/>
  <c r="AS13" i="13"/>
  <c r="AR13" i="13"/>
  <c r="AQ13" i="13"/>
  <c r="AP13" i="13"/>
  <c r="AO13" i="13"/>
  <c r="AN13" i="13"/>
  <c r="AM13" i="13"/>
  <c r="AL13" i="13"/>
  <c r="AK13" i="13"/>
  <c r="AJ13" i="13"/>
  <c r="AI13" i="13"/>
  <c r="AU12" i="13"/>
  <c r="AT12" i="13"/>
  <c r="AS12" i="13"/>
  <c r="AR12" i="13"/>
  <c r="AQ12" i="13"/>
  <c r="AP12" i="13"/>
  <c r="AO12" i="13"/>
  <c r="AN12" i="13"/>
  <c r="AM12" i="13"/>
  <c r="AL12" i="13"/>
  <c r="AK12" i="13"/>
  <c r="AJ12" i="13"/>
  <c r="AI12" i="13"/>
  <c r="AU11" i="13"/>
  <c r="AT11" i="13"/>
  <c r="AS11" i="13"/>
  <c r="AR11" i="13"/>
  <c r="AQ11" i="13"/>
  <c r="AP11" i="13"/>
  <c r="AO11" i="13"/>
  <c r="AN11" i="13"/>
  <c r="AM11" i="13"/>
  <c r="AL11" i="13"/>
  <c r="AK11" i="13"/>
  <c r="AJ11" i="13"/>
  <c r="AI11" i="13"/>
  <c r="AU10" i="13"/>
  <c r="AT10" i="13"/>
  <c r="AS10" i="13"/>
  <c r="AR10" i="13"/>
  <c r="AQ10" i="13"/>
  <c r="AP10" i="13"/>
  <c r="AO10" i="13"/>
  <c r="AN10" i="13"/>
  <c r="AM10" i="13"/>
  <c r="AL10" i="13"/>
  <c r="AK10" i="13"/>
  <c r="AJ10" i="13"/>
  <c r="AI10" i="13"/>
  <c r="AU9" i="13"/>
  <c r="AT9" i="13"/>
  <c r="AS9" i="13"/>
  <c r="AR9" i="13"/>
  <c r="AQ9" i="13"/>
  <c r="AP9" i="13"/>
  <c r="AO9" i="13"/>
  <c r="AN9" i="13"/>
  <c r="AM9" i="13"/>
  <c r="AL9" i="13"/>
  <c r="AK9" i="13"/>
  <c r="AJ9" i="13"/>
  <c r="AI9" i="13"/>
  <c r="AU8" i="13"/>
  <c r="AT8" i="13"/>
  <c r="AS8" i="13"/>
  <c r="AR8" i="13"/>
  <c r="AQ8" i="13"/>
  <c r="AP8" i="13"/>
  <c r="AO8" i="13"/>
  <c r="AN8" i="13"/>
  <c r="AM8" i="13"/>
  <c r="AL8" i="13"/>
  <c r="AK8" i="13"/>
  <c r="AJ8" i="13"/>
  <c r="AI8" i="13"/>
  <c r="AU7" i="13"/>
  <c r="AT7" i="13"/>
  <c r="AS7" i="13"/>
  <c r="AR7" i="13"/>
  <c r="AQ7" i="13"/>
  <c r="AP7" i="13"/>
  <c r="AO7" i="13"/>
  <c r="AN7" i="13"/>
  <c r="AM7" i="13"/>
  <c r="AL7" i="13"/>
  <c r="AK7" i="13"/>
  <c r="AJ7" i="13"/>
  <c r="AI7" i="13"/>
  <c r="AU6" i="13"/>
  <c r="AT6" i="13"/>
  <c r="AS6" i="13"/>
  <c r="AR6" i="13"/>
  <c r="AQ6" i="13"/>
  <c r="AP6" i="13"/>
  <c r="AO6" i="13"/>
  <c r="AN6" i="13"/>
  <c r="AM6" i="13"/>
  <c r="AL6" i="13"/>
  <c r="AK6" i="13"/>
  <c r="AJ6" i="13"/>
  <c r="AI6" i="13"/>
  <c r="AL68" i="15" l="1"/>
  <c r="AL67" i="15"/>
  <c r="AL66" i="15"/>
  <c r="AL65" i="15"/>
  <c r="AL64" i="15"/>
  <c r="AL63" i="15"/>
  <c r="AL62" i="15"/>
  <c r="AL61" i="15"/>
  <c r="AL60" i="15"/>
  <c r="AL59" i="15"/>
  <c r="AL58" i="15"/>
  <c r="AL57" i="15"/>
  <c r="AL56" i="15"/>
  <c r="AL55" i="15"/>
  <c r="AL54" i="15"/>
  <c r="AL53" i="15"/>
  <c r="AL52" i="15"/>
  <c r="AL51" i="15"/>
  <c r="AL50" i="15"/>
  <c r="AL49" i="15"/>
  <c r="AL48" i="15"/>
  <c r="AL47" i="15"/>
  <c r="AL46" i="15"/>
  <c r="AL45" i="15"/>
  <c r="AL44" i="15"/>
  <c r="AL43" i="15"/>
  <c r="AL42" i="15"/>
  <c r="AL41" i="15"/>
  <c r="AL40" i="15"/>
  <c r="AL39" i="15"/>
  <c r="AL38" i="15"/>
  <c r="AL37" i="15"/>
  <c r="AL36" i="15"/>
  <c r="AL35" i="15"/>
  <c r="AL34" i="15"/>
  <c r="AL33" i="15"/>
  <c r="AL32" i="15"/>
  <c r="AL31" i="15"/>
  <c r="AL30" i="15"/>
  <c r="AL29" i="15"/>
  <c r="AL28" i="15"/>
  <c r="AL27" i="15"/>
  <c r="AL26" i="15"/>
  <c r="AL25" i="15"/>
  <c r="AL24" i="15"/>
  <c r="AL23" i="15"/>
  <c r="AL22" i="15"/>
  <c r="AL21" i="15"/>
  <c r="AL20" i="15"/>
  <c r="AL19" i="15"/>
  <c r="AL18" i="15"/>
  <c r="AL17" i="15"/>
  <c r="AL16" i="15"/>
  <c r="AL15" i="15"/>
  <c r="AL14" i="15"/>
  <c r="AL13" i="15"/>
  <c r="AL12" i="15"/>
  <c r="AL11" i="15"/>
  <c r="AL10" i="15"/>
  <c r="AL9" i="15"/>
  <c r="AL8" i="15"/>
  <c r="AL7" i="15"/>
  <c r="AL6" i="15"/>
  <c r="AL5" i="15"/>
  <c r="AL4" i="15"/>
  <c r="AL2" i="15"/>
  <c r="AK68" i="15"/>
  <c r="AK67" i="15"/>
  <c r="AK66" i="15"/>
  <c r="AK65" i="15"/>
  <c r="AK64" i="15"/>
  <c r="AK63" i="15"/>
  <c r="AK62" i="15"/>
  <c r="AK61" i="15"/>
  <c r="AK60" i="15"/>
  <c r="AK59" i="15"/>
  <c r="AK58" i="15"/>
  <c r="AK57" i="15"/>
  <c r="AK56" i="15"/>
  <c r="AK55" i="15"/>
  <c r="AK54" i="15"/>
  <c r="AK53" i="15"/>
  <c r="AK52" i="15"/>
  <c r="AK51" i="15"/>
  <c r="AK50" i="15"/>
  <c r="AK49" i="15"/>
  <c r="AK48" i="15"/>
  <c r="AK47" i="15"/>
  <c r="AK46" i="15"/>
  <c r="AK45" i="15"/>
  <c r="AK44" i="15"/>
  <c r="AK43" i="15"/>
  <c r="AK42" i="15"/>
  <c r="AK41" i="15"/>
  <c r="AK40" i="15"/>
  <c r="AK39" i="15"/>
  <c r="AK38" i="15"/>
  <c r="AK37" i="15"/>
  <c r="AK36" i="15"/>
  <c r="AK35" i="15"/>
  <c r="AK34" i="15"/>
  <c r="AK33" i="15"/>
  <c r="AK32" i="15"/>
  <c r="AK31" i="15"/>
  <c r="AK30" i="15"/>
  <c r="AK29" i="15"/>
  <c r="AK28" i="15"/>
  <c r="AK27" i="15"/>
  <c r="AK26" i="15"/>
  <c r="AK25" i="15"/>
  <c r="AK24" i="15"/>
  <c r="AK23" i="15"/>
  <c r="AK22" i="15"/>
  <c r="AK21" i="15"/>
  <c r="AK20" i="15"/>
  <c r="AK19" i="15"/>
  <c r="AK18" i="15"/>
  <c r="AK17" i="15"/>
  <c r="AK16" i="15"/>
  <c r="AK15" i="15"/>
  <c r="AK14" i="15"/>
  <c r="AK13" i="15"/>
  <c r="AK12" i="15"/>
  <c r="AK11" i="15"/>
  <c r="AK10" i="15"/>
  <c r="AK9" i="15"/>
  <c r="AK8" i="15"/>
  <c r="AK7" i="15"/>
  <c r="AK6" i="15"/>
  <c r="AK5" i="15"/>
  <c r="AK4" i="15"/>
  <c r="AK2" i="15"/>
  <c r="AJ68" i="15"/>
  <c r="AJ67" i="15"/>
  <c r="AJ66" i="15"/>
  <c r="AJ65" i="15"/>
  <c r="AJ64" i="15"/>
  <c r="AJ63" i="15"/>
  <c r="AJ62" i="15"/>
  <c r="AJ61" i="15"/>
  <c r="AJ60" i="15"/>
  <c r="AJ59" i="15"/>
  <c r="AJ58" i="15"/>
  <c r="AJ57" i="15"/>
  <c r="AJ56" i="15"/>
  <c r="AJ55" i="15"/>
  <c r="AJ54" i="15"/>
  <c r="AJ53" i="15"/>
  <c r="AJ52" i="15"/>
  <c r="AJ51" i="15"/>
  <c r="AJ50" i="15"/>
  <c r="AJ49" i="15"/>
  <c r="AJ48" i="15"/>
  <c r="AJ47" i="15"/>
  <c r="AJ46" i="15"/>
  <c r="AJ45" i="15"/>
  <c r="AJ44" i="15"/>
  <c r="AJ43" i="15"/>
  <c r="AJ42" i="15"/>
  <c r="AJ41" i="15"/>
  <c r="AJ40" i="15"/>
  <c r="AJ39" i="15"/>
  <c r="AJ38" i="15"/>
  <c r="AJ37" i="15"/>
  <c r="AJ36" i="15"/>
  <c r="AJ35" i="15"/>
  <c r="AJ34" i="15"/>
  <c r="AJ33" i="15"/>
  <c r="AJ32" i="15"/>
  <c r="AJ31" i="15"/>
  <c r="AJ30" i="15"/>
  <c r="AJ29" i="15"/>
  <c r="AJ28" i="15"/>
  <c r="AJ27" i="15"/>
  <c r="AJ26" i="15"/>
  <c r="AJ25" i="15"/>
  <c r="AJ24" i="15"/>
  <c r="AJ23" i="15"/>
  <c r="AJ22" i="15"/>
  <c r="AJ21" i="15"/>
  <c r="AJ20" i="15"/>
  <c r="AJ19" i="15"/>
  <c r="AJ18" i="15"/>
  <c r="AJ17" i="15"/>
  <c r="AJ16" i="15"/>
  <c r="AJ15" i="15"/>
  <c r="AJ14" i="15"/>
  <c r="AJ13" i="15"/>
  <c r="AJ12" i="15"/>
  <c r="AJ11" i="15"/>
  <c r="AJ10" i="15"/>
  <c r="AJ9" i="15"/>
  <c r="AJ8" i="15"/>
  <c r="AJ7" i="15"/>
  <c r="AJ6" i="15"/>
  <c r="AJ5" i="15"/>
  <c r="AJ4" i="15"/>
  <c r="AI68" i="15"/>
  <c r="AI67" i="15"/>
  <c r="AI66" i="15"/>
  <c r="AI65" i="15"/>
  <c r="AI64" i="15"/>
  <c r="AI63" i="15"/>
  <c r="AI62" i="15"/>
  <c r="AI61" i="15"/>
  <c r="AI60" i="15"/>
  <c r="AI59" i="15"/>
  <c r="AI58" i="15"/>
  <c r="AI57" i="15"/>
  <c r="AI56" i="15"/>
  <c r="AI55" i="15"/>
  <c r="AI54" i="15"/>
  <c r="AI53" i="15"/>
  <c r="AI52" i="15"/>
  <c r="AI51" i="15"/>
  <c r="AI50" i="15"/>
  <c r="AI49" i="15"/>
  <c r="AI48" i="15"/>
  <c r="AI47" i="15"/>
  <c r="AI46" i="15"/>
  <c r="AI45" i="15"/>
  <c r="AI44" i="15"/>
  <c r="AI43" i="15"/>
  <c r="AI42" i="15"/>
  <c r="AI41" i="15"/>
  <c r="AI40" i="15"/>
  <c r="AI39" i="15"/>
  <c r="AI38" i="15"/>
  <c r="AI37" i="15"/>
  <c r="AI36" i="15"/>
  <c r="AI35" i="15"/>
  <c r="AI34" i="15"/>
  <c r="AI33" i="15"/>
  <c r="AI32" i="15"/>
  <c r="AI31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AI5" i="15"/>
  <c r="AI4" i="15"/>
  <c r="AH68" i="15"/>
  <c r="AH67" i="15"/>
  <c r="AH66" i="15"/>
  <c r="AH65" i="15"/>
  <c r="AH64" i="15"/>
  <c r="AH63" i="15"/>
  <c r="AH62" i="15"/>
  <c r="AH61" i="15"/>
  <c r="AH60" i="15"/>
  <c r="AH59" i="15"/>
  <c r="AH58" i="15"/>
  <c r="AH57" i="15"/>
  <c r="AH56" i="15"/>
  <c r="AH55" i="15"/>
  <c r="AH54" i="15"/>
  <c r="AH53" i="15"/>
  <c r="AH52" i="15"/>
  <c r="AH51" i="15"/>
  <c r="AH50" i="15"/>
  <c r="AH49" i="15"/>
  <c r="AH48" i="15"/>
  <c r="AH47" i="15"/>
  <c r="AH46" i="15"/>
  <c r="AH45" i="15"/>
  <c r="AH44" i="15"/>
  <c r="AH43" i="15"/>
  <c r="AH42" i="15"/>
  <c r="AH41" i="15"/>
  <c r="AH40" i="15"/>
  <c r="AH39" i="15"/>
  <c r="AH38" i="15"/>
  <c r="AH37" i="15"/>
  <c r="AH36" i="15"/>
  <c r="AH35" i="15"/>
  <c r="AH34" i="15"/>
  <c r="AH33" i="15"/>
  <c r="AH32" i="15"/>
  <c r="AH31" i="15"/>
  <c r="AH30" i="15"/>
  <c r="AH29" i="15"/>
  <c r="AH28" i="15"/>
  <c r="AH27" i="15"/>
  <c r="AH26" i="15"/>
  <c r="AH25" i="15"/>
  <c r="AH24" i="15"/>
  <c r="AH23" i="15"/>
  <c r="AH22" i="15"/>
  <c r="AH21" i="15"/>
  <c r="AH20" i="15"/>
  <c r="AH19" i="15"/>
  <c r="AH18" i="15"/>
  <c r="AH17" i="15"/>
  <c r="AH16" i="15"/>
  <c r="AH15" i="15"/>
  <c r="AH14" i="15"/>
  <c r="AH13" i="15"/>
  <c r="AH12" i="15"/>
  <c r="AH11" i="15"/>
  <c r="AH10" i="15"/>
  <c r="AH9" i="15"/>
  <c r="AH8" i="15"/>
  <c r="AH7" i="15"/>
  <c r="AH6" i="15"/>
  <c r="AH5" i="15"/>
  <c r="AH4" i="15"/>
  <c r="AG68" i="15"/>
  <c r="AG67" i="15"/>
  <c r="AG66" i="15"/>
  <c r="AG65" i="15"/>
  <c r="AG64" i="15"/>
  <c r="AG63" i="15"/>
  <c r="AG62" i="15"/>
  <c r="AG61" i="15"/>
  <c r="AG60" i="15"/>
  <c r="AG59" i="15"/>
  <c r="AG58" i="15"/>
  <c r="AG57" i="15"/>
  <c r="AG56" i="15"/>
  <c r="AG55" i="15"/>
  <c r="AG54" i="15"/>
  <c r="AG53" i="15"/>
  <c r="AG52" i="15"/>
  <c r="AG51" i="15"/>
  <c r="AG50" i="15"/>
  <c r="AG49" i="15"/>
  <c r="AG48" i="15"/>
  <c r="AG47" i="15"/>
  <c r="AG46" i="15"/>
  <c r="AG45" i="15"/>
  <c r="AG44" i="15"/>
  <c r="AG43" i="15"/>
  <c r="AG42" i="15"/>
  <c r="AG41" i="15"/>
  <c r="AG40" i="15"/>
  <c r="AG39" i="15"/>
  <c r="AG38" i="15"/>
  <c r="AG37" i="15"/>
  <c r="AG36" i="15"/>
  <c r="AG35" i="15"/>
  <c r="AG34" i="15"/>
  <c r="AG33" i="15"/>
  <c r="AG32" i="15"/>
  <c r="AG31" i="15"/>
  <c r="AG30" i="15"/>
  <c r="AG29" i="15"/>
  <c r="AG28" i="15"/>
  <c r="AG27" i="15"/>
  <c r="AG26" i="15"/>
  <c r="AG25" i="15"/>
  <c r="AG24" i="15"/>
  <c r="AG23" i="15"/>
  <c r="AG22" i="15"/>
  <c r="AG21" i="15"/>
  <c r="AG20" i="15"/>
  <c r="AG19" i="15"/>
  <c r="AG18" i="15"/>
  <c r="AG17" i="15"/>
  <c r="AG16" i="15"/>
  <c r="AG15" i="15"/>
  <c r="AG14" i="15"/>
  <c r="AG13" i="15"/>
  <c r="AG12" i="15"/>
  <c r="AG11" i="15"/>
  <c r="AG10" i="15"/>
  <c r="AG9" i="15"/>
  <c r="AG8" i="15"/>
  <c r="AG7" i="15"/>
  <c r="AG6" i="15"/>
  <c r="AG5" i="15"/>
  <c r="AG4" i="15"/>
  <c r="AF68" i="15"/>
  <c r="AF67" i="15"/>
  <c r="AF66" i="15"/>
  <c r="AF65" i="15"/>
  <c r="AF64" i="15"/>
  <c r="AF63" i="15"/>
  <c r="AF62" i="15"/>
  <c r="AF61" i="15"/>
  <c r="AF60" i="15"/>
  <c r="AF59" i="15"/>
  <c r="AF58" i="15"/>
  <c r="AF57" i="15"/>
  <c r="AF56" i="15"/>
  <c r="AF55" i="15"/>
  <c r="AF54" i="15"/>
  <c r="AF53" i="15"/>
  <c r="AF52" i="15"/>
  <c r="AF51" i="15"/>
  <c r="AF50" i="15"/>
  <c r="AF49" i="15"/>
  <c r="AF48" i="15"/>
  <c r="AF47" i="15"/>
  <c r="AF46" i="15"/>
  <c r="AF45" i="15"/>
  <c r="AF44" i="15"/>
  <c r="AF43" i="15"/>
  <c r="AF42" i="15"/>
  <c r="AF41" i="15"/>
  <c r="AF40" i="15"/>
  <c r="AF39" i="15"/>
  <c r="AF38" i="15"/>
  <c r="AF37" i="15"/>
  <c r="AF36" i="15"/>
  <c r="AF35" i="15"/>
  <c r="AF34" i="15"/>
  <c r="AF33" i="15"/>
  <c r="AF32" i="15"/>
  <c r="AF31" i="15"/>
  <c r="AF30" i="15"/>
  <c r="AF29" i="15"/>
  <c r="AF28" i="15"/>
  <c r="AF27" i="15"/>
  <c r="AF26" i="15"/>
  <c r="AF25" i="15"/>
  <c r="AF24" i="15"/>
  <c r="AF23" i="15"/>
  <c r="AF22" i="15"/>
  <c r="AF21" i="15"/>
  <c r="AF20" i="15"/>
  <c r="AF19" i="15"/>
  <c r="AF18" i="15"/>
  <c r="AF17" i="15"/>
  <c r="AF16" i="15"/>
  <c r="AF15" i="15"/>
  <c r="AF14" i="15"/>
  <c r="AF13" i="15"/>
  <c r="AF12" i="15"/>
  <c r="AF11" i="15"/>
  <c r="AF10" i="15"/>
  <c r="AF9" i="15"/>
  <c r="AF8" i="15"/>
  <c r="AF7" i="15"/>
  <c r="AF6" i="15"/>
  <c r="AF5" i="15"/>
  <c r="AF4" i="15"/>
  <c r="AE68" i="15"/>
  <c r="AE67" i="15"/>
  <c r="AE66" i="15"/>
  <c r="AE65" i="15"/>
  <c r="AE64" i="15"/>
  <c r="AE63" i="15"/>
  <c r="AE62" i="15"/>
  <c r="AE61" i="15"/>
  <c r="AE60" i="15"/>
  <c r="AE59" i="15"/>
  <c r="AE58" i="15"/>
  <c r="AE57" i="15"/>
  <c r="AE56" i="15"/>
  <c r="AE55" i="15"/>
  <c r="AE54" i="15"/>
  <c r="AE53" i="15"/>
  <c r="AE52" i="15"/>
  <c r="AE51" i="15"/>
  <c r="AE50" i="15"/>
  <c r="AE49" i="15"/>
  <c r="AE48" i="15"/>
  <c r="AE47" i="15"/>
  <c r="AE46" i="15"/>
  <c r="AE45" i="15"/>
  <c r="AE44" i="15"/>
  <c r="AE43" i="15"/>
  <c r="AE42" i="15"/>
  <c r="AE41" i="15"/>
  <c r="AE40" i="15"/>
  <c r="AE39" i="15"/>
  <c r="AE38" i="15"/>
  <c r="AE37" i="15"/>
  <c r="AE36" i="15"/>
  <c r="AE35" i="15"/>
  <c r="AE34" i="15"/>
  <c r="AE33" i="15"/>
  <c r="AE32" i="15"/>
  <c r="AE31" i="15"/>
  <c r="AE30" i="15"/>
  <c r="AE29" i="15"/>
  <c r="AE28" i="15"/>
  <c r="AE27" i="15"/>
  <c r="AE26" i="15"/>
  <c r="AE25" i="15"/>
  <c r="AE24" i="15"/>
  <c r="AE23" i="15"/>
  <c r="AE22" i="15"/>
  <c r="AE21" i="15"/>
  <c r="AE20" i="15"/>
  <c r="AE19" i="15"/>
  <c r="AE18" i="15"/>
  <c r="AE17" i="15"/>
  <c r="AE16" i="15"/>
  <c r="AE15" i="15"/>
  <c r="AE14" i="15"/>
  <c r="AE13" i="15"/>
  <c r="AE12" i="15"/>
  <c r="AE11" i="15"/>
  <c r="AE10" i="15"/>
  <c r="AE9" i="15"/>
  <c r="AE8" i="15"/>
  <c r="AE7" i="15"/>
  <c r="AE6" i="15"/>
  <c r="AE5" i="15"/>
  <c r="AE4" i="15"/>
  <c r="AD68" i="15"/>
  <c r="AD67" i="15"/>
  <c r="AD66" i="15"/>
  <c r="AD65" i="15"/>
  <c r="AD64" i="15"/>
  <c r="AD63" i="15"/>
  <c r="AD62" i="15"/>
  <c r="AD61" i="15"/>
  <c r="AD60" i="15"/>
  <c r="AD59" i="15"/>
  <c r="AD58" i="15"/>
  <c r="AD57" i="15"/>
  <c r="AD56" i="15"/>
  <c r="AD55" i="15"/>
  <c r="AD54" i="15"/>
  <c r="AD53" i="15"/>
  <c r="AD52" i="15"/>
  <c r="AD51" i="15"/>
  <c r="AD50" i="15"/>
  <c r="AD49" i="15"/>
  <c r="AD48" i="15"/>
  <c r="AD47" i="15"/>
  <c r="AD46" i="15"/>
  <c r="AD45" i="15"/>
  <c r="AD44" i="15"/>
  <c r="AD43" i="15"/>
  <c r="AD42" i="15"/>
  <c r="AD41" i="15"/>
  <c r="AD40" i="15"/>
  <c r="AD39" i="15"/>
  <c r="AD38" i="15"/>
  <c r="AD37" i="15"/>
  <c r="AD36" i="15"/>
  <c r="AD35" i="15"/>
  <c r="AD34" i="15"/>
  <c r="AD33" i="15"/>
  <c r="AD32" i="15"/>
  <c r="AD31" i="15"/>
  <c r="AD30" i="15"/>
  <c r="AD29" i="15"/>
  <c r="AD28" i="15"/>
  <c r="AD27" i="15"/>
  <c r="AD26" i="15"/>
  <c r="AD25" i="15"/>
  <c r="AD24" i="15"/>
  <c r="AD23" i="15"/>
  <c r="AD22" i="15"/>
  <c r="AD21" i="15"/>
  <c r="AD20" i="15"/>
  <c r="AD19" i="15"/>
  <c r="AD18" i="15"/>
  <c r="AD17" i="15"/>
  <c r="AD16" i="15"/>
  <c r="AD15" i="15"/>
  <c r="AD14" i="15"/>
  <c r="AD13" i="15"/>
  <c r="AD12" i="15"/>
  <c r="AD11" i="15"/>
  <c r="AD10" i="15"/>
  <c r="AD9" i="15"/>
  <c r="AD8" i="15"/>
  <c r="AD7" i="15"/>
  <c r="AD6" i="15"/>
  <c r="AD5" i="15"/>
  <c r="AD4" i="15"/>
  <c r="AC68" i="15"/>
  <c r="AC67" i="15"/>
  <c r="AC66" i="15"/>
  <c r="AC65" i="15"/>
  <c r="AC64" i="15"/>
  <c r="AC63" i="15"/>
  <c r="AC62" i="15"/>
  <c r="AC61" i="15"/>
  <c r="AC60" i="15"/>
  <c r="AC59" i="15"/>
  <c r="AC58" i="15"/>
  <c r="AC57" i="15"/>
  <c r="AC56" i="15"/>
  <c r="AC55" i="15"/>
  <c r="AC54" i="15"/>
  <c r="AC53" i="15"/>
  <c r="AC52" i="15"/>
  <c r="AC51" i="15"/>
  <c r="AC50" i="15"/>
  <c r="AC49" i="15"/>
  <c r="AC48" i="15"/>
  <c r="AC47" i="15"/>
  <c r="AC46" i="15"/>
  <c r="AC45" i="15"/>
  <c r="AC44" i="15"/>
  <c r="AC43" i="15"/>
  <c r="AC42" i="15"/>
  <c r="AC41" i="15"/>
  <c r="AC40" i="15"/>
  <c r="AC39" i="15"/>
  <c r="AC38" i="15"/>
  <c r="AC37" i="15"/>
  <c r="AC36" i="15"/>
  <c r="AC35" i="15"/>
  <c r="AC34" i="15"/>
  <c r="AC33" i="15"/>
  <c r="AC32" i="15"/>
  <c r="AC31" i="15"/>
  <c r="AC30" i="15"/>
  <c r="AC29" i="15"/>
  <c r="AC28" i="15"/>
  <c r="AC27" i="15"/>
  <c r="AC26" i="15"/>
  <c r="AC25" i="15"/>
  <c r="AC24" i="15"/>
  <c r="AC23" i="15"/>
  <c r="AC22" i="15"/>
  <c r="AC21" i="15"/>
  <c r="AC20" i="15"/>
  <c r="AC19" i="15"/>
  <c r="AC18" i="15"/>
  <c r="AC17" i="15"/>
  <c r="AC16" i="15"/>
  <c r="AC15" i="15"/>
  <c r="AC14" i="15"/>
  <c r="AC13" i="15"/>
  <c r="AC12" i="15"/>
  <c r="AC11" i="15"/>
  <c r="AC10" i="15"/>
  <c r="AC9" i="15"/>
  <c r="AC8" i="15"/>
  <c r="AC7" i="15"/>
  <c r="AC6" i="15"/>
  <c r="AC5" i="15"/>
  <c r="AC4" i="15"/>
  <c r="AB68" i="15"/>
  <c r="AB67" i="15"/>
  <c r="AB66" i="15"/>
  <c r="AB65" i="15"/>
  <c r="AB64" i="15"/>
  <c r="AB63" i="15"/>
  <c r="AB62" i="15"/>
  <c r="AB61" i="15"/>
  <c r="AB60" i="15"/>
  <c r="AB59" i="15"/>
  <c r="AB58" i="15"/>
  <c r="AB57" i="15"/>
  <c r="AB56" i="15"/>
  <c r="AB55" i="15"/>
  <c r="AB54" i="15"/>
  <c r="AB53" i="15"/>
  <c r="AB52" i="15"/>
  <c r="AB51" i="15"/>
  <c r="AB50" i="15"/>
  <c r="AB49" i="15"/>
  <c r="AB48" i="15"/>
  <c r="AB47" i="15"/>
  <c r="AB46" i="15"/>
  <c r="AB45" i="15"/>
  <c r="AB44" i="15"/>
  <c r="AB43" i="15"/>
  <c r="AB42" i="15"/>
  <c r="AB41" i="15"/>
  <c r="AB40" i="15"/>
  <c r="AB39" i="15"/>
  <c r="AB38" i="15"/>
  <c r="AB37" i="15"/>
  <c r="AB36" i="15"/>
  <c r="AB35" i="15"/>
  <c r="AB34" i="15"/>
  <c r="AB33" i="15"/>
  <c r="AB32" i="15"/>
  <c r="AB31" i="15"/>
  <c r="AB30" i="15"/>
  <c r="AB29" i="15"/>
  <c r="AB28" i="15"/>
  <c r="AB27" i="15"/>
  <c r="AB26" i="15"/>
  <c r="AB25" i="15"/>
  <c r="AB24" i="15"/>
  <c r="AB23" i="15"/>
  <c r="AB22" i="15"/>
  <c r="AB21" i="15"/>
  <c r="AB20" i="15"/>
  <c r="AB19" i="15"/>
  <c r="AB18" i="15"/>
  <c r="AB17" i="15"/>
  <c r="AB16" i="15"/>
  <c r="AB15" i="15"/>
  <c r="AB14" i="15"/>
  <c r="AB13" i="15"/>
  <c r="AB12" i="15"/>
  <c r="AB11" i="15"/>
  <c r="AB10" i="15"/>
  <c r="AB9" i="15"/>
  <c r="AB8" i="15"/>
  <c r="AB7" i="15"/>
  <c r="AB6" i="15"/>
  <c r="AB5" i="15"/>
  <c r="AB4" i="15"/>
  <c r="AA68" i="15"/>
  <c r="AA67" i="15"/>
  <c r="AA66" i="15"/>
  <c r="AA65" i="15"/>
  <c r="AA64" i="15"/>
  <c r="AA63" i="15"/>
  <c r="AA62" i="15"/>
  <c r="AA61" i="15"/>
  <c r="AA60" i="15"/>
  <c r="AA59" i="15"/>
  <c r="AA58" i="15"/>
  <c r="AA57" i="15"/>
  <c r="AA56" i="15"/>
  <c r="AA55" i="15"/>
  <c r="AA54" i="15"/>
  <c r="AA53" i="15"/>
  <c r="AA52" i="15"/>
  <c r="AA51" i="15"/>
  <c r="AA50" i="15"/>
  <c r="AA49" i="15"/>
  <c r="AA48" i="15"/>
  <c r="AA47" i="15"/>
  <c r="AA46" i="15"/>
  <c r="AA45" i="15"/>
  <c r="AA44" i="15"/>
  <c r="AA43" i="15"/>
  <c r="AA42" i="15"/>
  <c r="AA41" i="15"/>
  <c r="AA40" i="15"/>
  <c r="AA39" i="15"/>
  <c r="AA38" i="15"/>
  <c r="AA37" i="15"/>
  <c r="AA36" i="15"/>
  <c r="AA35" i="15"/>
  <c r="AA34" i="15"/>
  <c r="AA33" i="15"/>
  <c r="AA32" i="15"/>
  <c r="AA31" i="15"/>
  <c r="AA30" i="15"/>
  <c r="AA29" i="15"/>
  <c r="AA28" i="15"/>
  <c r="AA27" i="15"/>
  <c r="AA26" i="15"/>
  <c r="AA25" i="15"/>
  <c r="AA24" i="15"/>
  <c r="AA23" i="15"/>
  <c r="AA22" i="15"/>
  <c r="AA21" i="15"/>
  <c r="AA20" i="15"/>
  <c r="AA19" i="15"/>
  <c r="AA18" i="15"/>
  <c r="AA17" i="15"/>
  <c r="AA16" i="15"/>
  <c r="AA15" i="15"/>
  <c r="AA14" i="15"/>
  <c r="AA13" i="15"/>
  <c r="AA12" i="15"/>
  <c r="AA11" i="15"/>
  <c r="AA10" i="15"/>
  <c r="AA9" i="15"/>
  <c r="AA8" i="15"/>
  <c r="AA7" i="15"/>
  <c r="AA6" i="15"/>
  <c r="AA5" i="15"/>
  <c r="AA4" i="15"/>
  <c r="Z5" i="15"/>
  <c r="Z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37" i="15"/>
  <c r="Z38" i="15"/>
  <c r="Z39" i="15"/>
  <c r="Z40" i="15"/>
  <c r="Z41" i="15"/>
  <c r="Z42" i="15"/>
  <c r="Z43" i="15"/>
  <c r="Z44" i="15"/>
  <c r="Z45" i="15"/>
  <c r="Z46" i="15"/>
  <c r="Z47" i="15"/>
  <c r="Z48" i="15"/>
  <c r="Z49" i="15"/>
  <c r="Z50" i="15"/>
  <c r="Z51" i="15"/>
  <c r="Z52" i="15"/>
  <c r="Z53" i="15"/>
  <c r="Z54" i="15"/>
  <c r="Z55" i="15"/>
  <c r="Z56" i="15"/>
  <c r="Z57" i="15"/>
  <c r="Z58" i="15"/>
  <c r="Z59" i="15"/>
  <c r="Z60" i="15"/>
  <c r="Z61" i="15"/>
  <c r="Z62" i="15"/>
  <c r="Z63" i="15"/>
  <c r="Z64" i="15"/>
  <c r="Z65" i="15"/>
  <c r="Z66" i="15"/>
  <c r="Z67" i="15"/>
  <c r="Z68" i="15"/>
  <c r="Z4" i="15"/>
  <c r="W68" i="15"/>
  <c r="U68" i="15"/>
  <c r="T68" i="15"/>
  <c r="AH67" i="1" s="1"/>
  <c r="W67" i="15"/>
  <c r="U67" i="15"/>
  <c r="T67" i="15"/>
  <c r="AH66" i="1" s="1"/>
  <c r="W66" i="15"/>
  <c r="U66" i="15"/>
  <c r="T66" i="15"/>
  <c r="AH65" i="1" s="1"/>
  <c r="W65" i="15"/>
  <c r="U65" i="15"/>
  <c r="T65" i="15"/>
  <c r="AH64" i="1" s="1"/>
  <c r="W64" i="15"/>
  <c r="U64" i="15"/>
  <c r="T64" i="15"/>
  <c r="AH63" i="1" s="1"/>
  <c r="W63" i="15"/>
  <c r="U63" i="15"/>
  <c r="T63" i="15"/>
  <c r="AH62" i="1" s="1"/>
  <c r="W62" i="15"/>
  <c r="U62" i="15"/>
  <c r="T62" i="15"/>
  <c r="AH61" i="1" s="1"/>
  <c r="W61" i="15"/>
  <c r="U61" i="15"/>
  <c r="T61" i="15"/>
  <c r="AH60" i="1" s="1"/>
  <c r="W60" i="15"/>
  <c r="U60" i="15"/>
  <c r="T60" i="15"/>
  <c r="AH59" i="1" s="1"/>
  <c r="W59" i="15"/>
  <c r="U59" i="15"/>
  <c r="T59" i="15"/>
  <c r="AH58" i="1" s="1"/>
  <c r="W58" i="15"/>
  <c r="U58" i="15"/>
  <c r="T58" i="15"/>
  <c r="AH57" i="1" s="1"/>
  <c r="W57" i="15"/>
  <c r="U57" i="15"/>
  <c r="T57" i="15"/>
  <c r="AH56" i="1" s="1"/>
  <c r="W56" i="15"/>
  <c r="U56" i="15"/>
  <c r="T56" i="15"/>
  <c r="AH55" i="1" s="1"/>
  <c r="W55" i="15"/>
  <c r="U55" i="15"/>
  <c r="T55" i="15"/>
  <c r="AH54" i="1" s="1"/>
  <c r="W54" i="15"/>
  <c r="V54" i="15"/>
  <c r="U54" i="15" s="1"/>
  <c r="T54" i="15"/>
  <c r="AH53" i="1" s="1"/>
  <c r="W53" i="15"/>
  <c r="U53" i="15"/>
  <c r="T53" i="15"/>
  <c r="AH52" i="1" s="1"/>
  <c r="W52" i="15"/>
  <c r="U52" i="15"/>
  <c r="T52" i="15"/>
  <c r="AH51" i="1" s="1"/>
  <c r="W51" i="15"/>
  <c r="U51" i="15"/>
  <c r="T51" i="15"/>
  <c r="AH50" i="1" s="1"/>
  <c r="W50" i="15"/>
  <c r="U50" i="15"/>
  <c r="T50" i="15"/>
  <c r="AH49" i="1" s="1"/>
  <c r="W49" i="15"/>
  <c r="U49" i="15"/>
  <c r="T49" i="15"/>
  <c r="AH48" i="1" s="1"/>
  <c r="W48" i="15"/>
  <c r="U48" i="15"/>
  <c r="T48" i="15"/>
  <c r="AH47" i="1" s="1"/>
  <c r="W47" i="15"/>
  <c r="U47" i="15"/>
  <c r="T47" i="15"/>
  <c r="AH46" i="1" s="1"/>
  <c r="W46" i="15"/>
  <c r="U46" i="15"/>
  <c r="T46" i="15"/>
  <c r="AH45" i="1" s="1"/>
  <c r="W45" i="15"/>
  <c r="U45" i="15"/>
  <c r="T45" i="15"/>
  <c r="AH44" i="1" s="1"/>
  <c r="W44" i="15"/>
  <c r="U44" i="15"/>
  <c r="T44" i="15"/>
  <c r="AH43" i="1" s="1"/>
  <c r="W43" i="15"/>
  <c r="U43" i="15"/>
  <c r="T43" i="15"/>
  <c r="AH42" i="1" s="1"/>
  <c r="W42" i="15"/>
  <c r="U42" i="15"/>
  <c r="T42" i="15"/>
  <c r="AH41" i="1" s="1"/>
  <c r="W41" i="15"/>
  <c r="U41" i="15"/>
  <c r="T41" i="15"/>
  <c r="AH40" i="1" s="1"/>
  <c r="W40" i="15"/>
  <c r="U40" i="15"/>
  <c r="T40" i="15"/>
  <c r="AH39" i="1" s="1"/>
  <c r="W39" i="15"/>
  <c r="U39" i="15"/>
  <c r="T39" i="15"/>
  <c r="AH38" i="1" s="1"/>
  <c r="W38" i="15"/>
  <c r="U38" i="15"/>
  <c r="T38" i="15"/>
  <c r="AH37" i="1" s="1"/>
  <c r="W37" i="15"/>
  <c r="U37" i="15"/>
  <c r="T37" i="15"/>
  <c r="AH36" i="1" s="1"/>
  <c r="W36" i="15"/>
  <c r="U36" i="15"/>
  <c r="T36" i="15"/>
  <c r="AH35" i="1" s="1"/>
  <c r="W35" i="15"/>
  <c r="U35" i="15"/>
  <c r="T35" i="15"/>
  <c r="AH34" i="1" s="1"/>
  <c r="W34" i="15"/>
  <c r="U34" i="15"/>
  <c r="T34" i="15"/>
  <c r="AH33" i="1" s="1"/>
  <c r="W33" i="15"/>
  <c r="U33" i="15"/>
  <c r="T33" i="15"/>
  <c r="AH32" i="1" s="1"/>
  <c r="W32" i="15"/>
  <c r="U32" i="15"/>
  <c r="T32" i="15"/>
  <c r="AH31" i="1" s="1"/>
  <c r="W31" i="15"/>
  <c r="U31" i="15"/>
  <c r="T31" i="15"/>
  <c r="AH30" i="1" s="1"/>
  <c r="W30" i="15"/>
  <c r="U30" i="15"/>
  <c r="T30" i="15"/>
  <c r="AH29" i="1" s="1"/>
  <c r="W29" i="15"/>
  <c r="U29" i="15"/>
  <c r="T29" i="15"/>
  <c r="AH28" i="1" s="1"/>
  <c r="W28" i="15"/>
  <c r="U28" i="15"/>
  <c r="T28" i="15"/>
  <c r="AH27" i="1" s="1"/>
  <c r="W27" i="15"/>
  <c r="U27" i="15"/>
  <c r="T27" i="15"/>
  <c r="AH26" i="1" s="1"/>
  <c r="W26" i="15"/>
  <c r="U26" i="15"/>
  <c r="T26" i="15"/>
  <c r="AH25" i="1" s="1"/>
  <c r="W25" i="15"/>
  <c r="U25" i="15"/>
  <c r="T25" i="15"/>
  <c r="AH24" i="1" s="1"/>
  <c r="W24" i="15"/>
  <c r="U24" i="15"/>
  <c r="T24" i="15"/>
  <c r="AH23" i="1" s="1"/>
  <c r="W23" i="15"/>
  <c r="U23" i="15"/>
  <c r="T23" i="15"/>
  <c r="AH22" i="1" s="1"/>
  <c r="W22" i="15"/>
  <c r="U22" i="15"/>
  <c r="T22" i="15"/>
  <c r="AH21" i="1" s="1"/>
  <c r="W21" i="15"/>
  <c r="U21" i="15"/>
  <c r="T21" i="15"/>
  <c r="AH20" i="1" s="1"/>
  <c r="W20" i="15"/>
  <c r="U20" i="15"/>
  <c r="T20" i="15"/>
  <c r="AH19" i="1" s="1"/>
  <c r="W19" i="15"/>
  <c r="U19" i="15"/>
  <c r="T19" i="15"/>
  <c r="AH18" i="1" s="1"/>
  <c r="W18" i="15"/>
  <c r="U18" i="15"/>
  <c r="T18" i="15"/>
  <c r="AH17" i="1" s="1"/>
  <c r="W17" i="15"/>
  <c r="U17" i="15"/>
  <c r="T17" i="15"/>
  <c r="AH16" i="1" s="1"/>
  <c r="W16" i="15"/>
  <c r="U16" i="15"/>
  <c r="T16" i="15"/>
  <c r="AH15" i="1" s="1"/>
  <c r="W15" i="15"/>
  <c r="U15" i="15"/>
  <c r="T15" i="15"/>
  <c r="AH14" i="1" s="1"/>
  <c r="W14" i="15"/>
  <c r="U14" i="15"/>
  <c r="T14" i="15"/>
  <c r="AH13" i="1" s="1"/>
  <c r="W13" i="15"/>
  <c r="U13" i="15"/>
  <c r="T13" i="15"/>
  <c r="AH12" i="1" s="1"/>
  <c r="W12" i="15"/>
  <c r="U12" i="15"/>
  <c r="T12" i="15"/>
  <c r="AH11" i="1" s="1"/>
  <c r="W11" i="15"/>
  <c r="U11" i="15"/>
  <c r="T11" i="15"/>
  <c r="AH10" i="1" s="1"/>
  <c r="W10" i="15"/>
  <c r="U10" i="15"/>
  <c r="T10" i="15"/>
  <c r="AH9" i="1" s="1"/>
  <c r="W9" i="15"/>
  <c r="U9" i="15"/>
  <c r="T9" i="15"/>
  <c r="AH8" i="1" s="1"/>
  <c r="W8" i="15"/>
  <c r="U8" i="15"/>
  <c r="T8" i="15"/>
  <c r="AH7" i="1" s="1"/>
  <c r="W7" i="15"/>
  <c r="U7" i="15"/>
  <c r="T7" i="15"/>
  <c r="AH6" i="1" s="1"/>
  <c r="W6" i="15"/>
  <c r="U6" i="15"/>
  <c r="T6" i="15"/>
  <c r="AH5" i="1" s="1"/>
  <c r="W5" i="15"/>
  <c r="U5" i="15"/>
  <c r="T5" i="15"/>
  <c r="AH4" i="1" s="1"/>
  <c r="W4" i="15"/>
  <c r="U4" i="15"/>
  <c r="T4" i="15"/>
  <c r="AH3" i="1" s="1"/>
  <c r="AJ2" i="15"/>
  <c r="AI2" i="15"/>
  <c r="AH2" i="15"/>
  <c r="AG2" i="15"/>
  <c r="AF2" i="15"/>
  <c r="AE2" i="15"/>
  <c r="AD2" i="15"/>
  <c r="AC2" i="15"/>
  <c r="AB2" i="15"/>
  <c r="AA2" i="15"/>
  <c r="Z2" i="15"/>
  <c r="W2" i="15"/>
  <c r="V2" i="15"/>
  <c r="U2" i="15"/>
  <c r="AJ68" i="14"/>
  <c r="AI68" i="14"/>
  <c r="AH68" i="14"/>
  <c r="AG68" i="14"/>
  <c r="AF68" i="14"/>
  <c r="AE68" i="14"/>
  <c r="AD68" i="14"/>
  <c r="AC68" i="14"/>
  <c r="AB68" i="14"/>
  <c r="AA68" i="14"/>
  <c r="Z68" i="14"/>
  <c r="Y68" i="14"/>
  <c r="V68" i="14"/>
  <c r="U68" i="14" s="1"/>
  <c r="T68" i="14"/>
  <c r="S68" i="14"/>
  <c r="N67" i="1" s="1"/>
  <c r="AJ67" i="14"/>
  <c r="AI67" i="14"/>
  <c r="AH67" i="14"/>
  <c r="AG67" i="14"/>
  <c r="AF67" i="14"/>
  <c r="AE67" i="14"/>
  <c r="AD67" i="14"/>
  <c r="AC67" i="14"/>
  <c r="AB67" i="14"/>
  <c r="AA67" i="14"/>
  <c r="Z67" i="14"/>
  <c r="Y67" i="14"/>
  <c r="V67" i="14"/>
  <c r="U67" i="14" s="1"/>
  <c r="T67" i="14"/>
  <c r="S67" i="14"/>
  <c r="N66" i="1" s="1"/>
  <c r="AJ66" i="14"/>
  <c r="AI66" i="14"/>
  <c r="AH66" i="14"/>
  <c r="AG66" i="14"/>
  <c r="AF66" i="14"/>
  <c r="AE66" i="14"/>
  <c r="AD66" i="14"/>
  <c r="AC66" i="14"/>
  <c r="AB66" i="14"/>
  <c r="AA66" i="14"/>
  <c r="Z66" i="14"/>
  <c r="Y66" i="14"/>
  <c r="V66" i="14"/>
  <c r="U66" i="14" s="1"/>
  <c r="T66" i="14"/>
  <c r="S66" i="14"/>
  <c r="N65" i="1" s="1"/>
  <c r="AJ65" i="14"/>
  <c r="AI65" i="14"/>
  <c r="AH65" i="14"/>
  <c r="AG65" i="14"/>
  <c r="AF65" i="14"/>
  <c r="AE65" i="14"/>
  <c r="AD65" i="14"/>
  <c r="AC65" i="14"/>
  <c r="AB65" i="14"/>
  <c r="AA65" i="14"/>
  <c r="Z65" i="14"/>
  <c r="Y65" i="14"/>
  <c r="V65" i="14"/>
  <c r="U65" i="14" s="1"/>
  <c r="T65" i="14"/>
  <c r="S65" i="14"/>
  <c r="N64" i="1" s="1"/>
  <c r="AJ64" i="14"/>
  <c r="AI64" i="14"/>
  <c r="AH64" i="14"/>
  <c r="AG64" i="14"/>
  <c r="AF64" i="14"/>
  <c r="AE64" i="14"/>
  <c r="AD64" i="14"/>
  <c r="AC64" i="14"/>
  <c r="AB64" i="14"/>
  <c r="AA64" i="14"/>
  <c r="Z64" i="14"/>
  <c r="Y64" i="14"/>
  <c r="V64" i="14"/>
  <c r="U64" i="14" s="1"/>
  <c r="T64" i="14"/>
  <c r="S64" i="14"/>
  <c r="N63" i="1" s="1"/>
  <c r="AJ63" i="14"/>
  <c r="AI63" i="14"/>
  <c r="AH63" i="14"/>
  <c r="AG63" i="14"/>
  <c r="AF63" i="14"/>
  <c r="AE63" i="14"/>
  <c r="AD63" i="14"/>
  <c r="AC63" i="14"/>
  <c r="AB63" i="14"/>
  <c r="AA63" i="14"/>
  <c r="Z63" i="14"/>
  <c r="Y63" i="14"/>
  <c r="V63" i="14"/>
  <c r="U63" i="14" s="1"/>
  <c r="T63" i="14"/>
  <c r="S63" i="14"/>
  <c r="N62" i="1" s="1"/>
  <c r="AJ62" i="14"/>
  <c r="AI62" i="14"/>
  <c r="AH62" i="14"/>
  <c r="AG62" i="14"/>
  <c r="AF62" i="14"/>
  <c r="AE62" i="14"/>
  <c r="AD62" i="14"/>
  <c r="AC62" i="14"/>
  <c r="AB62" i="14"/>
  <c r="AA62" i="14"/>
  <c r="Z62" i="14"/>
  <c r="Y62" i="14"/>
  <c r="V62" i="14"/>
  <c r="U62" i="14" s="1"/>
  <c r="T62" i="14"/>
  <c r="S62" i="14"/>
  <c r="N61" i="1" s="1"/>
  <c r="AJ61" i="14"/>
  <c r="AI61" i="14"/>
  <c r="AH61" i="14"/>
  <c r="AG61" i="14"/>
  <c r="AF61" i="14"/>
  <c r="AE61" i="14"/>
  <c r="AD61" i="14"/>
  <c r="AC61" i="14"/>
  <c r="AB61" i="14"/>
  <c r="AA61" i="14"/>
  <c r="Z61" i="14"/>
  <c r="Y61" i="14"/>
  <c r="V61" i="14"/>
  <c r="U61" i="14" s="1"/>
  <c r="T61" i="14"/>
  <c r="S61" i="14"/>
  <c r="N60" i="1" s="1"/>
  <c r="AJ60" i="14"/>
  <c r="AI60" i="14"/>
  <c r="AH60" i="14"/>
  <c r="AG60" i="14"/>
  <c r="AF60" i="14"/>
  <c r="AE60" i="14"/>
  <c r="AD60" i="14"/>
  <c r="AC60" i="14"/>
  <c r="AB60" i="14"/>
  <c r="AA60" i="14"/>
  <c r="Z60" i="14"/>
  <c r="Y60" i="14"/>
  <c r="V60" i="14"/>
  <c r="U60" i="14" s="1"/>
  <c r="T60" i="14"/>
  <c r="S60" i="14"/>
  <c r="N59" i="1" s="1"/>
  <c r="AJ59" i="14"/>
  <c r="AI59" i="14"/>
  <c r="AH59" i="14"/>
  <c r="AG59" i="14"/>
  <c r="AF59" i="14"/>
  <c r="AE59" i="14"/>
  <c r="AD59" i="14"/>
  <c r="AC59" i="14"/>
  <c r="AB59" i="14"/>
  <c r="AA59" i="14"/>
  <c r="Z59" i="14"/>
  <c r="Y59" i="14"/>
  <c r="V59" i="14"/>
  <c r="U59" i="14" s="1"/>
  <c r="T59" i="14"/>
  <c r="S59" i="14"/>
  <c r="N58" i="1" s="1"/>
  <c r="AJ58" i="14"/>
  <c r="AI58" i="14"/>
  <c r="AH58" i="14"/>
  <c r="AG58" i="14"/>
  <c r="AF58" i="14"/>
  <c r="AE58" i="14"/>
  <c r="AD58" i="14"/>
  <c r="AC58" i="14"/>
  <c r="AB58" i="14"/>
  <c r="AA58" i="14"/>
  <c r="Z58" i="14"/>
  <c r="Y58" i="14"/>
  <c r="V58" i="14"/>
  <c r="U58" i="14" s="1"/>
  <c r="T58" i="14"/>
  <c r="S58" i="14"/>
  <c r="N57" i="1" s="1"/>
  <c r="AJ57" i="14"/>
  <c r="AI57" i="14"/>
  <c r="AH57" i="14"/>
  <c r="AG57" i="14"/>
  <c r="AF57" i="14"/>
  <c r="AE57" i="14"/>
  <c r="AD57" i="14"/>
  <c r="AC57" i="14"/>
  <c r="AB57" i="14"/>
  <c r="AA57" i="14"/>
  <c r="Z57" i="14"/>
  <c r="Y57" i="14"/>
  <c r="V57" i="14"/>
  <c r="U57" i="14" s="1"/>
  <c r="T57" i="14"/>
  <c r="S57" i="14"/>
  <c r="N56" i="1" s="1"/>
  <c r="AJ56" i="14"/>
  <c r="AI56" i="14"/>
  <c r="AH56" i="14"/>
  <c r="AG56" i="14"/>
  <c r="AF56" i="14"/>
  <c r="AE56" i="14"/>
  <c r="AD56" i="14"/>
  <c r="AC56" i="14"/>
  <c r="AB56" i="14"/>
  <c r="AA56" i="14"/>
  <c r="Z56" i="14"/>
  <c r="Y56" i="14"/>
  <c r="V56" i="14"/>
  <c r="U56" i="14" s="1"/>
  <c r="T56" i="14"/>
  <c r="S56" i="14"/>
  <c r="N55" i="1" s="1"/>
  <c r="AJ55" i="14"/>
  <c r="AI55" i="14"/>
  <c r="AH55" i="14"/>
  <c r="AG55" i="14"/>
  <c r="AF55" i="14"/>
  <c r="AE55" i="14"/>
  <c r="AD55" i="14"/>
  <c r="AC55" i="14"/>
  <c r="AB55" i="14"/>
  <c r="AA55" i="14"/>
  <c r="Z55" i="14"/>
  <c r="Y55" i="14"/>
  <c r="V55" i="14"/>
  <c r="U55" i="14" s="1"/>
  <c r="T55" i="14"/>
  <c r="S55" i="14"/>
  <c r="N54" i="1" s="1"/>
  <c r="AJ54" i="14"/>
  <c r="AI54" i="14"/>
  <c r="AH54" i="14"/>
  <c r="AG54" i="14"/>
  <c r="AF54" i="14"/>
  <c r="AE54" i="14"/>
  <c r="AD54" i="14"/>
  <c r="AC54" i="14"/>
  <c r="AB54" i="14"/>
  <c r="AA54" i="14"/>
  <c r="Z54" i="14"/>
  <c r="Y54" i="14"/>
  <c r="V54" i="14"/>
  <c r="U54" i="14"/>
  <c r="T54" i="14" s="1"/>
  <c r="S54" i="14"/>
  <c r="N53" i="1" s="1"/>
  <c r="AJ53" i="14"/>
  <c r="AI53" i="14"/>
  <c r="AH53" i="14"/>
  <c r="AG53" i="14"/>
  <c r="AF53" i="14"/>
  <c r="AE53" i="14"/>
  <c r="AD53" i="14"/>
  <c r="AC53" i="14"/>
  <c r="AB53" i="14"/>
  <c r="AA53" i="14"/>
  <c r="Z53" i="14"/>
  <c r="Y53" i="14"/>
  <c r="V53" i="14"/>
  <c r="U53" i="14" s="1"/>
  <c r="T53" i="14"/>
  <c r="S53" i="14"/>
  <c r="N52" i="1" s="1"/>
  <c r="AJ52" i="14"/>
  <c r="AI52" i="14"/>
  <c r="AH52" i="14"/>
  <c r="AG52" i="14"/>
  <c r="AF52" i="14"/>
  <c r="AE52" i="14"/>
  <c r="AD52" i="14"/>
  <c r="AC52" i="14"/>
  <c r="AB52" i="14"/>
  <c r="AA52" i="14"/>
  <c r="Z52" i="14"/>
  <c r="Y52" i="14"/>
  <c r="V52" i="14"/>
  <c r="U52" i="14" s="1"/>
  <c r="T52" i="14"/>
  <c r="S52" i="14"/>
  <c r="N51" i="1" s="1"/>
  <c r="AJ51" i="14"/>
  <c r="AI51" i="14"/>
  <c r="AH51" i="14"/>
  <c r="AG51" i="14"/>
  <c r="AF51" i="14"/>
  <c r="AE51" i="14"/>
  <c r="AD51" i="14"/>
  <c r="AC51" i="14"/>
  <c r="AB51" i="14"/>
  <c r="AA51" i="14"/>
  <c r="Z51" i="14"/>
  <c r="Y51" i="14"/>
  <c r="V51" i="14"/>
  <c r="U51" i="14" s="1"/>
  <c r="T51" i="14"/>
  <c r="S51" i="14"/>
  <c r="N50" i="1" s="1"/>
  <c r="AJ50" i="14"/>
  <c r="AI50" i="14"/>
  <c r="AH50" i="14"/>
  <c r="AG50" i="14"/>
  <c r="AF50" i="14"/>
  <c r="AE50" i="14"/>
  <c r="AD50" i="14"/>
  <c r="AC50" i="14"/>
  <c r="AB50" i="14"/>
  <c r="AA50" i="14"/>
  <c r="Z50" i="14"/>
  <c r="Y50" i="14"/>
  <c r="V50" i="14"/>
  <c r="U50" i="14" s="1"/>
  <c r="T50" i="14"/>
  <c r="S50" i="14"/>
  <c r="N49" i="1" s="1"/>
  <c r="AJ49" i="14"/>
  <c r="AI49" i="14"/>
  <c r="AH49" i="14"/>
  <c r="AG49" i="14"/>
  <c r="AF49" i="14"/>
  <c r="AE49" i="14"/>
  <c r="AD49" i="14"/>
  <c r="AC49" i="14"/>
  <c r="AB49" i="14"/>
  <c r="AA49" i="14"/>
  <c r="Z49" i="14"/>
  <c r="Y49" i="14"/>
  <c r="V49" i="14"/>
  <c r="U49" i="14" s="1"/>
  <c r="T49" i="14"/>
  <c r="S49" i="14"/>
  <c r="N48" i="1" s="1"/>
  <c r="AJ48" i="14"/>
  <c r="AI48" i="14"/>
  <c r="AH48" i="14"/>
  <c r="AG48" i="14"/>
  <c r="AF48" i="14"/>
  <c r="AE48" i="14"/>
  <c r="AD48" i="14"/>
  <c r="AC48" i="14"/>
  <c r="AB48" i="14"/>
  <c r="AA48" i="14"/>
  <c r="Z48" i="14"/>
  <c r="Y48" i="14"/>
  <c r="V48" i="14"/>
  <c r="U48" i="14" s="1"/>
  <c r="T48" i="14"/>
  <c r="S48" i="14"/>
  <c r="N47" i="1" s="1"/>
  <c r="AJ47" i="14"/>
  <c r="AI47" i="14"/>
  <c r="AH47" i="14"/>
  <c r="AG47" i="14"/>
  <c r="AF47" i="14"/>
  <c r="AE47" i="14"/>
  <c r="AD47" i="14"/>
  <c r="AC47" i="14"/>
  <c r="AB47" i="14"/>
  <c r="AA47" i="14"/>
  <c r="Z47" i="14"/>
  <c r="Y47" i="14"/>
  <c r="V47" i="14"/>
  <c r="U47" i="14" s="1"/>
  <c r="T47" i="14"/>
  <c r="S47" i="14"/>
  <c r="N46" i="1" s="1"/>
  <c r="AJ46" i="14"/>
  <c r="AI46" i="14"/>
  <c r="AH46" i="14"/>
  <c r="AG46" i="14"/>
  <c r="AF46" i="14"/>
  <c r="AE46" i="14"/>
  <c r="AD46" i="14"/>
  <c r="AC46" i="14"/>
  <c r="AB46" i="14"/>
  <c r="AA46" i="14"/>
  <c r="Z46" i="14"/>
  <c r="Y46" i="14"/>
  <c r="V46" i="14"/>
  <c r="U46" i="14" s="1"/>
  <c r="T46" i="14"/>
  <c r="S46" i="14"/>
  <c r="N45" i="1" s="1"/>
  <c r="AJ45" i="14"/>
  <c r="AI45" i="14"/>
  <c r="AH45" i="14"/>
  <c r="AG45" i="14"/>
  <c r="AF45" i="14"/>
  <c r="AE45" i="14"/>
  <c r="AD45" i="14"/>
  <c r="AC45" i="14"/>
  <c r="AB45" i="14"/>
  <c r="AA45" i="14"/>
  <c r="Z45" i="14"/>
  <c r="Y45" i="14"/>
  <c r="V45" i="14"/>
  <c r="U45" i="14" s="1"/>
  <c r="T45" i="14"/>
  <c r="S45" i="14"/>
  <c r="N44" i="1" s="1"/>
  <c r="AJ44" i="14"/>
  <c r="AI44" i="14"/>
  <c r="AH44" i="14"/>
  <c r="AG44" i="14"/>
  <c r="AF44" i="14"/>
  <c r="AE44" i="14"/>
  <c r="AD44" i="14"/>
  <c r="AC44" i="14"/>
  <c r="AB44" i="14"/>
  <c r="AA44" i="14"/>
  <c r="Z44" i="14"/>
  <c r="Y44" i="14"/>
  <c r="V44" i="14"/>
  <c r="U44" i="14" s="1"/>
  <c r="T44" i="14"/>
  <c r="S44" i="14"/>
  <c r="N43" i="1" s="1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V43" i="14"/>
  <c r="U43" i="14" s="1"/>
  <c r="T43" i="14"/>
  <c r="S43" i="14"/>
  <c r="N42" i="1" s="1"/>
  <c r="AJ42" i="14"/>
  <c r="AI42" i="14"/>
  <c r="AH42" i="14"/>
  <c r="AG42" i="14"/>
  <c r="AF42" i="14"/>
  <c r="AE42" i="14"/>
  <c r="AD42" i="14"/>
  <c r="AC42" i="14"/>
  <c r="AB42" i="14"/>
  <c r="AA42" i="14"/>
  <c r="Z42" i="14"/>
  <c r="Y42" i="14"/>
  <c r="V42" i="14"/>
  <c r="U42" i="14" s="1"/>
  <c r="T42" i="14"/>
  <c r="S42" i="14"/>
  <c r="N41" i="1" s="1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V41" i="14"/>
  <c r="U41" i="14" s="1"/>
  <c r="T41" i="14"/>
  <c r="S41" i="14"/>
  <c r="N40" i="1" s="1"/>
  <c r="AJ40" i="14"/>
  <c r="AI40" i="14"/>
  <c r="AH40" i="14"/>
  <c r="AG40" i="14"/>
  <c r="AF40" i="14"/>
  <c r="AE40" i="14"/>
  <c r="AD40" i="14"/>
  <c r="AC40" i="14"/>
  <c r="AB40" i="14"/>
  <c r="AA40" i="14"/>
  <c r="Z40" i="14"/>
  <c r="Y40" i="14"/>
  <c r="V40" i="14"/>
  <c r="U40" i="14" s="1"/>
  <c r="T40" i="14"/>
  <c r="S40" i="14"/>
  <c r="N39" i="1" s="1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V39" i="14"/>
  <c r="U39" i="14" s="1"/>
  <c r="T39" i="14"/>
  <c r="S39" i="14"/>
  <c r="N38" i="1" s="1"/>
  <c r="AJ38" i="14"/>
  <c r="AI38" i="14"/>
  <c r="AH38" i="14"/>
  <c r="AG38" i="14"/>
  <c r="AF38" i="14"/>
  <c r="AE38" i="14"/>
  <c r="AD38" i="14"/>
  <c r="AC38" i="14"/>
  <c r="AB38" i="14"/>
  <c r="AA38" i="14"/>
  <c r="Z38" i="14"/>
  <c r="Y38" i="14"/>
  <c r="V38" i="14"/>
  <c r="U38" i="14" s="1"/>
  <c r="T38" i="14"/>
  <c r="S38" i="14"/>
  <c r="N37" i="1" s="1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V37" i="14"/>
  <c r="U37" i="14" s="1"/>
  <c r="T37" i="14"/>
  <c r="S37" i="14"/>
  <c r="N36" i="1" s="1"/>
  <c r="AJ36" i="14"/>
  <c r="AI36" i="14"/>
  <c r="AH36" i="14"/>
  <c r="AG36" i="14"/>
  <c r="AF36" i="14"/>
  <c r="AE36" i="14"/>
  <c r="AD36" i="14"/>
  <c r="AC36" i="14"/>
  <c r="AB36" i="14"/>
  <c r="AA36" i="14"/>
  <c r="Z36" i="14"/>
  <c r="Y36" i="14"/>
  <c r="V36" i="14"/>
  <c r="U36" i="14" s="1"/>
  <c r="T36" i="14"/>
  <c r="S36" i="14"/>
  <c r="N35" i="1" s="1"/>
  <c r="AJ35" i="14"/>
  <c r="AI35" i="14"/>
  <c r="AH35" i="14"/>
  <c r="AG35" i="14"/>
  <c r="AF35" i="14"/>
  <c r="AE35" i="14"/>
  <c r="AD35" i="14"/>
  <c r="AC35" i="14"/>
  <c r="AB35" i="14"/>
  <c r="AA35" i="14"/>
  <c r="Z35" i="14"/>
  <c r="Y35" i="14"/>
  <c r="V35" i="14"/>
  <c r="U35" i="14" s="1"/>
  <c r="T35" i="14"/>
  <c r="S35" i="14"/>
  <c r="N34" i="1" s="1"/>
  <c r="AJ34" i="14"/>
  <c r="AI34" i="14"/>
  <c r="AH34" i="14"/>
  <c r="AG34" i="14"/>
  <c r="AF34" i="14"/>
  <c r="AE34" i="14"/>
  <c r="AD34" i="14"/>
  <c r="AC34" i="14"/>
  <c r="AB34" i="14"/>
  <c r="AA34" i="14"/>
  <c r="Z34" i="14"/>
  <c r="Y34" i="14"/>
  <c r="V34" i="14"/>
  <c r="U34" i="14" s="1"/>
  <c r="T34" i="14"/>
  <c r="S34" i="14"/>
  <c r="N33" i="1" s="1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V33" i="14"/>
  <c r="U33" i="14" s="1"/>
  <c r="T33" i="14"/>
  <c r="S33" i="14"/>
  <c r="N32" i="1" s="1"/>
  <c r="AJ32" i="14"/>
  <c r="AI32" i="14"/>
  <c r="AH32" i="14"/>
  <c r="AG32" i="14"/>
  <c r="AF32" i="14"/>
  <c r="AE32" i="14"/>
  <c r="AD32" i="14"/>
  <c r="AC32" i="14"/>
  <c r="AB32" i="14"/>
  <c r="AA32" i="14"/>
  <c r="Z32" i="14"/>
  <c r="Y32" i="14"/>
  <c r="V32" i="14"/>
  <c r="U32" i="14" s="1"/>
  <c r="T32" i="14"/>
  <c r="S32" i="14"/>
  <c r="N31" i="1" s="1"/>
  <c r="AJ31" i="14"/>
  <c r="AI31" i="14"/>
  <c r="AH31" i="14"/>
  <c r="AG31" i="14"/>
  <c r="AF31" i="14"/>
  <c r="AE31" i="14"/>
  <c r="AD31" i="14"/>
  <c r="AC31" i="14"/>
  <c r="AB31" i="14"/>
  <c r="AA31" i="14"/>
  <c r="Z31" i="14"/>
  <c r="Y31" i="14"/>
  <c r="V31" i="14"/>
  <c r="U31" i="14" s="1"/>
  <c r="T31" i="14"/>
  <c r="S31" i="14"/>
  <c r="N30" i="1" s="1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V30" i="14"/>
  <c r="U30" i="14" s="1"/>
  <c r="T30" i="14"/>
  <c r="S30" i="14"/>
  <c r="N29" i="1" s="1"/>
  <c r="AJ29" i="14"/>
  <c r="AI29" i="14"/>
  <c r="AH29" i="14"/>
  <c r="AG29" i="14"/>
  <c r="AF29" i="14"/>
  <c r="AE29" i="14"/>
  <c r="AD29" i="14"/>
  <c r="AC29" i="14"/>
  <c r="AB29" i="14"/>
  <c r="AA29" i="14"/>
  <c r="Z29" i="14"/>
  <c r="Y29" i="14"/>
  <c r="V29" i="14"/>
  <c r="U29" i="14" s="1"/>
  <c r="T29" i="14"/>
  <c r="S29" i="14"/>
  <c r="N28" i="1" s="1"/>
  <c r="AJ28" i="14"/>
  <c r="AI28" i="14"/>
  <c r="AH28" i="14"/>
  <c r="AG28" i="14"/>
  <c r="AF28" i="14"/>
  <c r="AE28" i="14"/>
  <c r="AD28" i="14"/>
  <c r="AC28" i="14"/>
  <c r="AB28" i="14"/>
  <c r="AA28" i="14"/>
  <c r="Z28" i="14"/>
  <c r="Y28" i="14"/>
  <c r="V28" i="14"/>
  <c r="U28" i="14" s="1"/>
  <c r="T28" i="14"/>
  <c r="S28" i="14"/>
  <c r="N27" i="1" s="1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V27" i="14"/>
  <c r="U27" i="14" s="1"/>
  <c r="T27" i="14"/>
  <c r="S27" i="14"/>
  <c r="N26" i="1" s="1"/>
  <c r="AJ26" i="14"/>
  <c r="AI26" i="14"/>
  <c r="AH26" i="14"/>
  <c r="AG26" i="14"/>
  <c r="AF26" i="14"/>
  <c r="AE26" i="14"/>
  <c r="AD26" i="14"/>
  <c r="AC26" i="14"/>
  <c r="AB26" i="14"/>
  <c r="AA26" i="14"/>
  <c r="Z26" i="14"/>
  <c r="Y26" i="14"/>
  <c r="V26" i="14"/>
  <c r="U26" i="14" s="1"/>
  <c r="T26" i="14"/>
  <c r="S26" i="14"/>
  <c r="N25" i="1" s="1"/>
  <c r="AJ25" i="14"/>
  <c r="AI25" i="14"/>
  <c r="AH25" i="14"/>
  <c r="AG25" i="14"/>
  <c r="AF25" i="14"/>
  <c r="AE25" i="14"/>
  <c r="AD25" i="14"/>
  <c r="AC25" i="14"/>
  <c r="AB25" i="14"/>
  <c r="AA25" i="14"/>
  <c r="Z25" i="14"/>
  <c r="Y25" i="14"/>
  <c r="V25" i="14"/>
  <c r="U25" i="14" s="1"/>
  <c r="T25" i="14"/>
  <c r="S25" i="14"/>
  <c r="N24" i="1" s="1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V24" i="14"/>
  <c r="U24" i="14" s="1"/>
  <c r="T24" i="14"/>
  <c r="S24" i="14"/>
  <c r="N23" i="1" s="1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V23" i="14"/>
  <c r="U23" i="14" s="1"/>
  <c r="T23" i="14"/>
  <c r="S23" i="14"/>
  <c r="N22" i="1" s="1"/>
  <c r="AJ22" i="14"/>
  <c r="AI22" i="14"/>
  <c r="AH22" i="14"/>
  <c r="AG22" i="14"/>
  <c r="AF22" i="14"/>
  <c r="AE22" i="14"/>
  <c r="AD22" i="14"/>
  <c r="AC22" i="14"/>
  <c r="AB22" i="14"/>
  <c r="AA22" i="14"/>
  <c r="Z22" i="14"/>
  <c r="Y22" i="14"/>
  <c r="V22" i="14"/>
  <c r="U22" i="14" s="1"/>
  <c r="T22" i="14"/>
  <c r="S22" i="14"/>
  <c r="N21" i="1" s="1"/>
  <c r="AJ21" i="14"/>
  <c r="AI21" i="14"/>
  <c r="AH21" i="14"/>
  <c r="AG21" i="14"/>
  <c r="AF21" i="14"/>
  <c r="AE21" i="14"/>
  <c r="AD21" i="14"/>
  <c r="AC21" i="14"/>
  <c r="AB21" i="14"/>
  <c r="AA21" i="14"/>
  <c r="Z21" i="14"/>
  <c r="Y21" i="14"/>
  <c r="V21" i="14"/>
  <c r="U21" i="14" s="1"/>
  <c r="T21" i="14"/>
  <c r="S21" i="14"/>
  <c r="N20" i="1" s="1"/>
  <c r="AJ20" i="14"/>
  <c r="AI20" i="14"/>
  <c r="AH20" i="14"/>
  <c r="AG20" i="14"/>
  <c r="AF20" i="14"/>
  <c r="AE20" i="14"/>
  <c r="AD20" i="14"/>
  <c r="AC20" i="14"/>
  <c r="AB20" i="14"/>
  <c r="AA20" i="14"/>
  <c r="Z20" i="14"/>
  <c r="Y20" i="14"/>
  <c r="V20" i="14"/>
  <c r="U20" i="14" s="1"/>
  <c r="T20" i="14"/>
  <c r="S20" i="14"/>
  <c r="N19" i="1" s="1"/>
  <c r="AJ19" i="14"/>
  <c r="AI19" i="14"/>
  <c r="AH19" i="14"/>
  <c r="AG19" i="14"/>
  <c r="AF19" i="14"/>
  <c r="AE19" i="14"/>
  <c r="AD19" i="14"/>
  <c r="AC19" i="14"/>
  <c r="AB19" i="14"/>
  <c r="AA19" i="14"/>
  <c r="Z19" i="14"/>
  <c r="Y19" i="14"/>
  <c r="V19" i="14"/>
  <c r="U19" i="14" s="1"/>
  <c r="T19" i="14"/>
  <c r="S19" i="14"/>
  <c r="N18" i="1" s="1"/>
  <c r="AJ18" i="14"/>
  <c r="AI18" i="14"/>
  <c r="AH18" i="14"/>
  <c r="AG18" i="14"/>
  <c r="AF18" i="14"/>
  <c r="AE18" i="14"/>
  <c r="AD18" i="14"/>
  <c r="AC18" i="14"/>
  <c r="AB18" i="14"/>
  <c r="AA18" i="14"/>
  <c r="Z18" i="14"/>
  <c r="Y18" i="14"/>
  <c r="V18" i="14"/>
  <c r="U18" i="14" s="1"/>
  <c r="T18" i="14"/>
  <c r="S18" i="14"/>
  <c r="N17" i="1" s="1"/>
  <c r="AJ17" i="14"/>
  <c r="AI17" i="14"/>
  <c r="AH17" i="14"/>
  <c r="AG17" i="14"/>
  <c r="AF17" i="14"/>
  <c r="AE17" i="14"/>
  <c r="AD17" i="14"/>
  <c r="AC17" i="14"/>
  <c r="AB17" i="14"/>
  <c r="AA17" i="14"/>
  <c r="Z17" i="14"/>
  <c r="Y17" i="14"/>
  <c r="V17" i="14"/>
  <c r="U17" i="14" s="1"/>
  <c r="T17" i="14"/>
  <c r="S17" i="14"/>
  <c r="N16" i="1" s="1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V16" i="14"/>
  <c r="U16" i="14" s="1"/>
  <c r="T16" i="14"/>
  <c r="S16" i="14"/>
  <c r="N15" i="1" s="1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V15" i="14"/>
  <c r="U15" i="14" s="1"/>
  <c r="T15" i="14"/>
  <c r="S15" i="14"/>
  <c r="N14" i="1" s="1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V14" i="14"/>
  <c r="U14" i="14" s="1"/>
  <c r="T14" i="14"/>
  <c r="S14" i="14"/>
  <c r="N13" i="1" s="1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V13" i="14"/>
  <c r="U13" i="14" s="1"/>
  <c r="T13" i="14"/>
  <c r="S13" i="14"/>
  <c r="N12" i="1" s="1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V12" i="14"/>
  <c r="U12" i="14" s="1"/>
  <c r="T12" i="14"/>
  <c r="S12" i="14"/>
  <c r="N11" i="1" s="1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V11" i="14"/>
  <c r="U11" i="14" s="1"/>
  <c r="T11" i="14"/>
  <c r="S11" i="14"/>
  <c r="N10" i="1" s="1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V10" i="14"/>
  <c r="U10" i="14" s="1"/>
  <c r="T10" i="14"/>
  <c r="S10" i="14"/>
  <c r="N9" i="1" s="1"/>
  <c r="AJ9" i="14"/>
  <c r="AI9" i="14"/>
  <c r="AH9" i="14"/>
  <c r="AG9" i="14"/>
  <c r="AF9" i="14"/>
  <c r="AE9" i="14"/>
  <c r="AD9" i="14"/>
  <c r="AC9" i="14"/>
  <c r="AB9" i="14"/>
  <c r="AA9" i="14"/>
  <c r="Z9" i="14"/>
  <c r="Y9" i="14"/>
  <c r="V9" i="14"/>
  <c r="U9" i="14" s="1"/>
  <c r="T9" i="14"/>
  <c r="S9" i="14"/>
  <c r="N8" i="1" s="1"/>
  <c r="AJ8" i="14"/>
  <c r="AI8" i="14"/>
  <c r="AH8" i="14"/>
  <c r="AG8" i="14"/>
  <c r="AF8" i="14"/>
  <c r="AE8" i="14"/>
  <c r="AD8" i="14"/>
  <c r="AC8" i="14"/>
  <c r="AB8" i="14"/>
  <c r="AA8" i="14"/>
  <c r="Z8" i="14"/>
  <c r="Y8" i="14"/>
  <c r="V8" i="14"/>
  <c r="U8" i="14" s="1"/>
  <c r="T8" i="14"/>
  <c r="S8" i="14"/>
  <c r="N7" i="1" s="1"/>
  <c r="AJ7" i="14"/>
  <c r="AI7" i="14"/>
  <c r="AH7" i="14"/>
  <c r="AG7" i="14"/>
  <c r="AF7" i="14"/>
  <c r="AE7" i="14"/>
  <c r="AD7" i="14"/>
  <c r="AC7" i="14"/>
  <c r="AB7" i="14"/>
  <c r="AA7" i="14"/>
  <c r="Z7" i="14"/>
  <c r="Y7" i="14"/>
  <c r="V7" i="14"/>
  <c r="U7" i="14" s="1"/>
  <c r="T7" i="14"/>
  <c r="S7" i="14"/>
  <c r="N6" i="1" s="1"/>
  <c r="AJ6" i="14"/>
  <c r="AI6" i="14"/>
  <c r="AH6" i="14"/>
  <c r="AG6" i="14"/>
  <c r="AF6" i="14"/>
  <c r="AE6" i="14"/>
  <c r="AD6" i="14"/>
  <c r="AC6" i="14"/>
  <c r="AB6" i="14"/>
  <c r="AA6" i="14"/>
  <c r="Z6" i="14"/>
  <c r="Y6" i="14"/>
  <c r="V6" i="14"/>
  <c r="U6" i="14" s="1"/>
  <c r="T6" i="14"/>
  <c r="S6" i="14"/>
  <c r="N5" i="1" s="1"/>
  <c r="AJ5" i="14"/>
  <c r="AI5" i="14"/>
  <c r="AH5" i="14"/>
  <c r="AG5" i="14"/>
  <c r="AF5" i="14"/>
  <c r="AE5" i="14"/>
  <c r="AD5" i="14"/>
  <c r="AC5" i="14"/>
  <c r="AB5" i="14"/>
  <c r="AA5" i="14"/>
  <c r="Z5" i="14"/>
  <c r="Y5" i="14"/>
  <c r="V5" i="14"/>
  <c r="U5" i="14" s="1"/>
  <c r="T5" i="14"/>
  <c r="S5" i="14"/>
  <c r="N4" i="1" s="1"/>
  <c r="AJ4" i="14"/>
  <c r="AI4" i="14"/>
  <c r="AH4" i="14"/>
  <c r="AG4" i="14"/>
  <c r="AF4" i="14"/>
  <c r="AE4" i="14"/>
  <c r="AD4" i="14"/>
  <c r="AC4" i="14"/>
  <c r="AB4" i="14"/>
  <c r="AA4" i="14"/>
  <c r="Z4" i="14"/>
  <c r="Y4" i="14"/>
  <c r="V4" i="14"/>
  <c r="U4" i="14" s="1"/>
  <c r="T4" i="14"/>
  <c r="S4" i="14"/>
  <c r="N3" i="1" s="1"/>
  <c r="AJ2" i="14"/>
  <c r="AI2" i="14"/>
  <c r="AH2" i="14"/>
  <c r="AG2" i="14"/>
  <c r="AF2" i="14"/>
  <c r="AE2" i="14"/>
  <c r="AD2" i="14"/>
  <c r="AC2" i="14"/>
  <c r="AB2" i="14"/>
  <c r="AA2" i="14"/>
  <c r="Z2" i="14"/>
  <c r="Y2" i="14"/>
  <c r="V2" i="14"/>
  <c r="U2" i="14"/>
  <c r="T2" i="14"/>
  <c r="V14" i="15" l="1"/>
  <c r="X14" i="15" s="1"/>
  <c r="V22" i="15"/>
  <c r="X22" i="15" s="1"/>
  <c r="V26" i="15"/>
  <c r="X26" i="15" s="1"/>
  <c r="V34" i="15"/>
  <c r="X34" i="15" s="1"/>
  <c r="V38" i="15"/>
  <c r="X38" i="15" s="1"/>
  <c r="V42" i="15"/>
  <c r="X42" i="15" s="1"/>
  <c r="V46" i="15"/>
  <c r="X46" i="15" s="1"/>
  <c r="V50" i="15"/>
  <c r="X50" i="15" s="1"/>
  <c r="V5" i="15"/>
  <c r="X5" i="15" s="1"/>
  <c r="V9" i="15"/>
  <c r="X9" i="15" s="1"/>
  <c r="V13" i="15"/>
  <c r="X13" i="15" s="1"/>
  <c r="V17" i="15"/>
  <c r="X17" i="15" s="1"/>
  <c r="V21" i="15"/>
  <c r="X21" i="15" s="1"/>
  <c r="V25" i="15"/>
  <c r="X25" i="15" s="1"/>
  <c r="V29" i="15"/>
  <c r="X29" i="15" s="1"/>
  <c r="V33" i="15"/>
  <c r="X33" i="15" s="1"/>
  <c r="V37" i="15"/>
  <c r="X37" i="15" s="1"/>
  <c r="V41" i="15"/>
  <c r="X41" i="15" s="1"/>
  <c r="V45" i="15"/>
  <c r="X45" i="15" s="1"/>
  <c r="V49" i="15"/>
  <c r="X49" i="15" s="1"/>
  <c r="V53" i="15"/>
  <c r="X53" i="15" s="1"/>
  <c r="V57" i="15"/>
  <c r="X57" i="15" s="1"/>
  <c r="V61" i="15"/>
  <c r="X61" i="15" s="1"/>
  <c r="V65" i="15"/>
  <c r="X65" i="15" s="1"/>
  <c r="V4" i="15"/>
  <c r="X4" i="15" s="1"/>
  <c r="V8" i="15"/>
  <c r="X8" i="15" s="1"/>
  <c r="V12" i="15"/>
  <c r="X12" i="15" s="1"/>
  <c r="V16" i="15"/>
  <c r="X16" i="15" s="1"/>
  <c r="V20" i="15"/>
  <c r="X20" i="15" s="1"/>
  <c r="V24" i="15"/>
  <c r="X24" i="15" s="1"/>
  <c r="V28" i="15"/>
  <c r="X28" i="15" s="1"/>
  <c r="V32" i="15"/>
  <c r="X32" i="15" s="1"/>
  <c r="V36" i="15"/>
  <c r="X36" i="15" s="1"/>
  <c r="V40" i="15"/>
  <c r="X40" i="15" s="1"/>
  <c r="V44" i="15"/>
  <c r="X44" i="15" s="1"/>
  <c r="V48" i="15"/>
  <c r="X48" i="15" s="1"/>
  <c r="V52" i="15"/>
  <c r="X52" i="15" s="1"/>
  <c r="V56" i="15"/>
  <c r="X56" i="15" s="1"/>
  <c r="V60" i="15"/>
  <c r="X60" i="15" s="1"/>
  <c r="V64" i="15"/>
  <c r="X64" i="15" s="1"/>
  <c r="V68" i="15"/>
  <c r="X68" i="15" s="1"/>
  <c r="V7" i="15"/>
  <c r="X7" i="15" s="1"/>
  <c r="V11" i="15"/>
  <c r="X11" i="15" s="1"/>
  <c r="V15" i="15"/>
  <c r="X15" i="15" s="1"/>
  <c r="V19" i="15"/>
  <c r="X19" i="15" s="1"/>
  <c r="V23" i="15"/>
  <c r="X23" i="15" s="1"/>
  <c r="V27" i="15"/>
  <c r="X27" i="15" s="1"/>
  <c r="V31" i="15"/>
  <c r="X31" i="15" s="1"/>
  <c r="V35" i="15"/>
  <c r="X35" i="15" s="1"/>
  <c r="V39" i="15"/>
  <c r="X39" i="15" s="1"/>
  <c r="V43" i="15"/>
  <c r="X43" i="15" s="1"/>
  <c r="V47" i="15"/>
  <c r="X47" i="15" s="1"/>
  <c r="V51" i="15"/>
  <c r="X51" i="15" s="1"/>
  <c r="V55" i="15"/>
  <c r="X55" i="15" s="1"/>
  <c r="V59" i="15"/>
  <c r="X59" i="15" s="1"/>
  <c r="V63" i="15"/>
  <c r="X63" i="15" s="1"/>
  <c r="V67" i="15"/>
  <c r="X67" i="15" s="1"/>
  <c r="V6" i="15"/>
  <c r="X6" i="15" s="1"/>
  <c r="V10" i="15"/>
  <c r="X10" i="15" s="1"/>
  <c r="V18" i="15"/>
  <c r="X18" i="15" s="1"/>
  <c r="V30" i="15"/>
  <c r="X30" i="15" s="1"/>
  <c r="V58" i="15"/>
  <c r="X58" i="15" s="1"/>
  <c r="V62" i="15"/>
  <c r="X62" i="15" s="1"/>
  <c r="V66" i="15"/>
  <c r="X66" i="15" s="1"/>
  <c r="AM30" i="15"/>
  <c r="AJ29" i="1" s="1"/>
  <c r="AN29" i="1" s="1"/>
  <c r="AM46" i="15"/>
  <c r="AJ45" i="1" s="1"/>
  <c r="AN45" i="1" s="1"/>
  <c r="AM55" i="15"/>
  <c r="AJ54" i="1" s="1"/>
  <c r="AN54" i="1" s="1"/>
  <c r="AM5" i="15"/>
  <c r="AJ4" i="1" s="1"/>
  <c r="AN4" i="1" s="1"/>
  <c r="AM6" i="15"/>
  <c r="AJ5" i="1" s="1"/>
  <c r="AN5" i="1" s="1"/>
  <c r="AM7" i="15"/>
  <c r="AJ6" i="1" s="1"/>
  <c r="AN6" i="1" s="1"/>
  <c r="AM34" i="15"/>
  <c r="AJ33" i="1" s="1"/>
  <c r="AN33" i="1" s="1"/>
  <c r="AM39" i="15"/>
  <c r="AJ38" i="1" s="1"/>
  <c r="AN38" i="1" s="1"/>
  <c r="AM22" i="15"/>
  <c r="AJ21" i="1" s="1"/>
  <c r="AN21" i="1" s="1"/>
  <c r="AM25" i="15"/>
  <c r="AJ24" i="1" s="1"/>
  <c r="AN24" i="1" s="1"/>
  <c r="AM26" i="15"/>
  <c r="AJ25" i="1" s="1"/>
  <c r="AN25" i="1" s="1"/>
  <c r="AM28" i="15"/>
  <c r="AJ27" i="1" s="1"/>
  <c r="AN27" i="1" s="1"/>
  <c r="AM31" i="15"/>
  <c r="AJ30" i="1" s="1"/>
  <c r="AN30" i="1" s="1"/>
  <c r="AM42" i="15"/>
  <c r="AJ41" i="1" s="1"/>
  <c r="AN41" i="1" s="1"/>
  <c r="AM44" i="15"/>
  <c r="AJ43" i="1" s="1"/>
  <c r="AN43" i="1" s="1"/>
  <c r="AM47" i="15"/>
  <c r="AJ46" i="1" s="1"/>
  <c r="AN46" i="1" s="1"/>
  <c r="X54" i="15"/>
  <c r="AM66" i="15"/>
  <c r="AJ65" i="1" s="1"/>
  <c r="AN65" i="1" s="1"/>
  <c r="AM10" i="15"/>
  <c r="AJ9" i="1" s="1"/>
  <c r="AN9" i="1" s="1"/>
  <c r="AM12" i="15"/>
  <c r="AJ11" i="1" s="1"/>
  <c r="AN11" i="1" s="1"/>
  <c r="AM19" i="15"/>
  <c r="AJ18" i="1" s="1"/>
  <c r="AN18" i="1" s="1"/>
  <c r="AM36" i="15"/>
  <c r="AJ35" i="1" s="1"/>
  <c r="AN35" i="1" s="1"/>
  <c r="AM50" i="15"/>
  <c r="AJ49" i="1" s="1"/>
  <c r="AN49" i="1" s="1"/>
  <c r="AM52" i="15"/>
  <c r="AJ51" i="1" s="1"/>
  <c r="AN51" i="1" s="1"/>
  <c r="AM54" i="15"/>
  <c r="AJ53" i="1" s="1"/>
  <c r="AN53" i="1" s="1"/>
  <c r="AM56" i="15"/>
  <c r="AJ55" i="1" s="1"/>
  <c r="AN55" i="1" s="1"/>
  <c r="AM59" i="15"/>
  <c r="AJ58" i="1" s="1"/>
  <c r="AN58" i="1" s="1"/>
  <c r="AM63" i="15"/>
  <c r="AJ62" i="1" s="1"/>
  <c r="AN62" i="1" s="1"/>
  <c r="AM9" i="15"/>
  <c r="AJ8" i="1" s="1"/>
  <c r="AN8" i="1" s="1"/>
  <c r="AM13" i="15"/>
  <c r="AJ12" i="1" s="1"/>
  <c r="AN12" i="1" s="1"/>
  <c r="AM14" i="15"/>
  <c r="AJ13" i="1" s="1"/>
  <c r="AN13" i="1" s="1"/>
  <c r="AM17" i="15"/>
  <c r="AJ16" i="1" s="1"/>
  <c r="AN16" i="1" s="1"/>
  <c r="AM18" i="15"/>
  <c r="AJ17" i="1" s="1"/>
  <c r="AN17" i="1" s="1"/>
  <c r="AM20" i="15"/>
  <c r="AJ19" i="1" s="1"/>
  <c r="AN19" i="1" s="1"/>
  <c r="AM23" i="15"/>
  <c r="AJ22" i="1" s="1"/>
  <c r="AN22" i="1" s="1"/>
  <c r="AM38" i="15"/>
  <c r="AJ37" i="1" s="1"/>
  <c r="AN37" i="1" s="1"/>
  <c r="AM58" i="15"/>
  <c r="AJ57" i="1" s="1"/>
  <c r="AN57" i="1" s="1"/>
  <c r="AM61" i="15"/>
  <c r="AJ60" i="1" s="1"/>
  <c r="AN60" i="1" s="1"/>
  <c r="AM62" i="15"/>
  <c r="AJ61" i="1" s="1"/>
  <c r="AN61" i="1" s="1"/>
  <c r="AM64" i="15"/>
  <c r="AJ63" i="1" s="1"/>
  <c r="AN63" i="1" s="1"/>
  <c r="AM67" i="15"/>
  <c r="AJ66" i="1" s="1"/>
  <c r="AN66" i="1" s="1"/>
  <c r="AM27" i="15"/>
  <c r="AJ26" i="1" s="1"/>
  <c r="AN26" i="1" s="1"/>
  <c r="AM33" i="15"/>
  <c r="AJ32" i="1" s="1"/>
  <c r="AN32" i="1" s="1"/>
  <c r="AM35" i="15"/>
  <c r="AJ34" i="1" s="1"/>
  <c r="AN34" i="1" s="1"/>
  <c r="AM41" i="15"/>
  <c r="AJ40" i="1" s="1"/>
  <c r="AN40" i="1" s="1"/>
  <c r="AM43" i="15"/>
  <c r="AJ42" i="1" s="1"/>
  <c r="AN42" i="1" s="1"/>
  <c r="AM49" i="15"/>
  <c r="AJ48" i="1" s="1"/>
  <c r="AN48" i="1" s="1"/>
  <c r="AM51" i="15"/>
  <c r="AJ50" i="1" s="1"/>
  <c r="AN50" i="1" s="1"/>
  <c r="AM60" i="15"/>
  <c r="AJ59" i="1" s="1"/>
  <c r="AN59" i="1" s="1"/>
  <c r="AM68" i="15"/>
  <c r="AJ67" i="1" s="1"/>
  <c r="AN67" i="1" s="1"/>
  <c r="AM16" i="15"/>
  <c r="AJ15" i="1" s="1"/>
  <c r="AN15" i="1" s="1"/>
  <c r="AM4" i="15"/>
  <c r="AJ3" i="1" s="1"/>
  <c r="AN3" i="1" s="1"/>
  <c r="AM11" i="15"/>
  <c r="AJ10" i="1" s="1"/>
  <c r="AN10" i="1" s="1"/>
  <c r="AM21" i="15"/>
  <c r="AJ20" i="1" s="1"/>
  <c r="AN20" i="1" s="1"/>
  <c r="AM29" i="15"/>
  <c r="AJ28" i="1" s="1"/>
  <c r="AN28" i="1" s="1"/>
  <c r="AM37" i="15"/>
  <c r="AJ36" i="1" s="1"/>
  <c r="AN36" i="1" s="1"/>
  <c r="AM45" i="15"/>
  <c r="AJ44" i="1" s="1"/>
  <c r="AN44" i="1" s="1"/>
  <c r="AM53" i="15"/>
  <c r="AJ52" i="1" s="1"/>
  <c r="AN52" i="1" s="1"/>
  <c r="AM8" i="15"/>
  <c r="AJ7" i="1" s="1"/>
  <c r="AN7" i="1" s="1"/>
  <c r="AM15" i="15"/>
  <c r="AJ14" i="1" s="1"/>
  <c r="AN14" i="1" s="1"/>
  <c r="AM24" i="15"/>
  <c r="AJ23" i="1" s="1"/>
  <c r="AN23" i="1" s="1"/>
  <c r="AM32" i="15"/>
  <c r="AJ31" i="1" s="1"/>
  <c r="AN31" i="1" s="1"/>
  <c r="AM40" i="15"/>
  <c r="AJ39" i="1" s="1"/>
  <c r="AN39" i="1" s="1"/>
  <c r="AM48" i="15"/>
  <c r="AJ47" i="1" s="1"/>
  <c r="AN47" i="1" s="1"/>
  <c r="AM57" i="15"/>
  <c r="AJ56" i="1" s="1"/>
  <c r="AN56" i="1" s="1"/>
  <c r="AM65" i="15"/>
  <c r="AJ64" i="1" s="1"/>
  <c r="AN64" i="1" s="1"/>
  <c r="W37" i="14"/>
  <c r="W54" i="14"/>
  <c r="W21" i="14"/>
  <c r="AK24" i="14"/>
  <c r="P23" i="1" s="1"/>
  <c r="W53" i="14"/>
  <c r="W57" i="14"/>
  <c r="W13" i="14"/>
  <c r="W25" i="14"/>
  <c r="AK36" i="14"/>
  <c r="P35" i="1" s="1"/>
  <c r="W38" i="14"/>
  <c r="M37" i="1" s="1"/>
  <c r="AK41" i="14"/>
  <c r="P40" i="1" s="1"/>
  <c r="W26" i="14"/>
  <c r="AK56" i="14"/>
  <c r="P55" i="1" s="1"/>
  <c r="W58" i="14"/>
  <c r="W11" i="14"/>
  <c r="W12" i="14"/>
  <c r="AK40" i="14"/>
  <c r="P39" i="1" s="1"/>
  <c r="W42" i="14"/>
  <c r="AK20" i="14"/>
  <c r="P19" i="1" s="1"/>
  <c r="W22" i="14"/>
  <c r="AK25" i="14"/>
  <c r="P24" i="1" s="1"/>
  <c r="W41" i="14"/>
  <c r="AK52" i="14"/>
  <c r="P51" i="1" s="1"/>
  <c r="AK57" i="14"/>
  <c r="P56" i="1" s="1"/>
  <c r="W17" i="14"/>
  <c r="W16" i="14"/>
  <c r="W30" i="14"/>
  <c r="W31" i="14"/>
  <c r="W33" i="14"/>
  <c r="W46" i="14"/>
  <c r="W47" i="14"/>
  <c r="W49" i="14"/>
  <c r="W62" i="14"/>
  <c r="W63" i="14"/>
  <c r="W65" i="14"/>
  <c r="AK21" i="14"/>
  <c r="P20" i="1" s="1"/>
  <c r="AK37" i="14"/>
  <c r="P36" i="1" s="1"/>
  <c r="AK53" i="14"/>
  <c r="P52" i="1" s="1"/>
  <c r="AK68" i="14"/>
  <c r="P67" i="1" s="1"/>
  <c r="W8" i="14"/>
  <c r="AK19" i="14"/>
  <c r="P18" i="1" s="1"/>
  <c r="AK35" i="14"/>
  <c r="P34" i="1" s="1"/>
  <c r="W48" i="14"/>
  <c r="W4" i="14"/>
  <c r="W7" i="14"/>
  <c r="AK23" i="14"/>
  <c r="P22" i="1" s="1"/>
  <c r="AK27" i="14"/>
  <c r="P26" i="1" s="1"/>
  <c r="W32" i="14"/>
  <c r="AK34" i="14"/>
  <c r="P33" i="1" s="1"/>
  <c r="AK39" i="14"/>
  <c r="P38" i="1" s="1"/>
  <c r="AK43" i="14"/>
  <c r="P42" i="1" s="1"/>
  <c r="AK50" i="14"/>
  <c r="P49" i="1" s="1"/>
  <c r="AK51" i="14"/>
  <c r="P50" i="1" s="1"/>
  <c r="AK55" i="14"/>
  <c r="P54" i="1" s="1"/>
  <c r="AK59" i="14"/>
  <c r="P58" i="1" s="1"/>
  <c r="W64" i="14"/>
  <c r="AK66" i="14"/>
  <c r="P65" i="1" s="1"/>
  <c r="AK67" i="14"/>
  <c r="P66" i="1" s="1"/>
  <c r="AK5" i="14"/>
  <c r="P4" i="1" s="1"/>
  <c r="AK10" i="14"/>
  <c r="P9" i="1" s="1"/>
  <c r="AK11" i="14"/>
  <c r="P10" i="1" s="1"/>
  <c r="AK12" i="14"/>
  <c r="P11" i="1" s="1"/>
  <c r="AK15" i="14"/>
  <c r="P14" i="1" s="1"/>
  <c r="AK16" i="14"/>
  <c r="P15" i="1" s="1"/>
  <c r="AK18" i="14"/>
  <c r="P17" i="1" s="1"/>
  <c r="W29" i="14"/>
  <c r="W34" i="14"/>
  <c r="W35" i="14"/>
  <c r="W45" i="14"/>
  <c r="W50" i="14"/>
  <c r="W51" i="14"/>
  <c r="W61" i="14"/>
  <c r="W66" i="14"/>
  <c r="W67" i="14"/>
  <c r="W5" i="14"/>
  <c r="W6" i="14"/>
  <c r="AK6" i="14"/>
  <c r="P5" i="1" s="1"/>
  <c r="AK7" i="14"/>
  <c r="P6" i="1" s="1"/>
  <c r="W9" i="14"/>
  <c r="AK14" i="14"/>
  <c r="P13" i="1" s="1"/>
  <c r="W20" i="14"/>
  <c r="W24" i="14"/>
  <c r="W28" i="14"/>
  <c r="AK30" i="14"/>
  <c r="P29" i="1" s="1"/>
  <c r="AK31" i="14"/>
  <c r="P30" i="1" s="1"/>
  <c r="W36" i="14"/>
  <c r="W40" i="14"/>
  <c r="W44" i="14"/>
  <c r="AK46" i="14"/>
  <c r="P45" i="1" s="1"/>
  <c r="AK47" i="14"/>
  <c r="P46" i="1" s="1"/>
  <c r="W52" i="14"/>
  <c r="W56" i="14"/>
  <c r="W60" i="14"/>
  <c r="AK62" i="14"/>
  <c r="P61" i="1" s="1"/>
  <c r="AK63" i="14"/>
  <c r="P62" i="1" s="1"/>
  <c r="W68" i="14"/>
  <c r="W15" i="14"/>
  <c r="W19" i="14"/>
  <c r="AK38" i="14"/>
  <c r="P37" i="1" s="1"/>
  <c r="AK4" i="14"/>
  <c r="P3" i="1" s="1"/>
  <c r="W10" i="14"/>
  <c r="AK13" i="14"/>
  <c r="P12" i="1" s="1"/>
  <c r="AK17" i="14"/>
  <c r="P16" i="1" s="1"/>
  <c r="W23" i="14"/>
  <c r="AK26" i="14"/>
  <c r="P25" i="1" s="1"/>
  <c r="AK28" i="14"/>
  <c r="P27" i="1" s="1"/>
  <c r="AK29" i="14"/>
  <c r="P28" i="1" s="1"/>
  <c r="W39" i="14"/>
  <c r="AK42" i="14"/>
  <c r="P41" i="1" s="1"/>
  <c r="AK44" i="14"/>
  <c r="P43" i="1" s="1"/>
  <c r="AK45" i="14"/>
  <c r="P44" i="1" s="1"/>
  <c r="W55" i="14"/>
  <c r="AK58" i="14"/>
  <c r="P57" i="1" s="1"/>
  <c r="AK60" i="14"/>
  <c r="P59" i="1" s="1"/>
  <c r="AK61" i="14"/>
  <c r="P60" i="1" s="1"/>
  <c r="AK9" i="14"/>
  <c r="P8" i="1" s="1"/>
  <c r="AK22" i="14"/>
  <c r="P21" i="1" s="1"/>
  <c r="AK54" i="14"/>
  <c r="P53" i="1" s="1"/>
  <c r="AK8" i="14"/>
  <c r="P7" i="1" s="1"/>
  <c r="W14" i="14"/>
  <c r="W18" i="14"/>
  <c r="W27" i="14"/>
  <c r="AK32" i="14"/>
  <c r="P31" i="1" s="1"/>
  <c r="AK33" i="14"/>
  <c r="P32" i="1" s="1"/>
  <c r="W43" i="14"/>
  <c r="AK48" i="14"/>
  <c r="P47" i="1" s="1"/>
  <c r="AK49" i="14"/>
  <c r="P48" i="1" s="1"/>
  <c r="W59" i="14"/>
  <c r="AK64" i="14"/>
  <c r="P63" i="1" s="1"/>
  <c r="AK65" i="14"/>
  <c r="P64" i="1" s="1"/>
  <c r="O63" i="2"/>
  <c r="O61" i="2"/>
  <c r="O55" i="2"/>
  <c r="O51" i="2"/>
  <c r="O46" i="2"/>
  <c r="O42" i="2"/>
  <c r="O29" i="2"/>
  <c r="O24" i="2"/>
  <c r="O23" i="2"/>
  <c r="N63" i="2"/>
  <c r="N61" i="2"/>
  <c r="N55" i="2"/>
  <c r="N51" i="2"/>
  <c r="N46" i="2"/>
  <c r="N42" i="2"/>
  <c r="N29" i="2"/>
  <c r="N24" i="2"/>
  <c r="N23" i="2"/>
  <c r="M55" i="2"/>
  <c r="M51" i="2"/>
  <c r="M46" i="2"/>
  <c r="M42" i="2"/>
  <c r="M29" i="2"/>
  <c r="L65" i="2"/>
  <c r="L14" i="2"/>
  <c r="L10" i="2"/>
  <c r="L8" i="2"/>
  <c r="K65" i="2"/>
  <c r="J27" i="2"/>
  <c r="H26" i="2"/>
  <c r="C7" i="2"/>
  <c r="C10" i="2"/>
  <c r="C11" i="2"/>
  <c r="C14" i="2"/>
  <c r="C16" i="2"/>
  <c r="C17" i="2"/>
  <c r="C19" i="2"/>
  <c r="C21" i="2"/>
  <c r="C23" i="2"/>
  <c r="C25" i="2"/>
  <c r="C55" i="2"/>
  <c r="C56" i="2"/>
  <c r="C57" i="2"/>
  <c r="C58" i="2"/>
  <c r="C65" i="2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4" i="3"/>
  <c r="Z68" i="3"/>
  <c r="Z67" i="3"/>
  <c r="Z66" i="3"/>
  <c r="Z65" i="3"/>
  <c r="Z64" i="3"/>
  <c r="Z63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4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Y2" i="3"/>
  <c r="Z2" i="3"/>
  <c r="AA2" i="3"/>
  <c r="S5" i="3"/>
  <c r="X4" i="1" s="1"/>
  <c r="S6" i="3"/>
  <c r="X5" i="1" s="1"/>
  <c r="S7" i="3"/>
  <c r="X6" i="1" s="1"/>
  <c r="S8" i="3"/>
  <c r="X7" i="1" s="1"/>
  <c r="S9" i="3"/>
  <c r="X8" i="1" s="1"/>
  <c r="S10" i="3"/>
  <c r="X9" i="1" s="1"/>
  <c r="S11" i="3"/>
  <c r="X10" i="1" s="1"/>
  <c r="S12" i="3"/>
  <c r="X11" i="1" s="1"/>
  <c r="S13" i="3"/>
  <c r="X12" i="1" s="1"/>
  <c r="S14" i="3"/>
  <c r="X13" i="1" s="1"/>
  <c r="S15" i="3"/>
  <c r="X14" i="1" s="1"/>
  <c r="S16" i="3"/>
  <c r="X15" i="1" s="1"/>
  <c r="S17" i="3"/>
  <c r="X16" i="1" s="1"/>
  <c r="S18" i="3"/>
  <c r="X17" i="1" s="1"/>
  <c r="S19" i="3"/>
  <c r="X18" i="1" s="1"/>
  <c r="S20" i="3"/>
  <c r="X19" i="1" s="1"/>
  <c r="S21" i="3"/>
  <c r="X20" i="1" s="1"/>
  <c r="S22" i="3"/>
  <c r="X21" i="1" s="1"/>
  <c r="S23" i="3"/>
  <c r="X22" i="1" s="1"/>
  <c r="S24" i="3"/>
  <c r="X23" i="1" s="1"/>
  <c r="S25" i="3"/>
  <c r="X24" i="1" s="1"/>
  <c r="S26" i="3"/>
  <c r="X25" i="1" s="1"/>
  <c r="S27" i="3"/>
  <c r="X26" i="1" s="1"/>
  <c r="S28" i="3"/>
  <c r="X27" i="1" s="1"/>
  <c r="S29" i="3"/>
  <c r="X28" i="1" s="1"/>
  <c r="S30" i="3"/>
  <c r="X29" i="1" s="1"/>
  <c r="S31" i="3"/>
  <c r="X30" i="1" s="1"/>
  <c r="S32" i="3"/>
  <c r="X31" i="1" s="1"/>
  <c r="S33" i="3"/>
  <c r="X32" i="1" s="1"/>
  <c r="S34" i="3"/>
  <c r="X33" i="1" s="1"/>
  <c r="S35" i="3"/>
  <c r="X34" i="1" s="1"/>
  <c r="S36" i="3"/>
  <c r="X35" i="1" s="1"/>
  <c r="S37" i="3"/>
  <c r="X36" i="1" s="1"/>
  <c r="S38" i="3"/>
  <c r="X37" i="1" s="1"/>
  <c r="S39" i="3"/>
  <c r="X38" i="1" s="1"/>
  <c r="S40" i="3"/>
  <c r="X39" i="1" s="1"/>
  <c r="S41" i="3"/>
  <c r="X40" i="1" s="1"/>
  <c r="S42" i="3"/>
  <c r="X41" i="1" s="1"/>
  <c r="S43" i="3"/>
  <c r="X42" i="1" s="1"/>
  <c r="S44" i="3"/>
  <c r="X43" i="1" s="1"/>
  <c r="S45" i="3"/>
  <c r="X44" i="1" s="1"/>
  <c r="S46" i="3"/>
  <c r="X45" i="1" s="1"/>
  <c r="S47" i="3"/>
  <c r="X46" i="1" s="1"/>
  <c r="S48" i="3"/>
  <c r="X47" i="1" s="1"/>
  <c r="S49" i="3"/>
  <c r="X48" i="1" s="1"/>
  <c r="S50" i="3"/>
  <c r="X49" i="1" s="1"/>
  <c r="S51" i="3"/>
  <c r="X50" i="1" s="1"/>
  <c r="S52" i="3"/>
  <c r="X51" i="1" s="1"/>
  <c r="S53" i="3"/>
  <c r="X52" i="1" s="1"/>
  <c r="S54" i="3"/>
  <c r="X53" i="1" s="1"/>
  <c r="S55" i="3"/>
  <c r="X54" i="1" s="1"/>
  <c r="S56" i="3"/>
  <c r="X55" i="1" s="1"/>
  <c r="S57" i="3"/>
  <c r="X56" i="1" s="1"/>
  <c r="S58" i="3"/>
  <c r="X57" i="1" s="1"/>
  <c r="S59" i="3"/>
  <c r="X58" i="1" s="1"/>
  <c r="S60" i="3"/>
  <c r="X59" i="1" s="1"/>
  <c r="S61" i="3"/>
  <c r="X60" i="1" s="1"/>
  <c r="S62" i="3"/>
  <c r="X61" i="1" s="1"/>
  <c r="S63" i="3"/>
  <c r="X62" i="1" s="1"/>
  <c r="S64" i="3"/>
  <c r="X63" i="1" s="1"/>
  <c r="S65" i="3"/>
  <c r="X64" i="1" s="1"/>
  <c r="S66" i="3"/>
  <c r="X65" i="1" s="1"/>
  <c r="S67" i="3"/>
  <c r="X66" i="1" s="1"/>
  <c r="S68" i="3"/>
  <c r="X67" i="1" s="1"/>
  <c r="S4" i="3"/>
  <c r="X3" i="1" s="1"/>
  <c r="AG17" i="1" l="1"/>
  <c r="AG62" i="1"/>
  <c r="AG14" i="1"/>
  <c r="AG47" i="1"/>
  <c r="AG15" i="1"/>
  <c r="AG48" i="1"/>
  <c r="AG32" i="1"/>
  <c r="AG49" i="1"/>
  <c r="AG53" i="1"/>
  <c r="AG9" i="1"/>
  <c r="AG42" i="1"/>
  <c r="AG10" i="1"/>
  <c r="AG43" i="1"/>
  <c r="AG11" i="1"/>
  <c r="AG28" i="1"/>
  <c r="AG45" i="1"/>
  <c r="AG65" i="1"/>
  <c r="AG46" i="1"/>
  <c r="AG30" i="1"/>
  <c r="AG63" i="1"/>
  <c r="AG31" i="1"/>
  <c r="AG64" i="1"/>
  <c r="AG16" i="1"/>
  <c r="AG33" i="1"/>
  <c r="AG61" i="1"/>
  <c r="AG58" i="1"/>
  <c r="AG26" i="1"/>
  <c r="AG59" i="1"/>
  <c r="AG27" i="1"/>
  <c r="AG60" i="1"/>
  <c r="AG44" i="1"/>
  <c r="AG12" i="1"/>
  <c r="AG25" i="1"/>
  <c r="AG6" i="1"/>
  <c r="AG57" i="1"/>
  <c r="AG5" i="1"/>
  <c r="AG54" i="1"/>
  <c r="AG38" i="1"/>
  <c r="AG22" i="1"/>
  <c r="AG55" i="1"/>
  <c r="AG39" i="1"/>
  <c r="AG23" i="1"/>
  <c r="AG7" i="1"/>
  <c r="AG56" i="1"/>
  <c r="AG40" i="1"/>
  <c r="AG24" i="1"/>
  <c r="AG8" i="1"/>
  <c r="AG41" i="1"/>
  <c r="AG21" i="1"/>
  <c r="AG29" i="1"/>
  <c r="AG66" i="1"/>
  <c r="AG50" i="1"/>
  <c r="AG34" i="1"/>
  <c r="AG18" i="1"/>
  <c r="AG67" i="1"/>
  <c r="AG51" i="1"/>
  <c r="AG35" i="1"/>
  <c r="AG19" i="1"/>
  <c r="AG3" i="1"/>
  <c r="AG52" i="1"/>
  <c r="AG36" i="1"/>
  <c r="AG20" i="1"/>
  <c r="AG4" i="1"/>
  <c r="AG37" i="1"/>
  <c r="AG13" i="1"/>
  <c r="Q62" i="16"/>
  <c r="AQ61" i="1" s="1"/>
  <c r="Q27" i="16"/>
  <c r="AQ26" i="1" s="1"/>
  <c r="Q28" i="16"/>
  <c r="AQ27" i="1" s="1"/>
  <c r="Q47" i="16"/>
  <c r="AQ46" i="1" s="1"/>
  <c r="Q34" i="16"/>
  <c r="AQ33" i="1" s="1"/>
  <c r="Q39" i="16"/>
  <c r="AQ38" i="1" s="1"/>
  <c r="Q66" i="16"/>
  <c r="AQ65" i="1" s="1"/>
  <c r="Q48" i="16"/>
  <c r="AQ47" i="1" s="1"/>
  <c r="Q54" i="16"/>
  <c r="AQ53" i="1" s="1"/>
  <c r="Q51" i="16"/>
  <c r="AQ50" i="1" s="1"/>
  <c r="Q38" i="16"/>
  <c r="AQ37" i="1" s="1"/>
  <c r="Y24" i="15"/>
  <c r="AI23" i="1" s="1"/>
  <c r="AM23" i="1" s="1"/>
  <c r="Y15" i="15"/>
  <c r="AI14" i="1" s="1"/>
  <c r="AM14" i="1" s="1"/>
  <c r="Y62" i="15"/>
  <c r="AI61" i="1" s="1"/>
  <c r="AM61" i="1" s="1"/>
  <c r="Y43" i="15"/>
  <c r="AI42" i="1" s="1"/>
  <c r="AM42" i="1" s="1"/>
  <c r="Y11" i="15"/>
  <c r="AI10" i="1" s="1"/>
  <c r="AM10" i="1" s="1"/>
  <c r="Y44" i="15"/>
  <c r="AI43" i="1" s="1"/>
  <c r="AM43" i="1" s="1"/>
  <c r="Y12" i="15"/>
  <c r="AI11" i="1" s="1"/>
  <c r="AM11" i="1" s="1"/>
  <c r="Y61" i="15"/>
  <c r="AI60" i="1" s="1"/>
  <c r="AM60" i="1" s="1"/>
  <c r="Y29" i="15"/>
  <c r="AI28" i="1" s="1"/>
  <c r="AM28" i="1" s="1"/>
  <c r="Y46" i="15"/>
  <c r="AI45" i="1" s="1"/>
  <c r="AM45" i="1" s="1"/>
  <c r="Y55" i="15"/>
  <c r="AI54" i="1" s="1"/>
  <c r="AM54" i="1" s="1"/>
  <c r="Y58" i="15"/>
  <c r="AI57" i="1" s="1"/>
  <c r="AM57" i="1" s="1"/>
  <c r="Y23" i="15"/>
  <c r="AI22" i="1" s="1"/>
  <c r="AM22" i="1" s="1"/>
  <c r="Y56" i="15"/>
  <c r="AI55" i="1" s="1"/>
  <c r="AM55" i="1" s="1"/>
  <c r="Y57" i="15"/>
  <c r="AI56" i="1" s="1"/>
  <c r="AM56" i="1" s="1"/>
  <c r="Y25" i="15"/>
  <c r="AI24" i="1" s="1"/>
  <c r="AM24" i="1" s="1"/>
  <c r="Y22" i="15"/>
  <c r="AI21" i="1" s="1"/>
  <c r="AM21" i="1" s="1"/>
  <c r="Y38" i="15"/>
  <c r="AI37" i="1" s="1"/>
  <c r="AM37" i="1" s="1"/>
  <c r="Y66" i="15"/>
  <c r="AI65" i="1" s="1"/>
  <c r="AM65" i="1" s="1"/>
  <c r="Y18" i="15"/>
  <c r="AI17" i="1" s="1"/>
  <c r="AM17" i="1" s="1"/>
  <c r="Y63" i="15"/>
  <c r="AI62" i="1" s="1"/>
  <c r="AM62" i="1" s="1"/>
  <c r="Y47" i="15"/>
  <c r="AI46" i="1" s="1"/>
  <c r="AM46" i="1" s="1"/>
  <c r="Y31" i="15"/>
  <c r="AI30" i="1" s="1"/>
  <c r="AM30" i="1" s="1"/>
  <c r="Y64" i="15"/>
  <c r="AI63" i="1" s="1"/>
  <c r="AM63" i="1" s="1"/>
  <c r="Y48" i="15"/>
  <c r="AI47" i="1" s="1"/>
  <c r="AM47" i="1" s="1"/>
  <c r="Y32" i="15"/>
  <c r="AI31" i="1" s="1"/>
  <c r="AM31" i="1" s="1"/>
  <c r="Y16" i="15"/>
  <c r="AI15" i="1" s="1"/>
  <c r="AM15" i="1" s="1"/>
  <c r="Y65" i="15"/>
  <c r="AI64" i="1" s="1"/>
  <c r="AM64" i="1" s="1"/>
  <c r="Y49" i="15"/>
  <c r="AI48" i="1" s="1"/>
  <c r="AM48" i="1" s="1"/>
  <c r="Y33" i="15"/>
  <c r="AI32" i="1" s="1"/>
  <c r="AM32" i="1" s="1"/>
  <c r="Y17" i="15"/>
  <c r="AI16" i="1" s="1"/>
  <c r="AM16" i="1" s="1"/>
  <c r="Y50" i="15"/>
  <c r="AI49" i="1" s="1"/>
  <c r="AM49" i="1" s="1"/>
  <c r="Y34" i="15"/>
  <c r="AI33" i="1" s="1"/>
  <c r="AM33" i="1" s="1"/>
  <c r="Y54" i="15"/>
  <c r="AI53" i="1" s="1"/>
  <c r="AM53" i="1" s="1"/>
  <c r="Y10" i="15"/>
  <c r="AI9" i="1" s="1"/>
  <c r="AM9" i="1" s="1"/>
  <c r="Y59" i="15"/>
  <c r="AI58" i="1" s="1"/>
  <c r="AM58" i="1" s="1"/>
  <c r="Y27" i="15"/>
  <c r="AI26" i="1" s="1"/>
  <c r="AM26" i="1" s="1"/>
  <c r="Y60" i="15"/>
  <c r="AI59" i="1" s="1"/>
  <c r="AM59" i="1" s="1"/>
  <c r="Y28" i="15"/>
  <c r="AI27" i="1" s="1"/>
  <c r="AM27" i="1" s="1"/>
  <c r="Y45" i="15"/>
  <c r="AI44" i="1" s="1"/>
  <c r="AM44" i="1" s="1"/>
  <c r="Y13" i="15"/>
  <c r="AI12" i="1" s="1"/>
  <c r="AM12" i="1" s="1"/>
  <c r="Y26" i="15"/>
  <c r="AI25" i="1" s="1"/>
  <c r="AM25" i="1" s="1"/>
  <c r="Y7" i="15"/>
  <c r="AI6" i="1" s="1"/>
  <c r="AM6" i="1" s="1"/>
  <c r="Y6" i="15"/>
  <c r="AI5" i="1" s="1"/>
  <c r="AM5" i="1" s="1"/>
  <c r="Y39" i="15"/>
  <c r="AI38" i="1" s="1"/>
  <c r="AM38" i="1" s="1"/>
  <c r="Y40" i="15"/>
  <c r="AI39" i="1" s="1"/>
  <c r="AM39" i="1" s="1"/>
  <c r="Y8" i="15"/>
  <c r="AI7" i="1" s="1"/>
  <c r="AM7" i="1" s="1"/>
  <c r="Y41" i="15"/>
  <c r="AI40" i="1" s="1"/>
  <c r="AM40" i="1" s="1"/>
  <c r="Y9" i="15"/>
  <c r="AI8" i="1" s="1"/>
  <c r="AM8" i="1" s="1"/>
  <c r="Y42" i="15"/>
  <c r="AI41" i="1" s="1"/>
  <c r="AM41" i="1" s="1"/>
  <c r="Y5" i="15"/>
  <c r="AI4" i="1" s="1"/>
  <c r="AM4" i="1" s="1"/>
  <c r="Y30" i="15"/>
  <c r="AI29" i="1" s="1"/>
  <c r="AM29" i="1" s="1"/>
  <c r="Y67" i="15"/>
  <c r="AI66" i="1" s="1"/>
  <c r="AM66" i="1" s="1"/>
  <c r="Y51" i="15"/>
  <c r="AI50" i="1" s="1"/>
  <c r="AM50" i="1" s="1"/>
  <c r="Y35" i="15"/>
  <c r="AI34" i="1" s="1"/>
  <c r="AM34" i="1" s="1"/>
  <c r="Y19" i="15"/>
  <c r="AI18" i="1" s="1"/>
  <c r="AM18" i="1" s="1"/>
  <c r="Y68" i="15"/>
  <c r="AI67" i="1" s="1"/>
  <c r="AM67" i="1" s="1"/>
  <c r="Y52" i="15"/>
  <c r="AI51" i="1" s="1"/>
  <c r="AM51" i="1" s="1"/>
  <c r="Y36" i="15"/>
  <c r="AI35" i="1" s="1"/>
  <c r="AM35" i="1" s="1"/>
  <c r="Y20" i="15"/>
  <c r="AI19" i="1" s="1"/>
  <c r="AM19" i="1" s="1"/>
  <c r="Y4" i="15"/>
  <c r="AI3" i="1" s="1"/>
  <c r="AM3" i="1" s="1"/>
  <c r="Y53" i="15"/>
  <c r="AI52" i="1" s="1"/>
  <c r="AM52" i="1" s="1"/>
  <c r="Y37" i="15"/>
  <c r="AI36" i="1" s="1"/>
  <c r="AM36" i="1" s="1"/>
  <c r="Y21" i="15"/>
  <c r="AI20" i="1" s="1"/>
  <c r="AM20" i="1" s="1"/>
  <c r="Y14" i="15"/>
  <c r="AI13" i="1" s="1"/>
  <c r="AM13" i="1" s="1"/>
  <c r="X38" i="14"/>
  <c r="O37" i="1" s="1"/>
  <c r="X59" i="14"/>
  <c r="O58" i="1" s="1"/>
  <c r="M58" i="1"/>
  <c r="X14" i="14"/>
  <c r="O13" i="1" s="1"/>
  <c r="M13" i="1"/>
  <c r="X55" i="14"/>
  <c r="O54" i="1" s="1"/>
  <c r="M54" i="1"/>
  <c r="X39" i="14"/>
  <c r="O38" i="1" s="1"/>
  <c r="M38" i="1"/>
  <c r="X23" i="14"/>
  <c r="O22" i="1" s="1"/>
  <c r="M22" i="1"/>
  <c r="X68" i="14"/>
  <c r="O67" i="1" s="1"/>
  <c r="M67" i="1"/>
  <c r="X56" i="14"/>
  <c r="O55" i="1" s="1"/>
  <c r="M55" i="1"/>
  <c r="X44" i="14"/>
  <c r="O43" i="1" s="1"/>
  <c r="M43" i="1"/>
  <c r="X6" i="14"/>
  <c r="O5" i="1" s="1"/>
  <c r="M5" i="1"/>
  <c r="X61" i="14"/>
  <c r="O60" i="1" s="1"/>
  <c r="M60" i="1"/>
  <c r="X35" i="14"/>
  <c r="O34" i="1" s="1"/>
  <c r="M34" i="1"/>
  <c r="X64" i="14"/>
  <c r="O63" i="1" s="1"/>
  <c r="M63" i="1"/>
  <c r="X32" i="14"/>
  <c r="O31" i="1" s="1"/>
  <c r="M31" i="1"/>
  <c r="X4" i="14"/>
  <c r="O3" i="1" s="1"/>
  <c r="M3" i="1"/>
  <c r="X8" i="14"/>
  <c r="O7" i="1" s="1"/>
  <c r="M7" i="1"/>
  <c r="X62" i="14"/>
  <c r="O61" i="1" s="1"/>
  <c r="M61" i="1"/>
  <c r="X33" i="14"/>
  <c r="O32" i="1" s="1"/>
  <c r="M32" i="1"/>
  <c r="X17" i="14"/>
  <c r="O16" i="1" s="1"/>
  <c r="M16" i="1"/>
  <c r="X53" i="14"/>
  <c r="O52" i="1" s="1"/>
  <c r="M52" i="1"/>
  <c r="X37" i="14"/>
  <c r="O36" i="1" s="1"/>
  <c r="M36" i="1"/>
  <c r="X52" i="14"/>
  <c r="O51" i="1" s="1"/>
  <c r="M51" i="1"/>
  <c r="X40" i="14"/>
  <c r="O39" i="1" s="1"/>
  <c r="M39" i="1"/>
  <c r="X28" i="14"/>
  <c r="O27" i="1" s="1"/>
  <c r="M27" i="1"/>
  <c r="X9" i="14"/>
  <c r="O8" i="1" s="1"/>
  <c r="M8" i="1"/>
  <c r="X5" i="14"/>
  <c r="O4" i="1" s="1"/>
  <c r="M4" i="1"/>
  <c r="X51" i="14"/>
  <c r="O50" i="1" s="1"/>
  <c r="M50" i="1"/>
  <c r="X34" i="14"/>
  <c r="O33" i="1" s="1"/>
  <c r="M33" i="1"/>
  <c r="X48" i="14"/>
  <c r="O47" i="1" s="1"/>
  <c r="M47" i="1"/>
  <c r="X49" i="14"/>
  <c r="O48" i="1" s="1"/>
  <c r="M48" i="1"/>
  <c r="X31" i="14"/>
  <c r="O30" i="1" s="1"/>
  <c r="M30" i="1"/>
  <c r="X22" i="14"/>
  <c r="O21" i="1" s="1"/>
  <c r="M21" i="1"/>
  <c r="X12" i="14"/>
  <c r="O11" i="1" s="1"/>
  <c r="M11" i="1"/>
  <c r="X26" i="14"/>
  <c r="O25" i="1" s="1"/>
  <c r="M25" i="1"/>
  <c r="X25" i="14"/>
  <c r="O24" i="1" s="1"/>
  <c r="M24" i="1"/>
  <c r="X27" i="14"/>
  <c r="O26" i="1" s="1"/>
  <c r="M26" i="1"/>
  <c r="X19" i="14"/>
  <c r="O18" i="1" s="1"/>
  <c r="M18" i="1"/>
  <c r="X36" i="14"/>
  <c r="O35" i="1" s="1"/>
  <c r="M35" i="1"/>
  <c r="X24" i="14"/>
  <c r="O23" i="1" s="1"/>
  <c r="M23" i="1"/>
  <c r="X67" i="14"/>
  <c r="O66" i="1" s="1"/>
  <c r="M66" i="1"/>
  <c r="X50" i="14"/>
  <c r="O49" i="1" s="1"/>
  <c r="M49" i="1"/>
  <c r="X29" i="14"/>
  <c r="O28" i="1" s="1"/>
  <c r="M28" i="1"/>
  <c r="X65" i="14"/>
  <c r="O64" i="1" s="1"/>
  <c r="M64" i="1"/>
  <c r="X47" i="14"/>
  <c r="O46" i="1" s="1"/>
  <c r="M46" i="1"/>
  <c r="X30" i="14"/>
  <c r="O29" i="1" s="1"/>
  <c r="M29" i="1"/>
  <c r="X11" i="14"/>
  <c r="O10" i="1" s="1"/>
  <c r="M10" i="1"/>
  <c r="X13" i="14"/>
  <c r="O12" i="1" s="1"/>
  <c r="M12" i="1"/>
  <c r="X21" i="14"/>
  <c r="O20" i="1" s="1"/>
  <c r="M20" i="1"/>
  <c r="X43" i="14"/>
  <c r="O42" i="1" s="1"/>
  <c r="M42" i="1"/>
  <c r="X18" i="14"/>
  <c r="O17" i="1" s="1"/>
  <c r="M17" i="1"/>
  <c r="X10" i="14"/>
  <c r="O9" i="1" s="1"/>
  <c r="M9" i="1"/>
  <c r="X15" i="14"/>
  <c r="O14" i="1" s="1"/>
  <c r="M14" i="1"/>
  <c r="X60" i="14"/>
  <c r="O59" i="1" s="1"/>
  <c r="M59" i="1"/>
  <c r="X20" i="14"/>
  <c r="O19" i="1" s="1"/>
  <c r="M19" i="1"/>
  <c r="X66" i="14"/>
  <c r="O65" i="1" s="1"/>
  <c r="M65" i="1"/>
  <c r="X45" i="14"/>
  <c r="O44" i="1" s="1"/>
  <c r="M44" i="1"/>
  <c r="X7" i="14"/>
  <c r="O6" i="1" s="1"/>
  <c r="M6" i="1"/>
  <c r="X63" i="14"/>
  <c r="O62" i="1" s="1"/>
  <c r="M62" i="1"/>
  <c r="X46" i="14"/>
  <c r="O45" i="1" s="1"/>
  <c r="M45" i="1"/>
  <c r="X16" i="14"/>
  <c r="O15" i="1" s="1"/>
  <c r="M15" i="1"/>
  <c r="X41" i="14"/>
  <c r="O40" i="1" s="1"/>
  <c r="M40" i="1"/>
  <c r="X42" i="14"/>
  <c r="O41" i="1" s="1"/>
  <c r="M41" i="1"/>
  <c r="X58" i="14"/>
  <c r="O57" i="1" s="1"/>
  <c r="M57" i="1"/>
  <c r="X57" i="14"/>
  <c r="O56" i="1" s="1"/>
  <c r="M56" i="1"/>
  <c r="X54" i="14"/>
  <c r="O53" i="1" s="1"/>
  <c r="M53" i="1"/>
  <c r="O63" i="16"/>
  <c r="O61" i="16"/>
  <c r="O55" i="16"/>
  <c r="O51" i="16"/>
  <c r="O46" i="16"/>
  <c r="O42" i="16"/>
  <c r="O29" i="16"/>
  <c r="O24" i="16"/>
  <c r="O23" i="16"/>
  <c r="N63" i="16"/>
  <c r="N61" i="16"/>
  <c r="N55" i="16"/>
  <c r="N51" i="16"/>
  <c r="N46" i="16"/>
  <c r="N42" i="16"/>
  <c r="N29" i="16"/>
  <c r="N24" i="16"/>
  <c r="N23" i="16"/>
  <c r="M55" i="16"/>
  <c r="M51" i="16"/>
  <c r="M46" i="16"/>
  <c r="M42" i="16"/>
  <c r="M29" i="16"/>
  <c r="L65" i="16"/>
  <c r="L14" i="16"/>
  <c r="L10" i="16"/>
  <c r="L8" i="16"/>
  <c r="K65" i="16"/>
  <c r="J27" i="16"/>
  <c r="H26" i="16"/>
  <c r="Q6" i="16"/>
  <c r="AQ5" i="1" s="1"/>
  <c r="C7" i="16"/>
  <c r="C10" i="16"/>
  <c r="C11" i="16"/>
  <c r="C14" i="16"/>
  <c r="C19" i="16"/>
  <c r="Q22" i="16"/>
  <c r="AQ21" i="1" s="1"/>
  <c r="C23" i="16"/>
  <c r="Q24" i="16"/>
  <c r="AQ23" i="1" s="1"/>
  <c r="C25" i="16"/>
  <c r="Q26" i="16"/>
  <c r="AQ25" i="1" s="1"/>
  <c r="Q29" i="16"/>
  <c r="AQ28" i="1" s="1"/>
  <c r="Q30" i="16"/>
  <c r="AQ29" i="1" s="1"/>
  <c r="Q42" i="16"/>
  <c r="AQ41" i="1" s="1"/>
  <c r="Q43" i="16"/>
  <c r="AQ42" i="1" s="1"/>
  <c r="Q46" i="16"/>
  <c r="AQ45" i="1" s="1"/>
  <c r="Q50" i="16"/>
  <c r="AQ49" i="1" s="1"/>
  <c r="C55" i="16"/>
  <c r="C58" i="16"/>
  <c r="Q59" i="16"/>
  <c r="AQ58" i="1" s="1"/>
  <c r="Q63" i="16"/>
  <c r="AQ62" i="1" s="1"/>
  <c r="Q67" i="16"/>
  <c r="AQ66" i="1" s="1"/>
  <c r="H9" i="13"/>
  <c r="H10" i="13"/>
  <c r="H11" i="13"/>
  <c r="H12" i="13"/>
  <c r="H13" i="13"/>
  <c r="H14" i="13"/>
  <c r="H15" i="13"/>
  <c r="H17" i="13"/>
  <c r="H18" i="13"/>
  <c r="H19" i="13"/>
  <c r="H20" i="13"/>
  <c r="H21" i="13"/>
  <c r="H22" i="13"/>
  <c r="H23" i="13"/>
  <c r="H24" i="13"/>
  <c r="H25" i="13"/>
  <c r="H28" i="13"/>
  <c r="H29" i="13"/>
  <c r="H31" i="13"/>
  <c r="H32" i="13"/>
  <c r="H34" i="13"/>
  <c r="H35" i="13"/>
  <c r="H36" i="13"/>
  <c r="H38" i="13"/>
  <c r="H40" i="13"/>
  <c r="H41" i="13"/>
  <c r="H42" i="13"/>
  <c r="H46" i="13"/>
  <c r="H47" i="13"/>
  <c r="H48" i="13"/>
  <c r="H49" i="13"/>
  <c r="H50" i="13"/>
  <c r="H51" i="13"/>
  <c r="H53" i="13"/>
  <c r="H54" i="13"/>
  <c r="H55" i="13"/>
  <c r="H56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6" i="13"/>
  <c r="H7" i="13"/>
  <c r="H16" i="13"/>
  <c r="H26" i="13"/>
  <c r="H27" i="13"/>
  <c r="H30" i="13"/>
  <c r="H33" i="13"/>
  <c r="H37" i="13"/>
  <c r="H39" i="13"/>
  <c r="H43" i="13"/>
  <c r="H44" i="13"/>
  <c r="H45" i="13"/>
  <c r="H52" i="13"/>
  <c r="H57" i="13"/>
  <c r="H8" i="13"/>
  <c r="C65" i="16" l="1"/>
  <c r="Q65" i="16"/>
  <c r="AQ64" i="1" s="1"/>
  <c r="C61" i="2"/>
  <c r="C61" i="16"/>
  <c r="Q61" i="16"/>
  <c r="AQ60" i="1" s="1"/>
  <c r="C53" i="2"/>
  <c r="C53" i="16"/>
  <c r="C49" i="2"/>
  <c r="C49" i="16"/>
  <c r="Q49" i="16"/>
  <c r="AQ48" i="1" s="1"/>
  <c r="C41" i="2"/>
  <c r="C41" i="16"/>
  <c r="Q41" i="16"/>
  <c r="AQ40" i="1" s="1"/>
  <c r="C37" i="2"/>
  <c r="C37" i="16"/>
  <c r="Q37" i="16"/>
  <c r="AQ36" i="1" s="1"/>
  <c r="C33" i="2"/>
  <c r="C33" i="16"/>
  <c r="Q33" i="16"/>
  <c r="AQ32" i="1" s="1"/>
  <c r="C21" i="16"/>
  <c r="Q21" i="16"/>
  <c r="AQ20" i="1" s="1"/>
  <c r="C17" i="16"/>
  <c r="Q17" i="16"/>
  <c r="AQ16" i="1" s="1"/>
  <c r="C13" i="2"/>
  <c r="C13" i="16"/>
  <c r="Q13" i="16"/>
  <c r="AQ12" i="1" s="1"/>
  <c r="D7" i="2"/>
  <c r="D7" i="16"/>
  <c r="D15" i="2"/>
  <c r="D15" i="16"/>
  <c r="D23" i="2"/>
  <c r="D23" i="16"/>
  <c r="D35" i="2"/>
  <c r="D35" i="16"/>
  <c r="D43" i="2"/>
  <c r="D43" i="16"/>
  <c r="D47" i="2"/>
  <c r="D47" i="16"/>
  <c r="D59" i="2"/>
  <c r="D59" i="16"/>
  <c r="D67" i="2"/>
  <c r="D67" i="16"/>
  <c r="E6" i="2"/>
  <c r="E6" i="16"/>
  <c r="E14" i="2"/>
  <c r="E14" i="16"/>
  <c r="E18" i="2"/>
  <c r="E18" i="16"/>
  <c r="E22" i="2"/>
  <c r="E22" i="16"/>
  <c r="E30" i="2"/>
  <c r="E30" i="16"/>
  <c r="E34" i="2"/>
  <c r="E34" i="16"/>
  <c r="E38" i="2"/>
  <c r="E38" i="16"/>
  <c r="E46" i="2"/>
  <c r="E46" i="16"/>
  <c r="E50" i="2"/>
  <c r="E50" i="16"/>
  <c r="E58" i="2"/>
  <c r="E58" i="16"/>
  <c r="E62" i="2"/>
  <c r="E62" i="16"/>
  <c r="E66" i="2"/>
  <c r="E66" i="16"/>
  <c r="F9" i="2"/>
  <c r="F9" i="16"/>
  <c r="F17" i="2"/>
  <c r="F17" i="16"/>
  <c r="F21" i="2"/>
  <c r="F21" i="16"/>
  <c r="F29" i="2"/>
  <c r="F29" i="16"/>
  <c r="F37" i="2"/>
  <c r="F37" i="16"/>
  <c r="F41" i="2"/>
  <c r="F41" i="16"/>
  <c r="F45" i="2"/>
  <c r="F45" i="16"/>
  <c r="F53" i="2"/>
  <c r="F53" i="16"/>
  <c r="F57" i="2"/>
  <c r="F57" i="16"/>
  <c r="F65" i="2"/>
  <c r="F65" i="16"/>
  <c r="G4" i="2"/>
  <c r="G4" i="16"/>
  <c r="G12" i="2"/>
  <c r="G12" i="16"/>
  <c r="G16" i="2"/>
  <c r="G16" i="16"/>
  <c r="G24" i="2"/>
  <c r="G24" i="16"/>
  <c r="G28" i="2"/>
  <c r="G28" i="16"/>
  <c r="G36" i="2"/>
  <c r="G36" i="16"/>
  <c r="G40" i="2"/>
  <c r="G40" i="16"/>
  <c r="G48" i="2"/>
  <c r="G48" i="16"/>
  <c r="G56" i="2"/>
  <c r="G56" i="16"/>
  <c r="G60" i="2"/>
  <c r="G60" i="16"/>
  <c r="G68" i="2"/>
  <c r="G68" i="16"/>
  <c r="H7" i="2"/>
  <c r="H7" i="16"/>
  <c r="H11" i="2"/>
  <c r="H11" i="16"/>
  <c r="H19" i="2"/>
  <c r="H19" i="16"/>
  <c r="H23" i="2"/>
  <c r="H23" i="16"/>
  <c r="H27" i="2"/>
  <c r="H27" i="16"/>
  <c r="H31" i="2"/>
  <c r="H31" i="16"/>
  <c r="H35" i="2"/>
  <c r="H35" i="16"/>
  <c r="H43" i="2"/>
  <c r="H43" i="16"/>
  <c r="H47" i="2"/>
  <c r="H47" i="16"/>
  <c r="H51" i="2"/>
  <c r="H51" i="16"/>
  <c r="H55" i="2"/>
  <c r="H55" i="16"/>
  <c r="H59" i="2"/>
  <c r="H59" i="16"/>
  <c r="H63" i="2"/>
  <c r="H63" i="16"/>
  <c r="H67" i="2"/>
  <c r="H67" i="16"/>
  <c r="I6" i="2"/>
  <c r="I6" i="16"/>
  <c r="I10" i="2"/>
  <c r="I10" i="16"/>
  <c r="I14" i="2"/>
  <c r="I14" i="16"/>
  <c r="I18" i="2"/>
  <c r="I18" i="16"/>
  <c r="I22" i="2"/>
  <c r="I22" i="16"/>
  <c r="I26" i="2"/>
  <c r="I26" i="16"/>
  <c r="I30" i="2"/>
  <c r="I30" i="16"/>
  <c r="I34" i="2"/>
  <c r="I34" i="16"/>
  <c r="I38" i="2"/>
  <c r="I38" i="16"/>
  <c r="I42" i="2"/>
  <c r="I42" i="16"/>
  <c r="I46" i="2"/>
  <c r="I46" i="16"/>
  <c r="I54" i="2"/>
  <c r="I54" i="16"/>
  <c r="I58" i="2"/>
  <c r="I58" i="16"/>
  <c r="I62" i="2"/>
  <c r="I62" i="16"/>
  <c r="I66" i="2"/>
  <c r="I66" i="16"/>
  <c r="J5" i="2"/>
  <c r="J5" i="16"/>
  <c r="J9" i="2"/>
  <c r="J9" i="16"/>
  <c r="J13" i="2"/>
  <c r="J13" i="16"/>
  <c r="J17" i="2"/>
  <c r="J17" i="16"/>
  <c r="J21" i="2"/>
  <c r="J21" i="16"/>
  <c r="J25" i="2"/>
  <c r="J25" i="16"/>
  <c r="J29" i="2"/>
  <c r="J29" i="16"/>
  <c r="J33" i="2"/>
  <c r="J33" i="16"/>
  <c r="J37" i="2"/>
  <c r="J37" i="16"/>
  <c r="J41" i="2"/>
  <c r="J41" i="16"/>
  <c r="J45" i="2"/>
  <c r="J45" i="16"/>
  <c r="J49" i="2"/>
  <c r="J49" i="16"/>
  <c r="J53" i="2"/>
  <c r="J53" i="16"/>
  <c r="J57" i="2"/>
  <c r="J57" i="16"/>
  <c r="J61" i="2"/>
  <c r="J61" i="16"/>
  <c r="J65" i="2"/>
  <c r="J65" i="16"/>
  <c r="K4" i="2"/>
  <c r="K4" i="16"/>
  <c r="K8" i="2"/>
  <c r="K8" i="16"/>
  <c r="K12" i="2"/>
  <c r="K12" i="16"/>
  <c r="K16" i="2"/>
  <c r="K16" i="16"/>
  <c r="K20" i="2"/>
  <c r="K20" i="16"/>
  <c r="K24" i="2"/>
  <c r="K24" i="16"/>
  <c r="K28" i="2"/>
  <c r="K28" i="16"/>
  <c r="K32" i="2"/>
  <c r="K32" i="16"/>
  <c r="K36" i="2"/>
  <c r="K36" i="16"/>
  <c r="K40" i="2"/>
  <c r="K40" i="16"/>
  <c r="K44" i="2"/>
  <c r="K44" i="16"/>
  <c r="K48" i="2"/>
  <c r="K48" i="16"/>
  <c r="K52" i="2"/>
  <c r="K52" i="16"/>
  <c r="K56" i="2"/>
  <c r="K56" i="16"/>
  <c r="K60" i="2"/>
  <c r="K60" i="16"/>
  <c r="K64" i="2"/>
  <c r="K64" i="16"/>
  <c r="K68" i="2"/>
  <c r="K68" i="16"/>
  <c r="L7" i="2"/>
  <c r="L7" i="16"/>
  <c r="L11" i="2"/>
  <c r="L11" i="16"/>
  <c r="L15" i="2"/>
  <c r="L15" i="16"/>
  <c r="L19" i="2"/>
  <c r="L19" i="16"/>
  <c r="L23" i="2"/>
  <c r="L23" i="16"/>
  <c r="L27" i="2"/>
  <c r="L27" i="16"/>
  <c r="L31" i="2"/>
  <c r="L31" i="16"/>
  <c r="L35" i="2"/>
  <c r="L35" i="16"/>
  <c r="L39" i="2"/>
  <c r="L39" i="16"/>
  <c r="L43" i="2"/>
  <c r="L43" i="16"/>
  <c r="L47" i="2"/>
  <c r="L47" i="16"/>
  <c r="L51" i="2"/>
  <c r="L51" i="16"/>
  <c r="L55" i="2"/>
  <c r="L55" i="16"/>
  <c r="L59" i="2"/>
  <c r="L59" i="16"/>
  <c r="L63" i="2"/>
  <c r="L63" i="16"/>
  <c r="L67" i="2"/>
  <c r="L67" i="16"/>
  <c r="M6" i="2"/>
  <c r="M6" i="16"/>
  <c r="M10" i="2"/>
  <c r="M10" i="16"/>
  <c r="M14" i="2"/>
  <c r="M14" i="16"/>
  <c r="M18" i="2"/>
  <c r="M18" i="16"/>
  <c r="M22" i="2"/>
  <c r="M22" i="16"/>
  <c r="M26" i="2"/>
  <c r="M26" i="16"/>
  <c r="M30" i="2"/>
  <c r="M30" i="16"/>
  <c r="M34" i="2"/>
  <c r="M34" i="16"/>
  <c r="M38" i="2"/>
  <c r="M38" i="16"/>
  <c r="M50" i="2"/>
  <c r="M50" i="16"/>
  <c r="M54" i="2"/>
  <c r="M54" i="16"/>
  <c r="M58" i="2"/>
  <c r="M58" i="16"/>
  <c r="M62" i="2"/>
  <c r="M62" i="16"/>
  <c r="M66" i="2"/>
  <c r="M66" i="16"/>
  <c r="N5" i="2"/>
  <c r="N5" i="16"/>
  <c r="N9" i="2"/>
  <c r="N9" i="16"/>
  <c r="N13" i="2"/>
  <c r="N13" i="16"/>
  <c r="N17" i="2"/>
  <c r="N17" i="16"/>
  <c r="N21" i="2"/>
  <c r="N21" i="16"/>
  <c r="N25" i="2"/>
  <c r="N25" i="16"/>
  <c r="N65" i="2"/>
  <c r="N65" i="16"/>
  <c r="O4" i="2"/>
  <c r="O4" i="16"/>
  <c r="O8" i="2"/>
  <c r="O8" i="16"/>
  <c r="O12" i="2"/>
  <c r="O12" i="16"/>
  <c r="O16" i="2"/>
  <c r="O16" i="16"/>
  <c r="O20" i="2"/>
  <c r="O20" i="16"/>
  <c r="O28" i="2"/>
  <c r="O28" i="16"/>
  <c r="O32" i="2"/>
  <c r="O32" i="16"/>
  <c r="O36" i="2"/>
  <c r="O36" i="16"/>
  <c r="O40" i="2"/>
  <c r="O40" i="16"/>
  <c r="O44" i="2"/>
  <c r="O44" i="16"/>
  <c r="O48" i="2"/>
  <c r="O48" i="16"/>
  <c r="O52" i="2"/>
  <c r="O52" i="16"/>
  <c r="O56" i="2"/>
  <c r="O56" i="16"/>
  <c r="O60" i="2"/>
  <c r="O60" i="16"/>
  <c r="O64" i="2"/>
  <c r="O64" i="16"/>
  <c r="O68" i="2"/>
  <c r="O68" i="16"/>
  <c r="Q53" i="16"/>
  <c r="AQ52" i="1" s="1"/>
  <c r="C4" i="2"/>
  <c r="C4" i="16"/>
  <c r="Q4" i="16"/>
  <c r="AQ3" i="1" s="1"/>
  <c r="C57" i="16"/>
  <c r="Q57" i="16"/>
  <c r="AQ56" i="1" s="1"/>
  <c r="C45" i="2"/>
  <c r="C45" i="16"/>
  <c r="Q45" i="16"/>
  <c r="AQ44" i="1" s="1"/>
  <c r="C29" i="2"/>
  <c r="C29" i="16"/>
  <c r="C9" i="2"/>
  <c r="C9" i="16"/>
  <c r="Q9" i="16"/>
  <c r="AQ8" i="1" s="1"/>
  <c r="D11" i="2"/>
  <c r="D11" i="16"/>
  <c r="D27" i="2"/>
  <c r="D27" i="16"/>
  <c r="D39" i="2"/>
  <c r="D39" i="16"/>
  <c r="D55" i="2"/>
  <c r="D55" i="16"/>
  <c r="D63" i="2"/>
  <c r="D63" i="16"/>
  <c r="E10" i="2"/>
  <c r="E10" i="16"/>
  <c r="E26" i="2"/>
  <c r="E26" i="16"/>
  <c r="E42" i="2"/>
  <c r="E42" i="16"/>
  <c r="E54" i="2"/>
  <c r="E54" i="16"/>
  <c r="F5" i="2"/>
  <c r="F5" i="16"/>
  <c r="F25" i="2"/>
  <c r="F25" i="16"/>
  <c r="F33" i="2"/>
  <c r="F33" i="16"/>
  <c r="F49" i="2"/>
  <c r="F49" i="16"/>
  <c r="F61" i="2"/>
  <c r="F61" i="16"/>
  <c r="G8" i="2"/>
  <c r="G8" i="16"/>
  <c r="G20" i="2"/>
  <c r="G20" i="16"/>
  <c r="G32" i="2"/>
  <c r="G32" i="16"/>
  <c r="G44" i="2"/>
  <c r="G44" i="16"/>
  <c r="G52" i="2"/>
  <c r="G52" i="16"/>
  <c r="G64" i="2"/>
  <c r="G64" i="16"/>
  <c r="H15" i="2"/>
  <c r="H15" i="16"/>
  <c r="H39" i="2"/>
  <c r="H39" i="16"/>
  <c r="I50" i="2"/>
  <c r="I50" i="16"/>
  <c r="C68" i="2"/>
  <c r="C68" i="16"/>
  <c r="Q68" i="16"/>
  <c r="AQ67" i="1" s="1"/>
  <c r="C64" i="2"/>
  <c r="C64" i="16"/>
  <c r="Q64" i="16"/>
  <c r="AQ63" i="1" s="1"/>
  <c r="C60" i="2"/>
  <c r="C60" i="16"/>
  <c r="Q60" i="16"/>
  <c r="AQ59" i="1" s="1"/>
  <c r="C56" i="16"/>
  <c r="Q56" i="16"/>
  <c r="AQ55" i="1" s="1"/>
  <c r="C52" i="2"/>
  <c r="C52" i="16"/>
  <c r="C48" i="2"/>
  <c r="C48" i="16"/>
  <c r="C44" i="2"/>
  <c r="C44" i="16"/>
  <c r="Q44" i="16"/>
  <c r="AQ43" i="1" s="1"/>
  <c r="C40" i="2"/>
  <c r="C40" i="16"/>
  <c r="Q40" i="16"/>
  <c r="AQ39" i="1" s="1"/>
  <c r="C36" i="2"/>
  <c r="C36" i="16"/>
  <c r="Q36" i="16"/>
  <c r="AQ35" i="1" s="1"/>
  <c r="C32" i="2"/>
  <c r="C32" i="16"/>
  <c r="Q32" i="16"/>
  <c r="AQ31" i="1" s="1"/>
  <c r="C28" i="2"/>
  <c r="C28" i="16"/>
  <c r="C24" i="2"/>
  <c r="C24" i="16"/>
  <c r="C20" i="2"/>
  <c r="C20" i="16"/>
  <c r="Q20" i="16"/>
  <c r="AQ19" i="1" s="1"/>
  <c r="C16" i="16"/>
  <c r="Q16" i="16"/>
  <c r="AQ15" i="1" s="1"/>
  <c r="C12" i="2"/>
  <c r="C12" i="16"/>
  <c r="Q12" i="16"/>
  <c r="AQ11" i="1" s="1"/>
  <c r="C8" i="2"/>
  <c r="C8" i="16"/>
  <c r="Q8" i="16"/>
  <c r="AQ7" i="1" s="1"/>
  <c r="D4" i="2"/>
  <c r="D4" i="16"/>
  <c r="D8" i="2"/>
  <c r="D8" i="16"/>
  <c r="D12" i="2"/>
  <c r="D12" i="16"/>
  <c r="D16" i="2"/>
  <c r="D16" i="16"/>
  <c r="D20" i="2"/>
  <c r="D20" i="16"/>
  <c r="D24" i="2"/>
  <c r="D24" i="16"/>
  <c r="D28" i="2"/>
  <c r="D28" i="16"/>
  <c r="D32" i="2"/>
  <c r="D32" i="16"/>
  <c r="D36" i="2"/>
  <c r="D36" i="16"/>
  <c r="D40" i="2"/>
  <c r="D40" i="16"/>
  <c r="D44" i="2"/>
  <c r="D44" i="16"/>
  <c r="D48" i="2"/>
  <c r="D48" i="16"/>
  <c r="D52" i="2"/>
  <c r="D52" i="16"/>
  <c r="D56" i="2"/>
  <c r="D56" i="16"/>
  <c r="D60" i="2"/>
  <c r="D60" i="16"/>
  <c r="Q52" i="16"/>
  <c r="AQ51" i="1" s="1"/>
  <c r="C5" i="2"/>
  <c r="C5" i="16"/>
  <c r="Q5" i="16"/>
  <c r="AQ4" i="1" s="1"/>
  <c r="D19" i="2"/>
  <c r="D19" i="16"/>
  <c r="D31" i="2"/>
  <c r="D31" i="16"/>
  <c r="D51" i="2"/>
  <c r="D51" i="16"/>
  <c r="F13" i="2"/>
  <c r="F13" i="16"/>
  <c r="N33" i="2"/>
  <c r="N33" i="16"/>
  <c r="N37" i="2"/>
  <c r="N37" i="16"/>
  <c r="N41" i="2"/>
  <c r="N41" i="16"/>
  <c r="N45" i="2"/>
  <c r="N45" i="16"/>
  <c r="N49" i="2"/>
  <c r="N49" i="16"/>
  <c r="N53" i="2"/>
  <c r="N53" i="16"/>
  <c r="N57" i="2"/>
  <c r="N57" i="16"/>
  <c r="Q25" i="16"/>
  <c r="AQ24" i="1" s="1"/>
  <c r="D64" i="2"/>
  <c r="D64" i="16"/>
  <c r="E15" i="2"/>
  <c r="E15" i="16"/>
  <c r="E27" i="2"/>
  <c r="E27" i="16"/>
  <c r="E43" i="2"/>
  <c r="E43" i="16"/>
  <c r="E55" i="2"/>
  <c r="E55" i="16"/>
  <c r="E67" i="2"/>
  <c r="E67" i="16"/>
  <c r="F14" i="2"/>
  <c r="F14" i="16"/>
  <c r="F26" i="2"/>
  <c r="F26" i="16"/>
  <c r="F38" i="2"/>
  <c r="F38" i="16"/>
  <c r="F50" i="2"/>
  <c r="F50" i="16"/>
  <c r="F62" i="2"/>
  <c r="F62" i="16"/>
  <c r="G9" i="2"/>
  <c r="G9" i="16"/>
  <c r="G21" i="2"/>
  <c r="G21" i="16"/>
  <c r="G33" i="2"/>
  <c r="G33" i="16"/>
  <c r="G45" i="2"/>
  <c r="G45" i="16"/>
  <c r="G57" i="2"/>
  <c r="G57" i="16"/>
  <c r="H4" i="2"/>
  <c r="H4" i="16"/>
  <c r="H16" i="2"/>
  <c r="H16" i="16"/>
  <c r="H28" i="2"/>
  <c r="H28" i="16"/>
  <c r="H40" i="2"/>
  <c r="H40" i="16"/>
  <c r="H52" i="2"/>
  <c r="H52" i="16"/>
  <c r="H64" i="2"/>
  <c r="H64" i="16"/>
  <c r="I11" i="2"/>
  <c r="I11" i="16"/>
  <c r="I27" i="2"/>
  <c r="I27" i="16"/>
  <c r="I35" i="2"/>
  <c r="I35" i="16"/>
  <c r="I47" i="2"/>
  <c r="I47" i="16"/>
  <c r="I59" i="2"/>
  <c r="I59" i="16"/>
  <c r="J6" i="2"/>
  <c r="J6" i="16"/>
  <c r="J18" i="2"/>
  <c r="J18" i="16"/>
  <c r="J34" i="2"/>
  <c r="J34" i="16"/>
  <c r="J46" i="2"/>
  <c r="J46" i="16"/>
  <c r="J58" i="2"/>
  <c r="J58" i="16"/>
  <c r="K5" i="2"/>
  <c r="K5" i="16"/>
  <c r="K13" i="2"/>
  <c r="K13" i="16"/>
  <c r="K21" i="2"/>
  <c r="K21" i="16"/>
  <c r="K25" i="2"/>
  <c r="K25" i="16"/>
  <c r="K33" i="2"/>
  <c r="K33" i="16"/>
  <c r="K37" i="2"/>
  <c r="K37" i="16"/>
  <c r="K41" i="2"/>
  <c r="K41" i="16"/>
  <c r="K45" i="2"/>
  <c r="K45" i="16"/>
  <c r="K49" i="2"/>
  <c r="K49" i="16"/>
  <c r="K53" i="2"/>
  <c r="K53" i="16"/>
  <c r="K57" i="2"/>
  <c r="K57" i="16"/>
  <c r="K61" i="2"/>
  <c r="K61" i="16"/>
  <c r="L4" i="2"/>
  <c r="L4" i="16"/>
  <c r="L16" i="2"/>
  <c r="L16" i="16"/>
  <c r="L32" i="2"/>
  <c r="L32" i="16"/>
  <c r="L44" i="2"/>
  <c r="L44" i="16"/>
  <c r="L56" i="2"/>
  <c r="L56" i="16"/>
  <c r="M7" i="2"/>
  <c r="M7" i="16"/>
  <c r="M11" i="2"/>
  <c r="M11" i="16"/>
  <c r="M23" i="2"/>
  <c r="M23" i="16"/>
  <c r="M27" i="2"/>
  <c r="M27" i="16"/>
  <c r="M31" i="2"/>
  <c r="M31" i="16"/>
  <c r="M35" i="2"/>
  <c r="M35" i="16"/>
  <c r="M39" i="2"/>
  <c r="M39" i="16"/>
  <c r="M43" i="2"/>
  <c r="M43" i="16"/>
  <c r="M47" i="2"/>
  <c r="M47" i="16"/>
  <c r="O33" i="2"/>
  <c r="O33" i="16"/>
  <c r="O37" i="2"/>
  <c r="O37" i="16"/>
  <c r="O41" i="2"/>
  <c r="O41" i="16"/>
  <c r="O45" i="2"/>
  <c r="O45" i="16"/>
  <c r="O49" i="2"/>
  <c r="O49" i="16"/>
  <c r="O53" i="2"/>
  <c r="O53" i="16"/>
  <c r="O57" i="2"/>
  <c r="O57" i="16"/>
  <c r="O65" i="2"/>
  <c r="O65" i="16"/>
  <c r="Q55" i="16"/>
  <c r="AQ54" i="1" s="1"/>
  <c r="L12" i="2"/>
  <c r="L12" i="16"/>
  <c r="L24" i="2"/>
  <c r="L24" i="16"/>
  <c r="L48" i="2"/>
  <c r="L48" i="16"/>
  <c r="L64" i="2"/>
  <c r="L64" i="16"/>
  <c r="M19" i="2"/>
  <c r="M19" i="16"/>
  <c r="C47" i="2"/>
  <c r="C47" i="16"/>
  <c r="C43" i="2"/>
  <c r="C43" i="16"/>
  <c r="C39" i="2"/>
  <c r="C39" i="16"/>
  <c r="C35" i="2"/>
  <c r="C35" i="16"/>
  <c r="C31" i="2"/>
  <c r="C31" i="16"/>
  <c r="C27" i="2"/>
  <c r="C27" i="16"/>
  <c r="J31" i="2"/>
  <c r="J31" i="16"/>
  <c r="J35" i="2"/>
  <c r="J35" i="16"/>
  <c r="J39" i="2"/>
  <c r="J39" i="16"/>
  <c r="J43" i="2"/>
  <c r="J43" i="16"/>
  <c r="J47" i="2"/>
  <c r="J47" i="16"/>
  <c r="J51" i="2"/>
  <c r="J51" i="16"/>
  <c r="J55" i="2"/>
  <c r="J55" i="16"/>
  <c r="J59" i="2"/>
  <c r="J59" i="16"/>
  <c r="J63" i="2"/>
  <c r="J63" i="16"/>
  <c r="J67" i="2"/>
  <c r="J67" i="16"/>
  <c r="K6" i="2"/>
  <c r="K6" i="16"/>
  <c r="K10" i="2"/>
  <c r="K10" i="16"/>
  <c r="K14" i="2"/>
  <c r="K14" i="16"/>
  <c r="K18" i="2"/>
  <c r="K18" i="16"/>
  <c r="K22" i="2"/>
  <c r="K22" i="16"/>
  <c r="K26" i="2"/>
  <c r="K26" i="16"/>
  <c r="K30" i="2"/>
  <c r="K30" i="16"/>
  <c r="K34" i="2"/>
  <c r="K34" i="16"/>
  <c r="K38" i="2"/>
  <c r="K38" i="16"/>
  <c r="K42" i="2"/>
  <c r="K42" i="16"/>
  <c r="K46" i="2"/>
  <c r="K46" i="16"/>
  <c r="K50" i="2"/>
  <c r="K50" i="16"/>
  <c r="K54" i="2"/>
  <c r="K54" i="16"/>
  <c r="K58" i="2"/>
  <c r="K58" i="16"/>
  <c r="K62" i="2"/>
  <c r="K62" i="16"/>
  <c r="K66" i="2"/>
  <c r="K66" i="16"/>
  <c r="L5" i="2"/>
  <c r="L5" i="16"/>
  <c r="L9" i="2"/>
  <c r="L9" i="16"/>
  <c r="L13" i="2"/>
  <c r="L13" i="16"/>
  <c r="L17" i="2"/>
  <c r="L17" i="16"/>
  <c r="L21" i="2"/>
  <c r="L21" i="16"/>
  <c r="L25" i="2"/>
  <c r="L25" i="16"/>
  <c r="L29" i="2"/>
  <c r="L29" i="16"/>
  <c r="L33" i="2"/>
  <c r="L33" i="16"/>
  <c r="L37" i="2"/>
  <c r="L37" i="16"/>
  <c r="L41" i="2"/>
  <c r="L41" i="16"/>
  <c r="L45" i="2"/>
  <c r="L45" i="16"/>
  <c r="L49" i="2"/>
  <c r="L49" i="16"/>
  <c r="L53" i="2"/>
  <c r="L53" i="16"/>
  <c r="L57" i="2"/>
  <c r="L57" i="16"/>
  <c r="L61" i="2"/>
  <c r="L61" i="16"/>
  <c r="M28" i="2"/>
  <c r="M28" i="16"/>
  <c r="N59" i="2"/>
  <c r="N59" i="16"/>
  <c r="N67" i="2"/>
  <c r="N67" i="16"/>
  <c r="O10" i="2"/>
  <c r="O10" i="16"/>
  <c r="O18" i="2"/>
  <c r="O18" i="16"/>
  <c r="O22" i="2"/>
  <c r="O22" i="16"/>
  <c r="O26" i="2"/>
  <c r="O26" i="16"/>
  <c r="O30" i="2"/>
  <c r="O30" i="16"/>
  <c r="O34" i="2"/>
  <c r="O34" i="16"/>
  <c r="O38" i="2"/>
  <c r="O38" i="16"/>
  <c r="Q19" i="16"/>
  <c r="AQ18" i="1" s="1"/>
  <c r="D68" i="2"/>
  <c r="D68" i="16"/>
  <c r="E7" i="2"/>
  <c r="E7" i="16"/>
  <c r="E11" i="2"/>
  <c r="E11" i="16"/>
  <c r="E19" i="2"/>
  <c r="E19" i="16"/>
  <c r="E23" i="2"/>
  <c r="E23" i="16"/>
  <c r="E31" i="2"/>
  <c r="E31" i="16"/>
  <c r="E35" i="2"/>
  <c r="E35" i="16"/>
  <c r="E39" i="2"/>
  <c r="E39" i="16"/>
  <c r="E47" i="2"/>
  <c r="E47" i="16"/>
  <c r="E51" i="2"/>
  <c r="E51" i="16"/>
  <c r="E59" i="2"/>
  <c r="E59" i="16"/>
  <c r="E63" i="2"/>
  <c r="E63" i="16"/>
  <c r="F6" i="2"/>
  <c r="F6" i="16"/>
  <c r="F10" i="2"/>
  <c r="F10" i="16"/>
  <c r="F18" i="2"/>
  <c r="F18" i="16"/>
  <c r="F22" i="2"/>
  <c r="F22" i="16"/>
  <c r="F30" i="2"/>
  <c r="F30" i="16"/>
  <c r="F34" i="2"/>
  <c r="F34" i="16"/>
  <c r="F42" i="2"/>
  <c r="F42" i="16"/>
  <c r="F46" i="2"/>
  <c r="F46" i="16"/>
  <c r="F54" i="2"/>
  <c r="F54" i="16"/>
  <c r="F58" i="2"/>
  <c r="F58" i="16"/>
  <c r="F66" i="2"/>
  <c r="F66" i="16"/>
  <c r="G5" i="2"/>
  <c r="G5" i="16"/>
  <c r="G13" i="2"/>
  <c r="G13" i="16"/>
  <c r="G17" i="2"/>
  <c r="G17" i="16"/>
  <c r="G25" i="2"/>
  <c r="G25" i="16"/>
  <c r="G29" i="2"/>
  <c r="G29" i="16"/>
  <c r="G37" i="2"/>
  <c r="G37" i="16"/>
  <c r="G41" i="2"/>
  <c r="G41" i="16"/>
  <c r="G49" i="2"/>
  <c r="G49" i="16"/>
  <c r="G53" i="2"/>
  <c r="G53" i="16"/>
  <c r="G61" i="2"/>
  <c r="G61" i="16"/>
  <c r="G65" i="2"/>
  <c r="G65" i="16"/>
  <c r="H8" i="2"/>
  <c r="H8" i="16"/>
  <c r="H12" i="2"/>
  <c r="H12" i="16"/>
  <c r="H20" i="2"/>
  <c r="H20" i="16"/>
  <c r="H24" i="2"/>
  <c r="H24" i="16"/>
  <c r="H32" i="2"/>
  <c r="H32" i="16"/>
  <c r="H36" i="2"/>
  <c r="H36" i="16"/>
  <c r="H44" i="2"/>
  <c r="H44" i="16"/>
  <c r="H48" i="2"/>
  <c r="H48" i="16"/>
  <c r="H56" i="2"/>
  <c r="H56" i="16"/>
  <c r="H60" i="2"/>
  <c r="H60" i="16"/>
  <c r="H68" i="2"/>
  <c r="H68" i="16"/>
  <c r="I7" i="2"/>
  <c r="I7" i="16"/>
  <c r="I15" i="2"/>
  <c r="I15" i="16"/>
  <c r="I19" i="2"/>
  <c r="I19" i="16"/>
  <c r="I23" i="2"/>
  <c r="I23" i="16"/>
  <c r="I31" i="2"/>
  <c r="I31" i="16"/>
  <c r="I39" i="2"/>
  <c r="I39" i="16"/>
  <c r="I43" i="2"/>
  <c r="I43" i="16"/>
  <c r="I51" i="2"/>
  <c r="I51" i="16"/>
  <c r="I55" i="2"/>
  <c r="I55" i="16"/>
  <c r="I63" i="2"/>
  <c r="I63" i="16"/>
  <c r="I67" i="2"/>
  <c r="I67" i="16"/>
  <c r="J10" i="2"/>
  <c r="J10" i="16"/>
  <c r="J14" i="2"/>
  <c r="J14" i="16"/>
  <c r="J22" i="2"/>
  <c r="J22" i="16"/>
  <c r="J26" i="2"/>
  <c r="J26" i="16"/>
  <c r="J30" i="2"/>
  <c r="J30" i="16"/>
  <c r="J38" i="2"/>
  <c r="J38" i="16"/>
  <c r="J42" i="2"/>
  <c r="J42" i="16"/>
  <c r="J50" i="2"/>
  <c r="J50" i="16"/>
  <c r="J54" i="2"/>
  <c r="J54" i="16"/>
  <c r="J62" i="2"/>
  <c r="J62" i="16"/>
  <c r="J66" i="2"/>
  <c r="J66" i="16"/>
  <c r="K9" i="2"/>
  <c r="K9" i="16"/>
  <c r="K17" i="2"/>
  <c r="K17" i="16"/>
  <c r="K29" i="2"/>
  <c r="K29" i="16"/>
  <c r="L20" i="2"/>
  <c r="L20" i="16"/>
  <c r="L28" i="2"/>
  <c r="L28" i="16"/>
  <c r="L36" i="2"/>
  <c r="L36" i="16"/>
  <c r="L40" i="2"/>
  <c r="L40" i="16"/>
  <c r="L52" i="2"/>
  <c r="L52" i="16"/>
  <c r="L60" i="2"/>
  <c r="L60" i="16"/>
  <c r="L68" i="2"/>
  <c r="L68" i="16"/>
  <c r="M15" i="2"/>
  <c r="M15" i="16"/>
  <c r="M59" i="2"/>
  <c r="M59" i="16"/>
  <c r="M63" i="2"/>
  <c r="M63" i="16"/>
  <c r="M67" i="2"/>
  <c r="M67" i="16"/>
  <c r="N6" i="2"/>
  <c r="N6" i="16"/>
  <c r="N10" i="2"/>
  <c r="N10" i="16"/>
  <c r="N14" i="2"/>
  <c r="N14" i="16"/>
  <c r="N18" i="2"/>
  <c r="N18" i="16"/>
  <c r="N22" i="2"/>
  <c r="N22" i="16"/>
  <c r="N26" i="2"/>
  <c r="N26" i="16"/>
  <c r="N30" i="2"/>
  <c r="N30" i="16"/>
  <c r="N34" i="2"/>
  <c r="N34" i="16"/>
  <c r="N38" i="2"/>
  <c r="N38" i="16"/>
  <c r="N50" i="2"/>
  <c r="N50" i="16"/>
  <c r="N54" i="2"/>
  <c r="N54" i="16"/>
  <c r="N58" i="2"/>
  <c r="N58" i="16"/>
  <c r="N62" i="2"/>
  <c r="N62" i="16"/>
  <c r="N66" i="2"/>
  <c r="N66" i="16"/>
  <c r="O5" i="2"/>
  <c r="O5" i="16"/>
  <c r="O9" i="2"/>
  <c r="O9" i="16"/>
  <c r="O13" i="2"/>
  <c r="O13" i="16"/>
  <c r="O17" i="2"/>
  <c r="O17" i="16"/>
  <c r="O21" i="2"/>
  <c r="O21" i="16"/>
  <c r="O25" i="2"/>
  <c r="O25" i="16"/>
  <c r="C67" i="2"/>
  <c r="C67" i="16"/>
  <c r="C63" i="2"/>
  <c r="C63" i="16"/>
  <c r="C59" i="2"/>
  <c r="C59" i="16"/>
  <c r="C51" i="2"/>
  <c r="C51" i="16"/>
  <c r="C15" i="2"/>
  <c r="C15" i="16"/>
  <c r="D5" i="2"/>
  <c r="D5" i="16"/>
  <c r="D9" i="2"/>
  <c r="D9" i="16"/>
  <c r="D13" i="2"/>
  <c r="D13" i="16"/>
  <c r="D17" i="2"/>
  <c r="D17" i="16"/>
  <c r="D21" i="2"/>
  <c r="D21" i="16"/>
  <c r="D25" i="2"/>
  <c r="D25" i="16"/>
  <c r="D29" i="2"/>
  <c r="D29" i="16"/>
  <c r="D33" i="2"/>
  <c r="D33" i="16"/>
  <c r="D37" i="2"/>
  <c r="D37" i="16"/>
  <c r="D41" i="2"/>
  <c r="D41" i="16"/>
  <c r="D45" i="2"/>
  <c r="D45" i="16"/>
  <c r="D49" i="2"/>
  <c r="D49" i="16"/>
  <c r="D53" i="2"/>
  <c r="D53" i="16"/>
  <c r="D57" i="2"/>
  <c r="D57" i="16"/>
  <c r="D61" i="2"/>
  <c r="D61" i="16"/>
  <c r="D65" i="2"/>
  <c r="D65" i="16"/>
  <c r="E4" i="2"/>
  <c r="E4" i="16"/>
  <c r="E8" i="2"/>
  <c r="E8" i="16"/>
  <c r="E12" i="2"/>
  <c r="E12" i="16"/>
  <c r="E16" i="2"/>
  <c r="E16" i="16"/>
  <c r="E20" i="2"/>
  <c r="E20" i="16"/>
  <c r="E24" i="2"/>
  <c r="E24" i="16"/>
  <c r="E28" i="2"/>
  <c r="E28" i="16"/>
  <c r="E32" i="2"/>
  <c r="E32" i="16"/>
  <c r="E36" i="2"/>
  <c r="E36" i="16"/>
  <c r="E40" i="2"/>
  <c r="E40" i="16"/>
  <c r="E44" i="2"/>
  <c r="E44" i="16"/>
  <c r="E48" i="2"/>
  <c r="E48" i="16"/>
  <c r="E52" i="2"/>
  <c r="E52" i="16"/>
  <c r="E56" i="2"/>
  <c r="E56" i="16"/>
  <c r="E60" i="2"/>
  <c r="E60" i="16"/>
  <c r="E64" i="2"/>
  <c r="E64" i="16"/>
  <c r="E68" i="2"/>
  <c r="E68" i="16"/>
  <c r="F7" i="2"/>
  <c r="F7" i="16"/>
  <c r="F11" i="2"/>
  <c r="F11" i="16"/>
  <c r="F15" i="2"/>
  <c r="F15" i="16"/>
  <c r="F19" i="2"/>
  <c r="F19" i="16"/>
  <c r="F23" i="2"/>
  <c r="F23" i="16"/>
  <c r="F27" i="2"/>
  <c r="F27" i="16"/>
  <c r="F31" i="2"/>
  <c r="F31" i="16"/>
  <c r="F35" i="2"/>
  <c r="F35" i="16"/>
  <c r="F39" i="2"/>
  <c r="F39" i="16"/>
  <c r="F43" i="2"/>
  <c r="F43" i="16"/>
  <c r="F47" i="2"/>
  <c r="F47" i="16"/>
  <c r="F51" i="2"/>
  <c r="F51" i="16"/>
  <c r="F55" i="2"/>
  <c r="F55" i="16"/>
  <c r="F59" i="2"/>
  <c r="F59" i="16"/>
  <c r="F63" i="2"/>
  <c r="F63" i="16"/>
  <c r="F67" i="2"/>
  <c r="F67" i="16"/>
  <c r="G6" i="2"/>
  <c r="G6" i="16"/>
  <c r="G10" i="2"/>
  <c r="G10" i="16"/>
  <c r="G14" i="2"/>
  <c r="G14" i="16"/>
  <c r="G18" i="2"/>
  <c r="G18" i="16"/>
  <c r="G22" i="2"/>
  <c r="G22" i="16"/>
  <c r="G26" i="2"/>
  <c r="G26" i="16"/>
  <c r="G30" i="2"/>
  <c r="G30" i="16"/>
  <c r="G34" i="2"/>
  <c r="G34" i="16"/>
  <c r="G38" i="2"/>
  <c r="G38" i="16"/>
  <c r="G42" i="2"/>
  <c r="G42" i="16"/>
  <c r="G46" i="2"/>
  <c r="G46" i="16"/>
  <c r="G50" i="2"/>
  <c r="G50" i="16"/>
  <c r="G54" i="2"/>
  <c r="G54" i="16"/>
  <c r="G58" i="2"/>
  <c r="G58" i="16"/>
  <c r="G62" i="2"/>
  <c r="G62" i="16"/>
  <c r="G66" i="2"/>
  <c r="G66" i="16"/>
  <c r="H5" i="2"/>
  <c r="H5" i="16"/>
  <c r="H9" i="2"/>
  <c r="H9" i="16"/>
  <c r="H13" i="2"/>
  <c r="H13" i="16"/>
  <c r="H17" i="2"/>
  <c r="H17" i="16"/>
  <c r="H21" i="2"/>
  <c r="H21" i="16"/>
  <c r="H25" i="2"/>
  <c r="H25" i="16"/>
  <c r="H29" i="2"/>
  <c r="H29" i="16"/>
  <c r="H33" i="2"/>
  <c r="H33" i="16"/>
  <c r="H37" i="2"/>
  <c r="H37" i="16"/>
  <c r="H41" i="2"/>
  <c r="H41" i="16"/>
  <c r="H45" i="2"/>
  <c r="H45" i="16"/>
  <c r="H49" i="2"/>
  <c r="H49" i="16"/>
  <c r="H53" i="2"/>
  <c r="H53" i="16"/>
  <c r="H57" i="2"/>
  <c r="H57" i="16"/>
  <c r="H61" i="2"/>
  <c r="H61" i="16"/>
  <c r="H65" i="2"/>
  <c r="H65" i="16"/>
  <c r="I4" i="2"/>
  <c r="I4" i="16"/>
  <c r="I8" i="2"/>
  <c r="I8" i="16"/>
  <c r="I12" i="2"/>
  <c r="I12" i="16"/>
  <c r="I16" i="2"/>
  <c r="I16" i="16"/>
  <c r="I20" i="2"/>
  <c r="I20" i="16"/>
  <c r="I24" i="2"/>
  <c r="I24" i="16"/>
  <c r="I28" i="2"/>
  <c r="I28" i="16"/>
  <c r="I32" i="2"/>
  <c r="I32" i="16"/>
  <c r="I36" i="2"/>
  <c r="I36" i="16"/>
  <c r="I40" i="2"/>
  <c r="I40" i="16"/>
  <c r="I44" i="2"/>
  <c r="I44" i="16"/>
  <c r="I48" i="2"/>
  <c r="I48" i="16"/>
  <c r="I52" i="2"/>
  <c r="I52" i="16"/>
  <c r="I56" i="2"/>
  <c r="I56" i="16"/>
  <c r="I60" i="2"/>
  <c r="I60" i="16"/>
  <c r="I64" i="2"/>
  <c r="I64" i="16"/>
  <c r="I68" i="2"/>
  <c r="I68" i="16"/>
  <c r="J7" i="2"/>
  <c r="J7" i="16"/>
  <c r="J11" i="2"/>
  <c r="J11" i="16"/>
  <c r="J15" i="2"/>
  <c r="J15" i="16"/>
  <c r="J19" i="2"/>
  <c r="J19" i="16"/>
  <c r="J23" i="2"/>
  <c r="J23" i="16"/>
  <c r="M4" i="2"/>
  <c r="M4" i="16"/>
  <c r="M8" i="2"/>
  <c r="M8" i="16"/>
  <c r="M12" i="2"/>
  <c r="M12" i="16"/>
  <c r="M16" i="2"/>
  <c r="M16" i="16"/>
  <c r="M20" i="2"/>
  <c r="M20" i="16"/>
  <c r="M24" i="2"/>
  <c r="M24" i="16"/>
  <c r="M32" i="2"/>
  <c r="M32" i="16"/>
  <c r="M36" i="2"/>
  <c r="M36" i="16"/>
  <c r="M40" i="2"/>
  <c r="M40" i="16"/>
  <c r="M44" i="2"/>
  <c r="M44" i="16"/>
  <c r="M48" i="2"/>
  <c r="M48" i="16"/>
  <c r="M52" i="2"/>
  <c r="M52" i="16"/>
  <c r="M56" i="2"/>
  <c r="M56" i="16"/>
  <c r="M60" i="2"/>
  <c r="M60" i="16"/>
  <c r="M64" i="2"/>
  <c r="M64" i="16"/>
  <c r="M68" i="2"/>
  <c r="M68" i="16"/>
  <c r="N7" i="2"/>
  <c r="N7" i="16"/>
  <c r="N11" i="2"/>
  <c r="N11" i="16"/>
  <c r="N15" i="2"/>
  <c r="N15" i="16"/>
  <c r="N19" i="2"/>
  <c r="N19" i="16"/>
  <c r="N27" i="2"/>
  <c r="N27" i="16"/>
  <c r="N31" i="2"/>
  <c r="N31" i="16"/>
  <c r="N35" i="2"/>
  <c r="N35" i="16"/>
  <c r="N39" i="2"/>
  <c r="N39" i="16"/>
  <c r="N43" i="2"/>
  <c r="N43" i="16"/>
  <c r="N47" i="2"/>
  <c r="N47" i="16"/>
  <c r="O6" i="2"/>
  <c r="O6" i="16"/>
  <c r="O14" i="2"/>
  <c r="O14" i="16"/>
  <c r="O50" i="2"/>
  <c r="O50" i="16"/>
  <c r="O54" i="2"/>
  <c r="O54" i="16"/>
  <c r="O58" i="2"/>
  <c r="O58" i="16"/>
  <c r="O62" i="2"/>
  <c r="O62" i="16"/>
  <c r="O66" i="2"/>
  <c r="O66" i="16"/>
  <c r="C66" i="2"/>
  <c r="C66" i="16"/>
  <c r="C62" i="2"/>
  <c r="C62" i="16"/>
  <c r="C54" i="2"/>
  <c r="C54" i="16"/>
  <c r="C50" i="2"/>
  <c r="C50" i="16"/>
  <c r="C46" i="2"/>
  <c r="C46" i="16"/>
  <c r="C42" i="2"/>
  <c r="C42" i="16"/>
  <c r="C38" i="2"/>
  <c r="C38" i="16"/>
  <c r="C34" i="2"/>
  <c r="C34" i="16"/>
  <c r="C30" i="2"/>
  <c r="C30" i="16"/>
  <c r="C26" i="2"/>
  <c r="C26" i="16"/>
  <c r="C22" i="2"/>
  <c r="C22" i="16"/>
  <c r="C18" i="2"/>
  <c r="C18" i="16"/>
  <c r="C6" i="2"/>
  <c r="C6" i="16"/>
  <c r="D6" i="2"/>
  <c r="D6" i="16"/>
  <c r="D10" i="2"/>
  <c r="D10" i="16"/>
  <c r="D14" i="2"/>
  <c r="D14" i="16"/>
  <c r="D18" i="2"/>
  <c r="D18" i="16"/>
  <c r="D22" i="2"/>
  <c r="D22" i="16"/>
  <c r="D26" i="2"/>
  <c r="D26" i="16"/>
  <c r="D30" i="2"/>
  <c r="D30" i="16"/>
  <c r="D34" i="2"/>
  <c r="D34" i="16"/>
  <c r="D38" i="2"/>
  <c r="D38" i="16"/>
  <c r="D42" i="2"/>
  <c r="D42" i="16"/>
  <c r="D46" i="2"/>
  <c r="D46" i="16"/>
  <c r="D50" i="2"/>
  <c r="D50" i="16"/>
  <c r="D54" i="2"/>
  <c r="D54" i="16"/>
  <c r="D58" i="2"/>
  <c r="D58" i="16"/>
  <c r="D62" i="2"/>
  <c r="D62" i="16"/>
  <c r="D66" i="2"/>
  <c r="D66" i="16"/>
  <c r="E5" i="2"/>
  <c r="E5" i="16"/>
  <c r="E9" i="2"/>
  <c r="E9" i="16"/>
  <c r="E13" i="2"/>
  <c r="E13" i="16"/>
  <c r="E17" i="2"/>
  <c r="E17" i="16"/>
  <c r="E21" i="2"/>
  <c r="E21" i="16"/>
  <c r="E25" i="2"/>
  <c r="E25" i="16"/>
  <c r="E29" i="2"/>
  <c r="E29" i="16"/>
  <c r="E33" i="2"/>
  <c r="E33" i="16"/>
  <c r="E37" i="2"/>
  <c r="E37" i="16"/>
  <c r="E41" i="2"/>
  <c r="E41" i="16"/>
  <c r="E45" i="2"/>
  <c r="E45" i="16"/>
  <c r="E49" i="2"/>
  <c r="E49" i="16"/>
  <c r="E53" i="2"/>
  <c r="E53" i="16"/>
  <c r="E57" i="2"/>
  <c r="E57" i="16"/>
  <c r="E61" i="2"/>
  <c r="E61" i="16"/>
  <c r="E65" i="2"/>
  <c r="E65" i="16"/>
  <c r="F4" i="2"/>
  <c r="F4" i="16"/>
  <c r="F8" i="2"/>
  <c r="F8" i="16"/>
  <c r="F12" i="2"/>
  <c r="F12" i="16"/>
  <c r="F16" i="2"/>
  <c r="F16" i="16"/>
  <c r="F20" i="2"/>
  <c r="F20" i="16"/>
  <c r="F24" i="2"/>
  <c r="F24" i="16"/>
  <c r="F28" i="2"/>
  <c r="F28" i="16"/>
  <c r="F32" i="2"/>
  <c r="F32" i="16"/>
  <c r="F36" i="2"/>
  <c r="F36" i="16"/>
  <c r="F40" i="2"/>
  <c r="F40" i="16"/>
  <c r="F44" i="2"/>
  <c r="F44" i="16"/>
  <c r="F48" i="2"/>
  <c r="F48" i="16"/>
  <c r="F52" i="2"/>
  <c r="F52" i="16"/>
  <c r="F56" i="2"/>
  <c r="F56" i="16"/>
  <c r="F60" i="2"/>
  <c r="F60" i="16"/>
  <c r="F64" i="2"/>
  <c r="F64" i="16"/>
  <c r="F68" i="2"/>
  <c r="F68" i="16"/>
  <c r="G7" i="2"/>
  <c r="G7" i="16"/>
  <c r="G11" i="2"/>
  <c r="G11" i="16"/>
  <c r="G15" i="2"/>
  <c r="G15" i="16"/>
  <c r="G19" i="2"/>
  <c r="G19" i="16"/>
  <c r="G23" i="2"/>
  <c r="G23" i="16"/>
  <c r="G27" i="2"/>
  <c r="G27" i="16"/>
  <c r="G31" i="2"/>
  <c r="G31" i="16"/>
  <c r="G35" i="2"/>
  <c r="G35" i="16"/>
  <c r="G39" i="2"/>
  <c r="G39" i="16"/>
  <c r="G43" i="2"/>
  <c r="G43" i="16"/>
  <c r="G47" i="2"/>
  <c r="G47" i="16"/>
  <c r="G51" i="2"/>
  <c r="G51" i="16"/>
  <c r="G55" i="2"/>
  <c r="G55" i="16"/>
  <c r="G59" i="2"/>
  <c r="G59" i="16"/>
  <c r="G63" i="2"/>
  <c r="G63" i="16"/>
  <c r="G67" i="2"/>
  <c r="G67" i="16"/>
  <c r="H6" i="2"/>
  <c r="H6" i="16"/>
  <c r="H10" i="2"/>
  <c r="H10" i="16"/>
  <c r="H14" i="2"/>
  <c r="H14" i="16"/>
  <c r="H18" i="2"/>
  <c r="H18" i="16"/>
  <c r="H22" i="2"/>
  <c r="H22" i="16"/>
  <c r="H30" i="2"/>
  <c r="H30" i="16"/>
  <c r="H34" i="2"/>
  <c r="H34" i="16"/>
  <c r="H38" i="2"/>
  <c r="H38" i="16"/>
  <c r="H42" i="2"/>
  <c r="H42" i="16"/>
  <c r="H46" i="2"/>
  <c r="H46" i="16"/>
  <c r="H50" i="2"/>
  <c r="H50" i="16"/>
  <c r="H54" i="2"/>
  <c r="H54" i="16"/>
  <c r="H58" i="2"/>
  <c r="H58" i="16"/>
  <c r="H62" i="2"/>
  <c r="H62" i="16"/>
  <c r="H66" i="2"/>
  <c r="H66" i="16"/>
  <c r="I5" i="2"/>
  <c r="I5" i="16"/>
  <c r="I9" i="2"/>
  <c r="I9" i="16"/>
  <c r="I13" i="2"/>
  <c r="I13" i="16"/>
  <c r="I17" i="2"/>
  <c r="I17" i="16"/>
  <c r="I21" i="2"/>
  <c r="I21" i="16"/>
  <c r="I25" i="2"/>
  <c r="I25" i="16"/>
  <c r="I29" i="2"/>
  <c r="I29" i="16"/>
  <c r="I33" i="2"/>
  <c r="I33" i="16"/>
  <c r="I37" i="2"/>
  <c r="I37" i="16"/>
  <c r="I41" i="2"/>
  <c r="I41" i="16"/>
  <c r="I45" i="2"/>
  <c r="I45" i="16"/>
  <c r="I49" i="2"/>
  <c r="I49" i="16"/>
  <c r="I53" i="2"/>
  <c r="I53" i="16"/>
  <c r="I57" i="2"/>
  <c r="I57" i="16"/>
  <c r="I61" i="2"/>
  <c r="I61" i="16"/>
  <c r="I65" i="2"/>
  <c r="I65" i="16"/>
  <c r="J4" i="2"/>
  <c r="J4" i="16"/>
  <c r="J8" i="2"/>
  <c r="J8" i="16"/>
  <c r="J12" i="2"/>
  <c r="J12" i="16"/>
  <c r="J16" i="2"/>
  <c r="J16" i="16"/>
  <c r="J20" i="2"/>
  <c r="J20" i="16"/>
  <c r="J24" i="2"/>
  <c r="J24" i="16"/>
  <c r="J28" i="2"/>
  <c r="J28" i="16"/>
  <c r="J32" i="2"/>
  <c r="J32" i="16"/>
  <c r="J36" i="2"/>
  <c r="J36" i="16"/>
  <c r="J40" i="2"/>
  <c r="J40" i="16"/>
  <c r="J44" i="2"/>
  <c r="J44" i="16"/>
  <c r="J48" i="2"/>
  <c r="J48" i="16"/>
  <c r="J52" i="2"/>
  <c r="J52" i="16"/>
  <c r="J56" i="2"/>
  <c r="J56" i="16"/>
  <c r="J60" i="2"/>
  <c r="J60" i="16"/>
  <c r="J64" i="2"/>
  <c r="J64" i="16"/>
  <c r="J68" i="2"/>
  <c r="J68" i="16"/>
  <c r="K7" i="2"/>
  <c r="K7" i="16"/>
  <c r="K11" i="2"/>
  <c r="K11" i="16"/>
  <c r="K15" i="2"/>
  <c r="K15" i="16"/>
  <c r="K19" i="2"/>
  <c r="K19" i="16"/>
  <c r="K23" i="2"/>
  <c r="K23" i="16"/>
  <c r="K27" i="2"/>
  <c r="K27" i="16"/>
  <c r="K31" i="2"/>
  <c r="K31" i="16"/>
  <c r="K35" i="2"/>
  <c r="K35" i="16"/>
  <c r="K39" i="2"/>
  <c r="K39" i="16"/>
  <c r="K43" i="2"/>
  <c r="K43" i="16"/>
  <c r="K47" i="2"/>
  <c r="K47" i="16"/>
  <c r="K51" i="2"/>
  <c r="K51" i="16"/>
  <c r="K55" i="2"/>
  <c r="K55" i="16"/>
  <c r="K59" i="2"/>
  <c r="K59" i="16"/>
  <c r="K63" i="2"/>
  <c r="K63" i="16"/>
  <c r="K67" i="2"/>
  <c r="K67" i="16"/>
  <c r="L6" i="2"/>
  <c r="L6" i="16"/>
  <c r="L18" i="2"/>
  <c r="L18" i="16"/>
  <c r="L22" i="2"/>
  <c r="L22" i="16"/>
  <c r="L26" i="2"/>
  <c r="L26" i="16"/>
  <c r="L30" i="2"/>
  <c r="L30" i="16"/>
  <c r="L34" i="2"/>
  <c r="L34" i="16"/>
  <c r="L38" i="2"/>
  <c r="L38" i="16"/>
  <c r="L42" i="2"/>
  <c r="L42" i="16"/>
  <c r="L46" i="2"/>
  <c r="L46" i="16"/>
  <c r="L50" i="2"/>
  <c r="L50" i="16"/>
  <c r="L54" i="2"/>
  <c r="L54" i="16"/>
  <c r="L58" i="2"/>
  <c r="L58" i="16"/>
  <c r="L62" i="2"/>
  <c r="L62" i="16"/>
  <c r="L66" i="2"/>
  <c r="L66" i="16"/>
  <c r="M5" i="2"/>
  <c r="M5" i="16"/>
  <c r="M9" i="2"/>
  <c r="M9" i="16"/>
  <c r="M13" i="2"/>
  <c r="M13" i="16"/>
  <c r="M17" i="2"/>
  <c r="M17" i="16"/>
  <c r="M21" i="2"/>
  <c r="M21" i="16"/>
  <c r="M25" i="2"/>
  <c r="M25" i="16"/>
  <c r="M33" i="2"/>
  <c r="M33" i="16"/>
  <c r="M37" i="2"/>
  <c r="M37" i="16"/>
  <c r="M41" i="2"/>
  <c r="M41" i="16"/>
  <c r="M45" i="2"/>
  <c r="M45" i="16"/>
  <c r="M49" i="2"/>
  <c r="M49" i="16"/>
  <c r="M53" i="2"/>
  <c r="M53" i="16"/>
  <c r="M57" i="2"/>
  <c r="M57" i="16"/>
  <c r="M61" i="2"/>
  <c r="M61" i="16"/>
  <c r="M65" i="2"/>
  <c r="M65" i="16"/>
  <c r="N4" i="2"/>
  <c r="N4" i="16"/>
  <c r="N8" i="2"/>
  <c r="N8" i="16"/>
  <c r="N12" i="2"/>
  <c r="N12" i="16"/>
  <c r="N16" i="2"/>
  <c r="N16" i="16"/>
  <c r="N20" i="2"/>
  <c r="N20" i="16"/>
  <c r="N28" i="2"/>
  <c r="N28" i="16"/>
  <c r="N32" i="2"/>
  <c r="N32" i="16"/>
  <c r="N36" i="2"/>
  <c r="N36" i="16"/>
  <c r="N40" i="2"/>
  <c r="N40" i="16"/>
  <c r="N44" i="2"/>
  <c r="N44" i="16"/>
  <c r="N48" i="2"/>
  <c r="N48" i="16"/>
  <c r="N52" i="2"/>
  <c r="N52" i="16"/>
  <c r="N56" i="2"/>
  <c r="N56" i="16"/>
  <c r="N60" i="2"/>
  <c r="N60" i="16"/>
  <c r="N64" i="2"/>
  <c r="N64" i="16"/>
  <c r="N68" i="2"/>
  <c r="N68" i="16"/>
  <c r="O7" i="2"/>
  <c r="O7" i="16"/>
  <c r="O11" i="2"/>
  <c r="O11" i="16"/>
  <c r="O15" i="2"/>
  <c r="O15" i="16"/>
  <c r="O19" i="2"/>
  <c r="O19" i="16"/>
  <c r="O27" i="2"/>
  <c r="O27" i="16"/>
  <c r="O31" i="2"/>
  <c r="O31" i="16"/>
  <c r="O35" i="2"/>
  <c r="O35" i="16"/>
  <c r="O39" i="2"/>
  <c r="O39" i="16"/>
  <c r="O43" i="2"/>
  <c r="O43" i="16"/>
  <c r="O47" i="2"/>
  <c r="O47" i="16"/>
  <c r="O59" i="2"/>
  <c r="O59" i="16"/>
  <c r="O67" i="2"/>
  <c r="O67" i="16"/>
  <c r="Q14" i="16"/>
  <c r="AQ13" i="1" s="1"/>
  <c r="Q35" i="16"/>
  <c r="AQ34" i="1" s="1"/>
  <c r="Q7" i="16"/>
  <c r="AQ6" i="1" s="1"/>
  <c r="Q18" i="16"/>
  <c r="AQ17" i="1" s="1"/>
  <c r="Q23" i="16"/>
  <c r="AQ22" i="1" s="1"/>
  <c r="Q58" i="16"/>
  <c r="AQ57" i="1" s="1"/>
  <c r="Q15" i="16"/>
  <c r="AQ14" i="1" s="1"/>
  <c r="Q11" i="16"/>
  <c r="AQ10" i="1" s="1"/>
  <c r="Q10" i="16"/>
  <c r="AQ9" i="1" s="1"/>
  <c r="Q31" i="16"/>
  <c r="AQ30" i="1" s="1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P28" i="2" l="1"/>
  <c r="F27" i="1" s="1"/>
  <c r="P14" i="16"/>
  <c r="AR13" i="1" s="1"/>
  <c r="P27" i="2"/>
  <c r="F26" i="1" s="1"/>
  <c r="P55" i="2"/>
  <c r="F54" i="1" s="1"/>
  <c r="P66" i="2"/>
  <c r="F65" i="1" s="1"/>
  <c r="P21" i="2"/>
  <c r="F20" i="1" s="1"/>
  <c r="P54" i="2"/>
  <c r="F53" i="1" s="1"/>
  <c r="P23" i="2"/>
  <c r="F22" i="1" s="1"/>
  <c r="P56" i="2"/>
  <c r="F55" i="1" s="1"/>
  <c r="P17" i="2"/>
  <c r="F16" i="1" s="1"/>
  <c r="P42" i="2"/>
  <c r="F41" i="1" s="1"/>
  <c r="P18" i="2"/>
  <c r="F17" i="1" s="1"/>
  <c r="P38" i="2"/>
  <c r="F37" i="1" s="1"/>
  <c r="P53" i="2"/>
  <c r="F52" i="1" s="1"/>
  <c r="P37" i="2"/>
  <c r="F36" i="1" s="1"/>
  <c r="P5" i="2"/>
  <c r="F4" i="1" s="1"/>
  <c r="P55" i="16"/>
  <c r="AR54" i="1" s="1"/>
  <c r="P7" i="16"/>
  <c r="AR6" i="1" s="1"/>
  <c r="P43" i="2"/>
  <c r="F42" i="1" s="1"/>
  <c r="P22" i="2"/>
  <c r="F21" i="1" s="1"/>
  <c r="P46" i="2"/>
  <c r="F45" i="1" s="1"/>
  <c r="P58" i="2"/>
  <c r="F57" i="1" s="1"/>
  <c r="P34" i="2"/>
  <c r="F33" i="1" s="1"/>
  <c r="P60" i="2"/>
  <c r="F59" i="1" s="1"/>
  <c r="P29" i="2"/>
  <c r="F28" i="1" s="1"/>
  <c r="P23" i="16"/>
  <c r="AR22" i="1" s="1"/>
  <c r="P26" i="2"/>
  <c r="F25" i="1" s="1"/>
  <c r="P10" i="2"/>
  <c r="F9" i="1" s="1"/>
  <c r="P35" i="2"/>
  <c r="F34" i="1" s="1"/>
  <c r="P11" i="2"/>
  <c r="F10" i="1" s="1"/>
  <c r="P20" i="2"/>
  <c r="F19" i="1" s="1"/>
  <c r="P61" i="2"/>
  <c r="F60" i="1" s="1"/>
  <c r="P45" i="2"/>
  <c r="F44" i="1" s="1"/>
  <c r="P6" i="2"/>
  <c r="F5" i="1" s="1"/>
  <c r="P62" i="2"/>
  <c r="F61" i="1" s="1"/>
  <c r="P14" i="2"/>
  <c r="F13" i="1" s="1"/>
  <c r="P63" i="2"/>
  <c r="F62" i="1" s="1"/>
  <c r="P47" i="2"/>
  <c r="F46" i="1" s="1"/>
  <c r="P39" i="2"/>
  <c r="F38" i="1" s="1"/>
  <c r="P31" i="2"/>
  <c r="F30" i="1" s="1"/>
  <c r="P15" i="2"/>
  <c r="F14" i="1" s="1"/>
  <c r="P7" i="2"/>
  <c r="F6" i="1" s="1"/>
  <c r="P40" i="2"/>
  <c r="F39" i="1" s="1"/>
  <c r="P65" i="2"/>
  <c r="F64" i="1" s="1"/>
  <c r="P57" i="2"/>
  <c r="F56" i="1" s="1"/>
  <c r="P41" i="2"/>
  <c r="F40" i="1" s="1"/>
  <c r="P33" i="2"/>
  <c r="F32" i="1" s="1"/>
  <c r="P25" i="2"/>
  <c r="F24" i="1" s="1"/>
  <c r="P9" i="2"/>
  <c r="F8" i="1" s="1"/>
  <c r="P31" i="16"/>
  <c r="AR30" i="1" s="1"/>
  <c r="P30" i="2"/>
  <c r="F29" i="1" s="1"/>
  <c r="P50" i="2"/>
  <c r="F49" i="1" s="1"/>
  <c r="P67" i="2"/>
  <c r="F66" i="1" s="1"/>
  <c r="P24" i="2"/>
  <c r="F23" i="1" s="1"/>
  <c r="P36" i="2"/>
  <c r="F35" i="1" s="1"/>
  <c r="P4" i="2"/>
  <c r="F3" i="1" s="1"/>
  <c r="P13" i="2"/>
  <c r="F12" i="1" s="1"/>
  <c r="P49" i="2"/>
  <c r="F48" i="1" s="1"/>
  <c r="P10" i="16"/>
  <c r="AR9" i="1" s="1"/>
  <c r="P51" i="2"/>
  <c r="F50" i="1" s="1"/>
  <c r="P19" i="2"/>
  <c r="F18" i="1" s="1"/>
  <c r="P58" i="16"/>
  <c r="AR57" i="1" s="1"/>
  <c r="P19" i="16"/>
  <c r="AR18" i="1" s="1"/>
  <c r="P63" i="16"/>
  <c r="AR62" i="1" s="1"/>
  <c r="P25" i="16"/>
  <c r="AR24" i="1" s="1"/>
  <c r="P11" i="16"/>
  <c r="AR10" i="1" s="1"/>
  <c r="P59" i="2"/>
  <c r="F58" i="1" s="1"/>
  <c r="P22" i="16"/>
  <c r="AR21" i="1" s="1"/>
  <c r="P47" i="16"/>
  <c r="AR46" i="1" s="1"/>
  <c r="P48" i="2"/>
  <c r="F47" i="1" s="1"/>
  <c r="P68" i="16"/>
  <c r="AR67" i="1" s="1"/>
  <c r="P16" i="2"/>
  <c r="F15" i="1" s="1"/>
  <c r="P8" i="16"/>
  <c r="AR7" i="1" s="1"/>
  <c r="P12" i="2"/>
  <c r="F11" i="1" s="1"/>
  <c r="P20" i="16"/>
  <c r="AR19" i="1" s="1"/>
  <c r="P28" i="16"/>
  <c r="AR27" i="1" s="1"/>
  <c r="P32" i="2"/>
  <c r="F31" i="1" s="1"/>
  <c r="P44" i="16"/>
  <c r="AR43" i="1" s="1"/>
  <c r="P52" i="16"/>
  <c r="AR51" i="1" s="1"/>
  <c r="P64" i="16"/>
  <c r="AR63" i="1" s="1"/>
  <c r="P68" i="2"/>
  <c r="F67" i="1" s="1"/>
  <c r="P9" i="16"/>
  <c r="AR8" i="1" s="1"/>
  <c r="P57" i="16"/>
  <c r="AR56" i="1" s="1"/>
  <c r="P37" i="16"/>
  <c r="AR36" i="1" s="1"/>
  <c r="P53" i="16"/>
  <c r="AR52" i="1" s="1"/>
  <c r="P46" i="16"/>
  <c r="AR45" i="1" s="1"/>
  <c r="P15" i="16"/>
  <c r="AR14" i="1" s="1"/>
  <c r="P39" i="16"/>
  <c r="AR38" i="1" s="1"/>
  <c r="P12" i="16"/>
  <c r="AR11" i="1" s="1"/>
  <c r="P32" i="16"/>
  <c r="AR31" i="1" s="1"/>
  <c r="P21" i="16"/>
  <c r="AR20" i="1" s="1"/>
  <c r="P41" i="16"/>
  <c r="AR40" i="1" s="1"/>
  <c r="P60" i="16"/>
  <c r="AR59" i="1" s="1"/>
  <c r="P50" i="16"/>
  <c r="AR49" i="1" s="1"/>
  <c r="P59" i="16"/>
  <c r="AR58" i="1" s="1"/>
  <c r="P67" i="16"/>
  <c r="AR66" i="1" s="1"/>
  <c r="P27" i="16"/>
  <c r="AR26" i="1" s="1"/>
  <c r="P35" i="16"/>
  <c r="AR34" i="1" s="1"/>
  <c r="P43" i="16"/>
  <c r="AR42" i="1" s="1"/>
  <c r="P5" i="16"/>
  <c r="AR4" i="1" s="1"/>
  <c r="P8" i="2"/>
  <c r="F7" i="1" s="1"/>
  <c r="P40" i="16"/>
  <c r="AR39" i="1" s="1"/>
  <c r="P44" i="2"/>
  <c r="F43" i="1" s="1"/>
  <c r="P52" i="2"/>
  <c r="F51" i="1" s="1"/>
  <c r="P64" i="2"/>
  <c r="F63" i="1" s="1"/>
  <c r="P45" i="16"/>
  <c r="AR44" i="1" s="1"/>
  <c r="P17" i="16"/>
  <c r="AR16" i="1" s="1"/>
  <c r="P33" i="16"/>
  <c r="AR32" i="1" s="1"/>
  <c r="P30" i="16"/>
  <c r="AR29" i="1" s="1"/>
  <c r="P38" i="16"/>
  <c r="AR37" i="1" s="1"/>
  <c r="P54" i="16"/>
  <c r="AR53" i="1" s="1"/>
  <c r="P51" i="16"/>
  <c r="AR50" i="1" s="1"/>
  <c r="P61" i="16"/>
  <c r="AR60" i="1" s="1"/>
  <c r="P66" i="16"/>
  <c r="AR65" i="1" s="1"/>
  <c r="P6" i="16"/>
  <c r="AR5" i="1" s="1"/>
  <c r="P18" i="16"/>
  <c r="AR17" i="1" s="1"/>
  <c r="P26" i="16"/>
  <c r="AR25" i="1" s="1"/>
  <c r="P34" i="16"/>
  <c r="AR33" i="1" s="1"/>
  <c r="P42" i="16"/>
  <c r="AR41" i="1" s="1"/>
  <c r="P62" i="16"/>
  <c r="AR61" i="1" s="1"/>
  <c r="P56" i="16"/>
  <c r="AR55" i="1" s="1"/>
  <c r="P16" i="16"/>
  <c r="AR15" i="1" s="1"/>
  <c r="P24" i="16"/>
  <c r="AR23" i="1" s="1"/>
  <c r="P36" i="16"/>
  <c r="AR35" i="1" s="1"/>
  <c r="P48" i="16"/>
  <c r="AR47" i="1" s="1"/>
  <c r="P29" i="16"/>
  <c r="AR28" i="1" s="1"/>
  <c r="P4" i="16"/>
  <c r="AR3" i="1" s="1"/>
  <c r="P13" i="16"/>
  <c r="AR12" i="1" s="1"/>
  <c r="P49" i="16"/>
  <c r="AR48" i="1" s="1"/>
  <c r="P65" i="16"/>
  <c r="AR64" i="1" s="1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4" i="6"/>
  <c r="Z13" i="10"/>
  <c r="AX12" i="1" s="1"/>
  <c r="Z22" i="10"/>
  <c r="AX21" i="1" s="1"/>
  <c r="Z29" i="10"/>
  <c r="AX28" i="1" s="1"/>
  <c r="Z45" i="10"/>
  <c r="AX44" i="1" s="1"/>
  <c r="Z48" i="10"/>
  <c r="AX47" i="1" s="1"/>
  <c r="Z54" i="10"/>
  <c r="AX53" i="1" s="1"/>
  <c r="Z61" i="10"/>
  <c r="AX60" i="1" s="1"/>
  <c r="Z67" i="10"/>
  <c r="AX66" i="1" s="1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4" i="3"/>
  <c r="BF11" i="1" l="1"/>
  <c r="BF15" i="1"/>
  <c r="BF23" i="1"/>
  <c r="BF27" i="1"/>
  <c r="BF31" i="1"/>
  <c r="BF39" i="1"/>
  <c r="BF43" i="1"/>
  <c r="BF47" i="1"/>
  <c r="BF59" i="1"/>
  <c r="BF63" i="1"/>
  <c r="BF8" i="1"/>
  <c r="BF12" i="1"/>
  <c r="BF20" i="1"/>
  <c r="BF24" i="1"/>
  <c r="BF28" i="1"/>
  <c r="BF36" i="1"/>
  <c r="BF40" i="1"/>
  <c r="BF56" i="1"/>
  <c r="BF60" i="1"/>
  <c r="BF65" i="1"/>
  <c r="BF61" i="1"/>
  <c r="BF53" i="1"/>
  <c r="BF45" i="1"/>
  <c r="BF37" i="1"/>
  <c r="BF33" i="1"/>
  <c r="BF9" i="1"/>
  <c r="BF64" i="1"/>
  <c r="BF52" i="1"/>
  <c r="BF48" i="1"/>
  <c r="BF44" i="1"/>
  <c r="BF32" i="1"/>
  <c r="BF16" i="1"/>
  <c r="BF4" i="1"/>
  <c r="BF67" i="1"/>
  <c r="BF55" i="1"/>
  <c r="BF51" i="1"/>
  <c r="BF35" i="1"/>
  <c r="BF19" i="1"/>
  <c r="BF7" i="1"/>
  <c r="BF57" i="1"/>
  <c r="BF49" i="1"/>
  <c r="BF41" i="1"/>
  <c r="BF29" i="1"/>
  <c r="BF25" i="1"/>
  <c r="BF21" i="1"/>
  <c r="BF17" i="1"/>
  <c r="BF13" i="1"/>
  <c r="BF5" i="1"/>
  <c r="BF66" i="1"/>
  <c r="BF62" i="1"/>
  <c r="BF58" i="1"/>
  <c r="BF54" i="1"/>
  <c r="BF50" i="1"/>
  <c r="BF46" i="1"/>
  <c r="BF42" i="1"/>
  <c r="BF38" i="1"/>
  <c r="BF34" i="1"/>
  <c r="BF30" i="1"/>
  <c r="BF26" i="1"/>
  <c r="BF22" i="1"/>
  <c r="BF18" i="1"/>
  <c r="BF14" i="1"/>
  <c r="BF10" i="1"/>
  <c r="BF6" i="1"/>
  <c r="Z47" i="10"/>
  <c r="AX46" i="1" s="1"/>
  <c r="Z60" i="10"/>
  <c r="AX59" i="1" s="1"/>
  <c r="Z52" i="10"/>
  <c r="AX51" i="1" s="1"/>
  <c r="T2" i="6" l="1"/>
  <c r="N2" i="10"/>
  <c r="T2" i="3"/>
  <c r="AJ68" i="3" l="1"/>
  <c r="AJ67" i="3"/>
  <c r="AJ66" i="3"/>
  <c r="AJ65" i="3"/>
  <c r="AJ64" i="3"/>
  <c r="AJ63" i="3"/>
  <c r="AJ62" i="3"/>
  <c r="AJ61" i="3"/>
  <c r="AJ60" i="3"/>
  <c r="AJ59" i="3"/>
  <c r="AJ58" i="3"/>
  <c r="AJ57" i="3"/>
  <c r="AJ4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9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J10" i="3"/>
  <c r="AJ9" i="3"/>
  <c r="AJ8" i="3"/>
  <c r="AJ7" i="3"/>
  <c r="AJ6" i="3"/>
  <c r="AJ5" i="3"/>
  <c r="AI68" i="3"/>
  <c r="AI67" i="3"/>
  <c r="AI66" i="3"/>
  <c r="AI65" i="3"/>
  <c r="AI64" i="3"/>
  <c r="AI63" i="3"/>
  <c r="AI62" i="3"/>
  <c r="AI61" i="3"/>
  <c r="AI60" i="3"/>
  <c r="AI59" i="3"/>
  <c r="AI58" i="3"/>
  <c r="AI57" i="3"/>
  <c r="AI4" i="3"/>
  <c r="AI56" i="3"/>
  <c r="AI55" i="3"/>
  <c r="AI54" i="3"/>
  <c r="AI53" i="3"/>
  <c r="AI52" i="3"/>
  <c r="AI51" i="3"/>
  <c r="AI50" i="3"/>
  <c r="AI49" i="3"/>
  <c r="AI48" i="3"/>
  <c r="AI47" i="3"/>
  <c r="AI46" i="3"/>
  <c r="AI45" i="3"/>
  <c r="AI44" i="3"/>
  <c r="AI43" i="3"/>
  <c r="AI42" i="3"/>
  <c r="AI41" i="3"/>
  <c r="AI40" i="3"/>
  <c r="AI39" i="3"/>
  <c r="AI38" i="3"/>
  <c r="AI37" i="3"/>
  <c r="AI36" i="3"/>
  <c r="AI35" i="3"/>
  <c r="AI34" i="3"/>
  <c r="AI33" i="3"/>
  <c r="AI32" i="3"/>
  <c r="AI31" i="3"/>
  <c r="AI30" i="3"/>
  <c r="AI29" i="3"/>
  <c r="AI28" i="3"/>
  <c r="AI27" i="3"/>
  <c r="AI26" i="3"/>
  <c r="AI25" i="3"/>
  <c r="AI24" i="3"/>
  <c r="AI23" i="3"/>
  <c r="AI22" i="3"/>
  <c r="AI21" i="3"/>
  <c r="AI20" i="3"/>
  <c r="AI19" i="3"/>
  <c r="AI18" i="3"/>
  <c r="AI17" i="3"/>
  <c r="AI16" i="3"/>
  <c r="AI15" i="3"/>
  <c r="AI14" i="3"/>
  <c r="AI13" i="3"/>
  <c r="AI12" i="3"/>
  <c r="AI11" i="3"/>
  <c r="AI10" i="3"/>
  <c r="AI9" i="3"/>
  <c r="AI8" i="3"/>
  <c r="AI7" i="3"/>
  <c r="AI6" i="3"/>
  <c r="AI5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4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4" i="3"/>
  <c r="AH43" i="3"/>
  <c r="AH42" i="3"/>
  <c r="AH41" i="3"/>
  <c r="AH40" i="3"/>
  <c r="AH39" i="3"/>
  <c r="AH38" i="3"/>
  <c r="AH37" i="3"/>
  <c r="AH36" i="3"/>
  <c r="AH35" i="3"/>
  <c r="AH34" i="3"/>
  <c r="AH33" i="3"/>
  <c r="AH32" i="3"/>
  <c r="AH31" i="3"/>
  <c r="AH30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7" i="3"/>
  <c r="AH6" i="3"/>
  <c r="AH5" i="3"/>
  <c r="AG68" i="3"/>
  <c r="AG67" i="3"/>
  <c r="AG66" i="3"/>
  <c r="AG65" i="3"/>
  <c r="AG64" i="3"/>
  <c r="AG63" i="3"/>
  <c r="AG62" i="3"/>
  <c r="AG61" i="3"/>
  <c r="AG60" i="3"/>
  <c r="AG59" i="3"/>
  <c r="AG58" i="3"/>
  <c r="AG57" i="3"/>
  <c r="AG4" i="3"/>
  <c r="AG56" i="3"/>
  <c r="AG55" i="3"/>
  <c r="AG54" i="3"/>
  <c r="AG53" i="3"/>
  <c r="AG52" i="3"/>
  <c r="AG51" i="3"/>
  <c r="AG50" i="3"/>
  <c r="AG49" i="3"/>
  <c r="AG48" i="3"/>
  <c r="AG47" i="3"/>
  <c r="AG46" i="3"/>
  <c r="AG45" i="3"/>
  <c r="AG44" i="3"/>
  <c r="AG43" i="3"/>
  <c r="AG42" i="3"/>
  <c r="AG41" i="3"/>
  <c r="AG40" i="3"/>
  <c r="AG39" i="3"/>
  <c r="AG38" i="3"/>
  <c r="AG37" i="3"/>
  <c r="AG36" i="3"/>
  <c r="AG35" i="3"/>
  <c r="AG34" i="3"/>
  <c r="AG33" i="3"/>
  <c r="AG32" i="3"/>
  <c r="AG31" i="3"/>
  <c r="AG30" i="3"/>
  <c r="AG29" i="3"/>
  <c r="AG28" i="3"/>
  <c r="AG27" i="3"/>
  <c r="AG26" i="3"/>
  <c r="AG25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7" i="3"/>
  <c r="AG6" i="3"/>
  <c r="AG5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4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4" i="3"/>
  <c r="AF13" i="3"/>
  <c r="AF12" i="3"/>
  <c r="AF11" i="3"/>
  <c r="AF10" i="3"/>
  <c r="AF9" i="3"/>
  <c r="AF8" i="3"/>
  <c r="AF7" i="3"/>
  <c r="AF6" i="3"/>
  <c r="AF5" i="3"/>
  <c r="AE68" i="3"/>
  <c r="AE67" i="3"/>
  <c r="AE66" i="3"/>
  <c r="AE65" i="3"/>
  <c r="AE64" i="3"/>
  <c r="AE63" i="3"/>
  <c r="AE62" i="3"/>
  <c r="AE61" i="3"/>
  <c r="AE60" i="3"/>
  <c r="AE59" i="3"/>
  <c r="AE58" i="3"/>
  <c r="AE57" i="3"/>
  <c r="AE4" i="3"/>
  <c r="AE56" i="3"/>
  <c r="AE55" i="3"/>
  <c r="AE54" i="3"/>
  <c r="AE53" i="3"/>
  <c r="AE52" i="3"/>
  <c r="AE51" i="3"/>
  <c r="AE50" i="3"/>
  <c r="AE49" i="3"/>
  <c r="AE48" i="3"/>
  <c r="AE47" i="3"/>
  <c r="AE46" i="3"/>
  <c r="AE45" i="3"/>
  <c r="AE44" i="3"/>
  <c r="AE43" i="3"/>
  <c r="AE42" i="3"/>
  <c r="AE41" i="3"/>
  <c r="AE40" i="3"/>
  <c r="AE39" i="3"/>
  <c r="AE38" i="3"/>
  <c r="AE37" i="3"/>
  <c r="AE36" i="3"/>
  <c r="AE35" i="3"/>
  <c r="AE34" i="3"/>
  <c r="AE33" i="3"/>
  <c r="AE32" i="3"/>
  <c r="AE31" i="3"/>
  <c r="AE30" i="3"/>
  <c r="AE29" i="3"/>
  <c r="AE28" i="3"/>
  <c r="AE27" i="3"/>
  <c r="AE26" i="3"/>
  <c r="AE25" i="3"/>
  <c r="AE24" i="3"/>
  <c r="AE23" i="3"/>
  <c r="AE22" i="3"/>
  <c r="AE21" i="3"/>
  <c r="AE20" i="3"/>
  <c r="AE19" i="3"/>
  <c r="AE18" i="3"/>
  <c r="AE17" i="3"/>
  <c r="AE16" i="3"/>
  <c r="AE15" i="3"/>
  <c r="AE14" i="3"/>
  <c r="AE13" i="3"/>
  <c r="AE12" i="3"/>
  <c r="AE11" i="3"/>
  <c r="AE10" i="3"/>
  <c r="AE9" i="3"/>
  <c r="AE8" i="3"/>
  <c r="AE7" i="3"/>
  <c r="AE6" i="3"/>
  <c r="AE5" i="3"/>
  <c r="AD68" i="3"/>
  <c r="AD67" i="3"/>
  <c r="AD66" i="3"/>
  <c r="AD65" i="3"/>
  <c r="AD64" i="3"/>
  <c r="AD63" i="3"/>
  <c r="AD62" i="3"/>
  <c r="AD61" i="3"/>
  <c r="AD60" i="3"/>
  <c r="AD59" i="3"/>
  <c r="AD58" i="3"/>
  <c r="AD57" i="3"/>
  <c r="AD4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4" i="3"/>
  <c r="AD43" i="3"/>
  <c r="AD42" i="3"/>
  <c r="AD41" i="3"/>
  <c r="AD40" i="3"/>
  <c r="AD39" i="3"/>
  <c r="AD38" i="3"/>
  <c r="AD37" i="3"/>
  <c r="AD36" i="3"/>
  <c r="AD35" i="3"/>
  <c r="AD34" i="3"/>
  <c r="AD33" i="3"/>
  <c r="AD32" i="3"/>
  <c r="AD31" i="3"/>
  <c r="AD30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7" i="3"/>
  <c r="AD6" i="3"/>
  <c r="AD5" i="3"/>
  <c r="AC68" i="3"/>
  <c r="AC67" i="3"/>
  <c r="AC66" i="3"/>
  <c r="AC65" i="3"/>
  <c r="AC64" i="3"/>
  <c r="AC63" i="3"/>
  <c r="AC62" i="3"/>
  <c r="AC61" i="3"/>
  <c r="AC60" i="3"/>
  <c r="AC59" i="3"/>
  <c r="AC58" i="3"/>
  <c r="AC57" i="3"/>
  <c r="AC4" i="3"/>
  <c r="AC56" i="3"/>
  <c r="AC55" i="3"/>
  <c r="AC54" i="3"/>
  <c r="AC53" i="3"/>
  <c r="AC52" i="3"/>
  <c r="AC51" i="3"/>
  <c r="AC50" i="3"/>
  <c r="AC49" i="3"/>
  <c r="AC48" i="3"/>
  <c r="AC47" i="3"/>
  <c r="AC46" i="3"/>
  <c r="AC45" i="3"/>
  <c r="AC44" i="3"/>
  <c r="AC43" i="3"/>
  <c r="AC42" i="3"/>
  <c r="AC41" i="3"/>
  <c r="AC40" i="3"/>
  <c r="AC39" i="3"/>
  <c r="AC38" i="3"/>
  <c r="AC37" i="3"/>
  <c r="AC36" i="3"/>
  <c r="AC35" i="3"/>
  <c r="AC34" i="3"/>
  <c r="AC33" i="3"/>
  <c r="AC32" i="3"/>
  <c r="AC31" i="3"/>
  <c r="AC30" i="3"/>
  <c r="AC29" i="3"/>
  <c r="AC28" i="3"/>
  <c r="AC27" i="3"/>
  <c r="AC26" i="3"/>
  <c r="AC25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7" i="3"/>
  <c r="AC6" i="3"/>
  <c r="AC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4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5" i="3"/>
  <c r="AK5" i="3" l="1"/>
  <c r="Z4" i="1" s="1"/>
  <c r="AK9" i="3"/>
  <c r="Z8" i="1" s="1"/>
  <c r="AK13" i="3"/>
  <c r="Z12" i="1" s="1"/>
  <c r="AK17" i="3"/>
  <c r="Z16" i="1" s="1"/>
  <c r="AK21" i="3"/>
  <c r="Z20" i="1" s="1"/>
  <c r="AK25" i="3"/>
  <c r="Z24" i="1" s="1"/>
  <c r="AK29" i="3"/>
  <c r="Z28" i="1" s="1"/>
  <c r="AK33" i="3"/>
  <c r="Z32" i="1" s="1"/>
  <c r="AK37" i="3"/>
  <c r="Z36" i="1" s="1"/>
  <c r="AK41" i="3"/>
  <c r="Z40" i="1" s="1"/>
  <c r="AK45" i="3"/>
  <c r="Z44" i="1" s="1"/>
  <c r="AK49" i="3"/>
  <c r="Z48" i="1" s="1"/>
  <c r="AK53" i="3"/>
  <c r="Z52" i="1" s="1"/>
  <c r="AK4" i="3"/>
  <c r="Z3" i="1" s="1"/>
  <c r="AK60" i="3"/>
  <c r="Z59" i="1" s="1"/>
  <c r="AK64" i="3"/>
  <c r="Z63" i="1" s="1"/>
  <c r="AK68" i="3"/>
  <c r="Z67" i="1" s="1"/>
  <c r="AK6" i="3"/>
  <c r="Z5" i="1" s="1"/>
  <c r="AK10" i="3"/>
  <c r="Z9" i="1" s="1"/>
  <c r="AK14" i="3"/>
  <c r="Z13" i="1" s="1"/>
  <c r="AK18" i="3"/>
  <c r="Z17" i="1" s="1"/>
  <c r="AK22" i="3"/>
  <c r="Z21" i="1" s="1"/>
  <c r="AK26" i="3"/>
  <c r="Z25" i="1" s="1"/>
  <c r="AK30" i="3"/>
  <c r="Z29" i="1" s="1"/>
  <c r="AK34" i="3"/>
  <c r="Z33" i="1" s="1"/>
  <c r="AK38" i="3"/>
  <c r="Z37" i="1" s="1"/>
  <c r="AK42" i="3"/>
  <c r="Z41" i="1" s="1"/>
  <c r="AK46" i="3"/>
  <c r="Z45" i="1" s="1"/>
  <c r="AK50" i="3"/>
  <c r="Z49" i="1" s="1"/>
  <c r="AK54" i="3"/>
  <c r="Z53" i="1" s="1"/>
  <c r="AK57" i="3"/>
  <c r="Z56" i="1" s="1"/>
  <c r="AK61" i="3"/>
  <c r="Z60" i="1" s="1"/>
  <c r="AK65" i="3"/>
  <c r="Z64" i="1" s="1"/>
  <c r="AK7" i="3"/>
  <c r="Z6" i="1" s="1"/>
  <c r="AK11" i="3"/>
  <c r="Z10" i="1" s="1"/>
  <c r="AK15" i="3"/>
  <c r="Z14" i="1" s="1"/>
  <c r="AK19" i="3"/>
  <c r="Z18" i="1" s="1"/>
  <c r="AK23" i="3"/>
  <c r="Z22" i="1" s="1"/>
  <c r="AK27" i="3"/>
  <c r="Z26" i="1" s="1"/>
  <c r="AK31" i="3"/>
  <c r="Z30" i="1" s="1"/>
  <c r="AK35" i="3"/>
  <c r="Z34" i="1" s="1"/>
  <c r="AK39" i="3"/>
  <c r="Z38" i="1" s="1"/>
  <c r="AK43" i="3"/>
  <c r="Z42" i="1" s="1"/>
  <c r="AK47" i="3"/>
  <c r="Z46" i="1" s="1"/>
  <c r="AK51" i="3"/>
  <c r="Z50" i="1" s="1"/>
  <c r="AK55" i="3"/>
  <c r="Z54" i="1" s="1"/>
  <c r="AK58" i="3"/>
  <c r="Z57" i="1" s="1"/>
  <c r="AK62" i="3"/>
  <c r="Z61" i="1" s="1"/>
  <c r="AK66" i="3"/>
  <c r="Z65" i="1" s="1"/>
  <c r="AK8" i="3"/>
  <c r="Z7" i="1" s="1"/>
  <c r="AK12" i="3"/>
  <c r="Z11" i="1" s="1"/>
  <c r="AK16" i="3"/>
  <c r="Z15" i="1" s="1"/>
  <c r="AK20" i="3"/>
  <c r="Z19" i="1" s="1"/>
  <c r="AK24" i="3"/>
  <c r="Z23" i="1" s="1"/>
  <c r="AK28" i="3"/>
  <c r="Z27" i="1" s="1"/>
  <c r="AK32" i="3"/>
  <c r="Z31" i="1" s="1"/>
  <c r="AK36" i="3"/>
  <c r="Z35" i="1" s="1"/>
  <c r="AK40" i="3"/>
  <c r="Z39" i="1" s="1"/>
  <c r="AK44" i="3"/>
  <c r="Z43" i="1" s="1"/>
  <c r="AK48" i="3"/>
  <c r="Z47" i="1" s="1"/>
  <c r="AK52" i="3"/>
  <c r="Z51" i="1" s="1"/>
  <c r="AK56" i="3"/>
  <c r="Z55" i="1" s="1"/>
  <c r="AK59" i="3"/>
  <c r="Z58" i="1" s="1"/>
  <c r="AK63" i="3"/>
  <c r="Z62" i="1" s="1"/>
  <c r="AK67" i="3"/>
  <c r="Z66" i="1" s="1"/>
  <c r="T7" i="1" l="1"/>
  <c r="T10" i="1"/>
  <c r="T22" i="1"/>
  <c r="T24" i="1"/>
  <c r="T26" i="1"/>
  <c r="T31" i="1"/>
  <c r="T35" i="1"/>
  <c r="T40" i="1"/>
  <c r="T42" i="1"/>
  <c r="T46" i="1"/>
  <c r="T48" i="1"/>
  <c r="T50" i="1"/>
  <c r="T54" i="1"/>
  <c r="T3" i="1"/>
  <c r="T57" i="1"/>
  <c r="T61" i="1"/>
  <c r="T63" i="1"/>
  <c r="T67" i="1"/>
  <c r="T12" i="1"/>
  <c r="T19" i="1"/>
  <c r="T30" i="1"/>
  <c r="T6" i="1"/>
  <c r="T14" i="1"/>
  <c r="T23" i="1"/>
  <c r="T27" i="1"/>
  <c r="T32" i="1"/>
  <c r="T34" i="1"/>
  <c r="T43" i="1"/>
  <c r="T47" i="1"/>
  <c r="T51" i="1"/>
  <c r="T55" i="1"/>
  <c r="T58" i="1"/>
  <c r="T62" i="1"/>
  <c r="T66" i="1"/>
  <c r="T5" i="1"/>
  <c r="T8" i="1"/>
  <c r="T16" i="1"/>
  <c r="T18" i="1"/>
  <c r="T38" i="1"/>
  <c r="T65" i="1"/>
  <c r="T11" i="1"/>
  <c r="T39" i="1"/>
  <c r="T4" i="1"/>
  <c r="T15" i="1"/>
  <c r="T20" i="1"/>
  <c r="T28" i="1"/>
  <c r="T36" i="1"/>
  <c r="T44" i="1"/>
  <c r="T52" i="1"/>
  <c r="T59" i="1"/>
  <c r="T9" i="1"/>
  <c r="T17" i="1"/>
  <c r="T25" i="1"/>
  <c r="T33" i="1"/>
  <c r="T41" i="1"/>
  <c r="T49" i="1"/>
  <c r="T56" i="1"/>
  <c r="T64" i="1"/>
  <c r="T13" i="1"/>
  <c r="T21" i="1"/>
  <c r="T29" i="1"/>
  <c r="T37" i="1"/>
  <c r="T45" i="1"/>
  <c r="T53" i="1"/>
  <c r="T60" i="1"/>
  <c r="BA1" i="1"/>
  <c r="Z7" i="10"/>
  <c r="AX6" i="1" s="1"/>
  <c r="Z8" i="10"/>
  <c r="AX7" i="1" s="1"/>
  <c r="Z11" i="10"/>
  <c r="AX10" i="1" s="1"/>
  <c r="Z12" i="10"/>
  <c r="AX11" i="1" s="1"/>
  <c r="BA12" i="1"/>
  <c r="Z15" i="10"/>
  <c r="AX14" i="1" s="1"/>
  <c r="Z16" i="10"/>
  <c r="AX15" i="1" s="1"/>
  <c r="Z19" i="10"/>
  <c r="AX18" i="1" s="1"/>
  <c r="BA21" i="1"/>
  <c r="Z23" i="10"/>
  <c r="AX22" i="1" s="1"/>
  <c r="Z24" i="10"/>
  <c r="AX23" i="1" s="1"/>
  <c r="Z27" i="10"/>
  <c r="AX26" i="1" s="1"/>
  <c r="Z28" i="10"/>
  <c r="AX27" i="1" s="1"/>
  <c r="BA28" i="1"/>
  <c r="Z31" i="10"/>
  <c r="AX30" i="1" s="1"/>
  <c r="Z32" i="10"/>
  <c r="AX31" i="1" s="1"/>
  <c r="Z35" i="10"/>
  <c r="AX34" i="1" s="1"/>
  <c r="Z44" i="10"/>
  <c r="AX43" i="1" s="1"/>
  <c r="BA44" i="1"/>
  <c r="BA46" i="1"/>
  <c r="BA53" i="1"/>
  <c r="Z56" i="10"/>
  <c r="AX55" i="1" s="1"/>
  <c r="Z59" i="10"/>
  <c r="AX58" i="1" s="1"/>
  <c r="BA59" i="1"/>
  <c r="BA60" i="1"/>
  <c r="Z63" i="10"/>
  <c r="AX62" i="1" s="1"/>
  <c r="W2" i="10"/>
  <c r="V2" i="10"/>
  <c r="U2" i="10"/>
  <c r="T2" i="10"/>
  <c r="S2" i="10"/>
  <c r="R2" i="10"/>
  <c r="Q2" i="10"/>
  <c r="P2" i="10"/>
  <c r="O2" i="10"/>
  <c r="Z5" i="10" l="1"/>
  <c r="AX4" i="1" s="1"/>
  <c r="BA4" i="1" s="1"/>
  <c r="Z65" i="10"/>
  <c r="AX64" i="1" s="1"/>
  <c r="BA64" i="1" s="1"/>
  <c r="Z50" i="10"/>
  <c r="AX49" i="1" s="1"/>
  <c r="BA49" i="1" s="1"/>
  <c r="Z46" i="10"/>
  <c r="AX45" i="1" s="1"/>
  <c r="BA45" i="1" s="1"/>
  <c r="Z42" i="10"/>
  <c r="AX41" i="1" s="1"/>
  <c r="BA41" i="1" s="1"/>
  <c r="Z38" i="10"/>
  <c r="AX37" i="1" s="1"/>
  <c r="BA37" i="1" s="1"/>
  <c r="Z34" i="10"/>
  <c r="AX33" i="1" s="1"/>
  <c r="BA33" i="1" s="1"/>
  <c r="Z30" i="10"/>
  <c r="AX29" i="1" s="1"/>
  <c r="BA29" i="1" s="1"/>
  <c r="Z26" i="10"/>
  <c r="AX25" i="1" s="1"/>
  <c r="BA25" i="1" s="1"/>
  <c r="Z18" i="10"/>
  <c r="AX17" i="1" s="1"/>
  <c r="BA17" i="1" s="1"/>
  <c r="Z14" i="10"/>
  <c r="AX13" i="1" s="1"/>
  <c r="BA13" i="1" s="1"/>
  <c r="Z6" i="10"/>
  <c r="AX5" i="1" s="1"/>
  <c r="BA5" i="1" s="1"/>
  <c r="Z57" i="10"/>
  <c r="AX56" i="1" s="1"/>
  <c r="BA56" i="1" s="1"/>
  <c r="Z10" i="10"/>
  <c r="AX9" i="1" s="1"/>
  <c r="BA9" i="1" s="1"/>
  <c r="AZ4" i="1"/>
  <c r="AZ64" i="1"/>
  <c r="AZ60" i="1"/>
  <c r="AZ56" i="1"/>
  <c r="AY53" i="1"/>
  <c r="AY49" i="1"/>
  <c r="AZ45" i="1"/>
  <c r="AZ41" i="1"/>
  <c r="AZ37" i="1"/>
  <c r="AZ33" i="1"/>
  <c r="BC33" i="1" s="1"/>
  <c r="AY29" i="1"/>
  <c r="BB29" i="1" s="1"/>
  <c r="AZ25" i="1"/>
  <c r="AZ21" i="1"/>
  <c r="AZ17" i="1"/>
  <c r="BC17" i="1" s="1"/>
  <c r="AY13" i="1"/>
  <c r="BB13" i="1" s="1"/>
  <c r="AZ9" i="1"/>
  <c r="AZ5" i="1"/>
  <c r="Z68" i="10"/>
  <c r="AX67" i="1" s="1"/>
  <c r="BA67" i="1" s="1"/>
  <c r="Z64" i="10"/>
  <c r="AX63" i="1" s="1"/>
  <c r="BA63" i="1" s="1"/>
  <c r="Z4" i="10"/>
  <c r="AX3" i="1" s="1"/>
  <c r="BA3" i="1" s="1"/>
  <c r="Z53" i="10"/>
  <c r="AX52" i="1" s="1"/>
  <c r="BA52" i="1" s="1"/>
  <c r="Z49" i="10"/>
  <c r="AX48" i="1" s="1"/>
  <c r="BA48" i="1" s="1"/>
  <c r="Z41" i="10"/>
  <c r="AX40" i="1" s="1"/>
  <c r="BA40" i="1" s="1"/>
  <c r="Z37" i="10"/>
  <c r="AX36" i="1" s="1"/>
  <c r="BA36" i="1" s="1"/>
  <c r="Z33" i="10"/>
  <c r="AX32" i="1" s="1"/>
  <c r="BA32" i="1" s="1"/>
  <c r="Z25" i="10"/>
  <c r="AX24" i="1" s="1"/>
  <c r="BA24" i="1" s="1"/>
  <c r="Z21" i="10"/>
  <c r="AX20" i="1" s="1"/>
  <c r="BA20" i="1" s="1"/>
  <c r="Z17" i="10"/>
  <c r="AX16" i="1" s="1"/>
  <c r="BA16" i="1" s="1"/>
  <c r="Z9" i="10"/>
  <c r="AX8" i="1" s="1"/>
  <c r="BA8" i="1" s="1"/>
  <c r="AZ67" i="1"/>
  <c r="AZ63" i="1"/>
  <c r="BC63" i="1" s="1"/>
  <c r="AY59" i="1"/>
  <c r="BB59" i="1" s="1"/>
  <c r="AY3" i="1"/>
  <c r="BB3" i="1" s="1"/>
  <c r="AZ52" i="1"/>
  <c r="BC52" i="1" s="1"/>
  <c r="AZ48" i="1"/>
  <c r="BC48" i="1" s="1"/>
  <c r="AY44" i="1"/>
  <c r="BB44" i="1" s="1"/>
  <c r="AY40" i="1"/>
  <c r="AY36" i="1"/>
  <c r="AZ32" i="1"/>
  <c r="AZ28" i="1"/>
  <c r="BC28" i="1" s="1"/>
  <c r="AY24" i="1"/>
  <c r="BB24" i="1" s="1"/>
  <c r="AY20" i="1"/>
  <c r="AY16" i="1"/>
  <c r="AY12" i="1"/>
  <c r="BB12" i="1" s="1"/>
  <c r="AZ8" i="1"/>
  <c r="BC8" i="1" s="1"/>
  <c r="Z40" i="10"/>
  <c r="AX39" i="1" s="1"/>
  <c r="BA39" i="1" s="1"/>
  <c r="Z36" i="10"/>
  <c r="AX35" i="1" s="1"/>
  <c r="BA35" i="1" s="1"/>
  <c r="Z20" i="10"/>
  <c r="AX19" i="1" s="1"/>
  <c r="BA19" i="1" s="1"/>
  <c r="AZ66" i="1"/>
  <c r="AY62" i="1"/>
  <c r="BB62" i="1" s="1"/>
  <c r="AY58" i="1"/>
  <c r="AZ55" i="1"/>
  <c r="BC55" i="1" s="1"/>
  <c r="AZ51" i="1"/>
  <c r="AZ47" i="1"/>
  <c r="BC47" i="1" s="1"/>
  <c r="AY43" i="1"/>
  <c r="AY39" i="1"/>
  <c r="AZ35" i="1"/>
  <c r="AY31" i="1"/>
  <c r="BB31" i="1" s="1"/>
  <c r="AZ27" i="1"/>
  <c r="AY23" i="1"/>
  <c r="BB23" i="1" s="1"/>
  <c r="AY19" i="1"/>
  <c r="AZ15" i="1"/>
  <c r="BC15" i="1" s="1"/>
  <c r="AZ11" i="1"/>
  <c r="AY7" i="1"/>
  <c r="BB7" i="1" s="1"/>
  <c r="Z66" i="10"/>
  <c r="AX65" i="1" s="1"/>
  <c r="BA65" i="1" s="1"/>
  <c r="Z62" i="10"/>
  <c r="AX61" i="1" s="1"/>
  <c r="BA61" i="1" s="1"/>
  <c r="Z58" i="10"/>
  <c r="AX57" i="1" s="1"/>
  <c r="BA57" i="1" s="1"/>
  <c r="Z55" i="10"/>
  <c r="AX54" i="1" s="1"/>
  <c r="BA54" i="1" s="1"/>
  <c r="Z51" i="10"/>
  <c r="AX50" i="1" s="1"/>
  <c r="BA50" i="1" s="1"/>
  <c r="Z43" i="10"/>
  <c r="AX42" i="1" s="1"/>
  <c r="BA42" i="1" s="1"/>
  <c r="Z39" i="10"/>
  <c r="AX38" i="1" s="1"/>
  <c r="BA38" i="1" s="1"/>
  <c r="AZ65" i="1"/>
  <c r="AZ61" i="1"/>
  <c r="AY57" i="1"/>
  <c r="AY54" i="1"/>
  <c r="AZ50" i="1"/>
  <c r="AY46" i="1"/>
  <c r="AZ42" i="1"/>
  <c r="AY38" i="1"/>
  <c r="AY34" i="1"/>
  <c r="AZ30" i="1"/>
  <c r="AZ26" i="1"/>
  <c r="AY22" i="1"/>
  <c r="AY18" i="1"/>
  <c r="AY14" i="1"/>
  <c r="AY10" i="1"/>
  <c r="AY6" i="1"/>
  <c r="AY60" i="1"/>
  <c r="Q10" i="1"/>
  <c r="R10" i="1" s="1"/>
  <c r="U10" i="1" s="1"/>
  <c r="S10" i="1"/>
  <c r="Q31" i="1"/>
  <c r="R31" i="1" s="1"/>
  <c r="U31" i="1" s="1"/>
  <c r="S31" i="1"/>
  <c r="Q39" i="1"/>
  <c r="R39" i="1" s="1"/>
  <c r="U39" i="1" s="1"/>
  <c r="S39" i="1"/>
  <c r="Q30" i="1"/>
  <c r="R30" i="1" s="1"/>
  <c r="U30" i="1" s="1"/>
  <c r="S30" i="1"/>
  <c r="Q11" i="1"/>
  <c r="R11" i="1" s="1"/>
  <c r="U11" i="1" s="1"/>
  <c r="S11" i="1"/>
  <c r="BA11" i="1"/>
  <c r="BA15" i="1"/>
  <c r="BA31" i="1"/>
  <c r="BA47" i="1"/>
  <c r="BA62" i="1"/>
  <c r="BA27" i="1"/>
  <c r="BA7" i="1"/>
  <c r="BA23" i="1"/>
  <c r="BA55" i="1"/>
  <c r="BA66" i="1"/>
  <c r="BA58" i="1"/>
  <c r="BA51" i="1"/>
  <c r="BA43" i="1"/>
  <c r="BA34" i="1"/>
  <c r="BA26" i="1"/>
  <c r="BA18" i="1"/>
  <c r="BA10" i="1"/>
  <c r="BA30" i="1"/>
  <c r="BA22" i="1"/>
  <c r="BA14" i="1"/>
  <c r="BA6" i="1"/>
  <c r="Q22" i="1"/>
  <c r="Q8" i="1"/>
  <c r="R8" i="1" s="1"/>
  <c r="U8" i="1" s="1"/>
  <c r="Q15" i="1"/>
  <c r="R15" i="1" s="1"/>
  <c r="U15" i="1" s="1"/>
  <c r="Q38" i="1"/>
  <c r="Q14" i="1"/>
  <c r="R14" i="1" s="1"/>
  <c r="U14" i="1" s="1"/>
  <c r="S1" i="1"/>
  <c r="BH1" i="1"/>
  <c r="AT1" i="1"/>
  <c r="AC1" i="1"/>
  <c r="J1" i="1"/>
  <c r="AZ13" i="1" l="1"/>
  <c r="BC13" i="1" s="1"/>
  <c r="AY5" i="1"/>
  <c r="BB5" i="1" s="1"/>
  <c r="AY61" i="1"/>
  <c r="BB61" i="1" s="1"/>
  <c r="AY66" i="1"/>
  <c r="BB66" i="1" s="1"/>
  <c r="AZ43" i="1"/>
  <c r="BC43" i="1" s="1"/>
  <c r="AY11" i="1"/>
  <c r="BB11" i="1" s="1"/>
  <c r="AZ22" i="1"/>
  <c r="BC22" i="1" s="1"/>
  <c r="AZ6" i="1"/>
  <c r="AZ19" i="1"/>
  <c r="BC19" i="1" s="1"/>
  <c r="AY8" i="1"/>
  <c r="BB8" i="1" s="1"/>
  <c r="AZ3" i="1"/>
  <c r="BC3" i="1" s="1"/>
  <c r="AY27" i="1"/>
  <c r="BB27" i="1" s="1"/>
  <c r="AZ58" i="1"/>
  <c r="BC58" i="1" s="1"/>
  <c r="AY28" i="1"/>
  <c r="BB28" i="1" s="1"/>
  <c r="AZ29" i="1"/>
  <c r="AY45" i="1"/>
  <c r="AZ54" i="1"/>
  <c r="BC54" i="1" s="1"/>
  <c r="AZ59" i="1"/>
  <c r="BC59" i="1" s="1"/>
  <c r="AZ44" i="1"/>
  <c r="BC44" i="1" s="1"/>
  <c r="AY67" i="1"/>
  <c r="BB67" i="1" s="1"/>
  <c r="AY4" i="1"/>
  <c r="BB4" i="1" s="1"/>
  <c r="AZ38" i="1"/>
  <c r="BC38" i="1" s="1"/>
  <c r="AZ36" i="1"/>
  <c r="BC36" i="1" s="1"/>
  <c r="AZ20" i="1"/>
  <c r="BC20" i="1" s="1"/>
  <c r="AY9" i="1"/>
  <c r="BB9" i="1" s="1"/>
  <c r="AZ49" i="1"/>
  <c r="BC49" i="1" s="1"/>
  <c r="AY64" i="1"/>
  <c r="BB64" i="1" s="1"/>
  <c r="AY30" i="1"/>
  <c r="BB30" i="1" s="1"/>
  <c r="AY51" i="1"/>
  <c r="BB51" i="1" s="1"/>
  <c r="AY52" i="1"/>
  <c r="BB52" i="1" s="1"/>
  <c r="AZ53" i="1"/>
  <c r="BC53" i="1" s="1"/>
  <c r="AY35" i="1"/>
  <c r="BB35" i="1" s="1"/>
  <c r="AZ12" i="1"/>
  <c r="BC12" i="1" s="1"/>
  <c r="AY56" i="1"/>
  <c r="BB56" i="1" s="1"/>
  <c r="AY21" i="1"/>
  <c r="BB21" i="1" s="1"/>
  <c r="AY37" i="1"/>
  <c r="BB37" i="1" s="1"/>
  <c r="AZ14" i="1"/>
  <c r="BC14" i="1" s="1"/>
  <c r="AY15" i="1"/>
  <c r="BB15" i="1" s="1"/>
  <c r="AZ31" i="1"/>
  <c r="BC31" i="1" s="1"/>
  <c r="AY47" i="1"/>
  <c r="BB47" i="1" s="1"/>
  <c r="AZ62" i="1"/>
  <c r="BC62" i="1" s="1"/>
  <c r="AZ16" i="1"/>
  <c r="BC16" i="1" s="1"/>
  <c r="AY48" i="1"/>
  <c r="BB48" i="1" s="1"/>
  <c r="AY25" i="1"/>
  <c r="BB25" i="1" s="1"/>
  <c r="AZ46" i="1"/>
  <c r="BC46" i="1" s="1"/>
  <c r="AZ40" i="1"/>
  <c r="BC40" i="1" s="1"/>
  <c r="AY17" i="1"/>
  <c r="BB17" i="1" s="1"/>
  <c r="AY33" i="1"/>
  <c r="BB33" i="1" s="1"/>
  <c r="AZ24" i="1"/>
  <c r="BC24" i="1" s="1"/>
  <c r="AY63" i="1"/>
  <c r="BB63" i="1" s="1"/>
  <c r="AZ18" i="1"/>
  <c r="BC18" i="1" s="1"/>
  <c r="AZ34" i="1"/>
  <c r="BC34" i="1" s="1"/>
  <c r="AY50" i="1"/>
  <c r="BB50" i="1" s="1"/>
  <c r="AY65" i="1"/>
  <c r="BB65" i="1" s="1"/>
  <c r="AY32" i="1"/>
  <c r="BB32" i="1" s="1"/>
  <c r="AY41" i="1"/>
  <c r="BB41" i="1" s="1"/>
  <c r="AY26" i="1"/>
  <c r="BB26" i="1" s="1"/>
  <c r="AZ57" i="1"/>
  <c r="BC57" i="1" s="1"/>
  <c r="AZ7" i="1"/>
  <c r="BC7" i="1" s="1"/>
  <c r="AZ39" i="1"/>
  <c r="BC39" i="1" s="1"/>
  <c r="AZ10" i="1"/>
  <c r="BC10" i="1" s="1"/>
  <c r="AY42" i="1"/>
  <c r="BB42" i="1" s="1"/>
  <c r="AZ23" i="1"/>
  <c r="BC23" i="1" s="1"/>
  <c r="AY55" i="1"/>
  <c r="BB55" i="1" s="1"/>
  <c r="Q48" i="1"/>
  <c r="R48" i="1" s="1"/>
  <c r="U48" i="1" s="1"/>
  <c r="S48" i="1"/>
  <c r="Q41" i="1"/>
  <c r="R41" i="1" s="1"/>
  <c r="U41" i="1" s="1"/>
  <c r="S41" i="1"/>
  <c r="Q37" i="1"/>
  <c r="R37" i="1" s="1"/>
  <c r="U37" i="1" s="1"/>
  <c r="S37" i="1"/>
  <c r="Q42" i="1"/>
  <c r="R42" i="1" s="1"/>
  <c r="U42" i="1" s="1"/>
  <c r="S42" i="1"/>
  <c r="Q17" i="1"/>
  <c r="R17" i="1" s="1"/>
  <c r="U17" i="1" s="1"/>
  <c r="S17" i="1"/>
  <c r="Q13" i="1"/>
  <c r="S13" i="1"/>
  <c r="Q50" i="1"/>
  <c r="R50" i="1" s="1"/>
  <c r="U50" i="1" s="1"/>
  <c r="S50" i="1"/>
  <c r="Q25" i="1"/>
  <c r="R25" i="1" s="1"/>
  <c r="U25" i="1" s="1"/>
  <c r="S25" i="1"/>
  <c r="Q5" i="1"/>
  <c r="R5" i="1" s="1"/>
  <c r="U5" i="1" s="1"/>
  <c r="S5" i="1"/>
  <c r="Q18" i="1"/>
  <c r="R18" i="1" s="1"/>
  <c r="U18" i="1" s="1"/>
  <c r="S18" i="1"/>
  <c r="Q9" i="1"/>
  <c r="R9" i="1" s="1"/>
  <c r="U9" i="1" s="1"/>
  <c r="S9" i="1"/>
  <c r="Q43" i="1"/>
  <c r="R43" i="1" s="1"/>
  <c r="U43" i="1" s="1"/>
  <c r="S43" i="1"/>
  <c r="Q3" i="1"/>
  <c r="R3" i="1" s="1"/>
  <c r="U3" i="1" s="1"/>
  <c r="S3" i="1"/>
  <c r="Q56" i="1"/>
  <c r="R56" i="1" s="1"/>
  <c r="U56" i="1" s="1"/>
  <c r="S56" i="1"/>
  <c r="Q27" i="1"/>
  <c r="R27" i="1" s="1"/>
  <c r="U27" i="1" s="1"/>
  <c r="S27" i="1"/>
  <c r="Q57" i="1"/>
  <c r="R57" i="1" s="1"/>
  <c r="U57" i="1" s="1"/>
  <c r="S57" i="1"/>
  <c r="Q66" i="1"/>
  <c r="R66" i="1" s="1"/>
  <c r="U66" i="1" s="1"/>
  <c r="S66" i="1"/>
  <c r="Q44" i="1"/>
  <c r="R44" i="1" s="1"/>
  <c r="U44" i="1" s="1"/>
  <c r="S44" i="1"/>
  <c r="Q60" i="1"/>
  <c r="R60" i="1" s="1"/>
  <c r="U60" i="1" s="1"/>
  <c r="S60" i="1"/>
  <c r="Q12" i="1"/>
  <c r="R12" i="1" s="1"/>
  <c r="U12" i="1" s="1"/>
  <c r="S12" i="1"/>
  <c r="Q46" i="1"/>
  <c r="R46" i="1" s="1"/>
  <c r="U46" i="1" s="1"/>
  <c r="S46" i="1"/>
  <c r="Q21" i="1"/>
  <c r="R21" i="1" s="1"/>
  <c r="U21" i="1" s="1"/>
  <c r="S21" i="1"/>
  <c r="S38" i="1"/>
  <c r="R38" i="1"/>
  <c r="U38" i="1" s="1"/>
  <c r="R13" i="1"/>
  <c r="U13" i="1" s="1"/>
  <c r="S22" i="1"/>
  <c r="R22" i="1"/>
  <c r="U22" i="1" s="1"/>
  <c r="BC67" i="1"/>
  <c r="BC29" i="1"/>
  <c r="BB36" i="1"/>
  <c r="BC42" i="1"/>
  <c r="BC41" i="1"/>
  <c r="BC9" i="1"/>
  <c r="BB45" i="1"/>
  <c r="BC45" i="1"/>
  <c r="BB60" i="1"/>
  <c r="BC60" i="1"/>
  <c r="BC6" i="1"/>
  <c r="BB6" i="1"/>
  <c r="BB22" i="1"/>
  <c r="BC5" i="1"/>
  <c r="BB46" i="1"/>
  <c r="BC61" i="1"/>
  <c r="BB43" i="1"/>
  <c r="BC51" i="1"/>
  <c r="BB58" i="1"/>
  <c r="BC66" i="1"/>
  <c r="BC21" i="1"/>
  <c r="BC50" i="1"/>
  <c r="BC65" i="1"/>
  <c r="BB18" i="1"/>
  <c r="BB34" i="1"/>
  <c r="BC32" i="1"/>
  <c r="BB19" i="1"/>
  <c r="BC25" i="1"/>
  <c r="BB53" i="1"/>
  <c r="BC4" i="1"/>
  <c r="BB14" i="1"/>
  <c r="BC30" i="1"/>
  <c r="BC37" i="1"/>
  <c r="BB54" i="1"/>
  <c r="BB38" i="1"/>
  <c r="BB40" i="1"/>
  <c r="BB39" i="1"/>
  <c r="BC11" i="1"/>
  <c r="BB57" i="1"/>
  <c r="BB10" i="1"/>
  <c r="BC26" i="1"/>
  <c r="BC35" i="1"/>
  <c r="BC56" i="1"/>
  <c r="BB16" i="1"/>
  <c r="BB20" i="1"/>
  <c r="BB49" i="1"/>
  <c r="BC64" i="1"/>
  <c r="BC27" i="1"/>
  <c r="Q67" i="1"/>
  <c r="Q6" i="1"/>
  <c r="R6" i="1" s="1"/>
  <c r="U6" i="1" s="1"/>
  <c r="Q34" i="1"/>
  <c r="Q59" i="1"/>
  <c r="R59" i="1" s="1"/>
  <c r="U59" i="1" s="1"/>
  <c r="Q53" i="1"/>
  <c r="Q26" i="1"/>
  <c r="R26" i="1" s="1"/>
  <c r="U26" i="1" s="1"/>
  <c r="Q24" i="1"/>
  <c r="Q51" i="1"/>
  <c r="R51" i="1" s="1"/>
  <c r="U51" i="1" s="1"/>
  <c r="Q36" i="1"/>
  <c r="Q29" i="1"/>
  <c r="R29" i="1" s="1"/>
  <c r="U29" i="1" s="1"/>
  <c r="Q7" i="1"/>
  <c r="Q16" i="1"/>
  <c r="R16" i="1" s="1"/>
  <c r="U16" i="1" s="1"/>
  <c r="Q58" i="1"/>
  <c r="Q28" i="1"/>
  <c r="R28" i="1" s="1"/>
  <c r="U28" i="1" s="1"/>
  <c r="Q49" i="1"/>
  <c r="Q62" i="1"/>
  <c r="R62" i="1" s="1"/>
  <c r="U62" i="1" s="1"/>
  <c r="Q19" i="1"/>
  <c r="Q20" i="1"/>
  <c r="R20" i="1" s="1"/>
  <c r="U20" i="1" s="1"/>
  <c r="Q63" i="1"/>
  <c r="Q40" i="1"/>
  <c r="R40" i="1" s="1"/>
  <c r="U40" i="1" s="1"/>
  <c r="Q33" i="1"/>
  <c r="Q47" i="1"/>
  <c r="R47" i="1" s="1"/>
  <c r="U47" i="1" s="1"/>
  <c r="Q52" i="1"/>
  <c r="Q45" i="1"/>
  <c r="R45" i="1" s="1"/>
  <c r="U45" i="1" s="1"/>
  <c r="Q61" i="1"/>
  <c r="Q32" i="1"/>
  <c r="R32" i="1" s="1"/>
  <c r="U32" i="1" s="1"/>
  <c r="Q54" i="1"/>
  <c r="Q23" i="1"/>
  <c r="R23" i="1" s="1"/>
  <c r="U23" i="1" s="1"/>
  <c r="Q64" i="1"/>
  <c r="Q65" i="1"/>
  <c r="R65" i="1" s="1"/>
  <c r="U65" i="1" s="1"/>
  <c r="Q35" i="1"/>
  <c r="Q55" i="1"/>
  <c r="R55" i="1" s="1"/>
  <c r="U55" i="1" s="1"/>
  <c r="Q4" i="1"/>
  <c r="S14" i="1"/>
  <c r="S8" i="1"/>
  <c r="S15" i="1"/>
  <c r="R4" i="1" l="1"/>
  <c r="U4" i="1" s="1"/>
  <c r="R35" i="1"/>
  <c r="U35" i="1" s="1"/>
  <c r="R64" i="1"/>
  <c r="U64" i="1" s="1"/>
  <c r="R54" i="1"/>
  <c r="U54" i="1" s="1"/>
  <c r="R61" i="1"/>
  <c r="U61" i="1" s="1"/>
  <c r="R52" i="1"/>
  <c r="U52" i="1" s="1"/>
  <c r="R33" i="1"/>
  <c r="U33" i="1" s="1"/>
  <c r="R63" i="1"/>
  <c r="U63" i="1" s="1"/>
  <c r="R19" i="1"/>
  <c r="U19" i="1" s="1"/>
  <c r="R49" i="1"/>
  <c r="U49" i="1" s="1"/>
  <c r="R58" i="1"/>
  <c r="U58" i="1" s="1"/>
  <c r="R7" i="1"/>
  <c r="U7" i="1" s="1"/>
  <c r="R36" i="1"/>
  <c r="U36" i="1" s="1"/>
  <c r="R24" i="1"/>
  <c r="U24" i="1" s="1"/>
  <c r="R53" i="1"/>
  <c r="U53" i="1" s="1"/>
  <c r="R34" i="1"/>
  <c r="U34" i="1" s="1"/>
  <c r="R67" i="1"/>
  <c r="U67" i="1" s="1"/>
  <c r="S54" i="1"/>
  <c r="S52" i="1"/>
  <c r="S34" i="1"/>
  <c r="S59" i="1"/>
  <c r="S6" i="1"/>
  <c r="S35" i="1"/>
  <c r="S28" i="1"/>
  <c r="S47" i="1"/>
  <c r="S53" i="1"/>
  <c r="S67" i="1"/>
  <c r="S64" i="1"/>
  <c r="S61" i="1"/>
  <c r="S16" i="1"/>
  <c r="S40" i="1"/>
  <c r="S24" i="1"/>
  <c r="S55" i="1"/>
  <c r="S33" i="1"/>
  <c r="S45" i="1"/>
  <c r="S20" i="1"/>
  <c r="S62" i="1"/>
  <c r="S29" i="1"/>
  <c r="S36" i="1"/>
  <c r="S58" i="1"/>
  <c r="S32" i="1"/>
  <c r="S4" i="1"/>
  <c r="S19" i="1"/>
  <c r="S51" i="1"/>
  <c r="S65" i="1"/>
  <c r="S7" i="1"/>
  <c r="S49" i="1"/>
  <c r="S23" i="1"/>
  <c r="S26" i="1"/>
  <c r="S63" i="1"/>
  <c r="U68" i="6"/>
  <c r="U67" i="6"/>
  <c r="U66" i="6"/>
  <c r="U65" i="6"/>
  <c r="U64" i="6"/>
  <c r="U63" i="6"/>
  <c r="U62" i="6"/>
  <c r="U61" i="6"/>
  <c r="U60" i="6"/>
  <c r="U59" i="6"/>
  <c r="U58" i="6"/>
  <c r="U57" i="6"/>
  <c r="U4" i="6"/>
  <c r="U56" i="6"/>
  <c r="U55" i="6"/>
  <c r="U54" i="6"/>
  <c r="U53" i="6"/>
  <c r="U52" i="6"/>
  <c r="U51" i="6"/>
  <c r="U50" i="6"/>
  <c r="U49" i="6"/>
  <c r="U48" i="6"/>
  <c r="U47" i="6"/>
  <c r="U46" i="6"/>
  <c r="U45" i="6"/>
  <c r="U44" i="6"/>
  <c r="U43" i="6"/>
  <c r="U42" i="6"/>
  <c r="U41" i="6"/>
  <c r="U40" i="6"/>
  <c r="U39" i="6"/>
  <c r="U38" i="6"/>
  <c r="U37" i="6"/>
  <c r="U36" i="6"/>
  <c r="U35" i="6"/>
  <c r="U34" i="6"/>
  <c r="U33" i="6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13" i="6"/>
  <c r="U12" i="6"/>
  <c r="U11" i="6"/>
  <c r="U10" i="6"/>
  <c r="U9" i="6"/>
  <c r="U8" i="6"/>
  <c r="U7" i="6"/>
  <c r="U6" i="6"/>
  <c r="U5" i="6"/>
  <c r="U68" i="3"/>
  <c r="U67" i="3"/>
  <c r="U66" i="3"/>
  <c r="U65" i="3"/>
  <c r="U64" i="3"/>
  <c r="U63" i="3"/>
  <c r="U62" i="3"/>
  <c r="U61" i="3"/>
  <c r="U60" i="3"/>
  <c r="U59" i="3"/>
  <c r="U58" i="3"/>
  <c r="U57" i="3"/>
  <c r="U4" i="3"/>
  <c r="U56" i="3"/>
  <c r="U55" i="3"/>
  <c r="U54" i="3"/>
  <c r="U53" i="3"/>
  <c r="U52" i="3"/>
  <c r="U51" i="3"/>
  <c r="U50" i="3"/>
  <c r="U49" i="3"/>
  <c r="U48" i="3"/>
  <c r="U47" i="3"/>
  <c r="U46" i="3"/>
  <c r="U45" i="3"/>
  <c r="U44" i="3"/>
  <c r="U43" i="3"/>
  <c r="U42" i="3"/>
  <c r="U41" i="3"/>
  <c r="U40" i="3"/>
  <c r="U39" i="3"/>
  <c r="U38" i="3"/>
  <c r="U37" i="3"/>
  <c r="U36" i="3"/>
  <c r="U35" i="3"/>
  <c r="U34" i="3"/>
  <c r="U33" i="3"/>
  <c r="U32" i="3"/>
  <c r="U31" i="3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U7" i="3"/>
  <c r="U6" i="3"/>
  <c r="U5" i="3"/>
  <c r="T11" i="3" l="1"/>
  <c r="T19" i="3"/>
  <c r="T23" i="3"/>
  <c r="T31" i="3"/>
  <c r="T39" i="3"/>
  <c r="T51" i="3"/>
  <c r="T58" i="3"/>
  <c r="T66" i="3"/>
  <c r="T12" i="6"/>
  <c r="T20" i="6"/>
  <c r="T32" i="6"/>
  <c r="T40" i="6"/>
  <c r="T59" i="6"/>
  <c r="T8" i="3"/>
  <c r="T16" i="3"/>
  <c r="T28" i="3"/>
  <c r="T36" i="3"/>
  <c r="T44" i="3"/>
  <c r="T56" i="3"/>
  <c r="T63" i="3"/>
  <c r="T5" i="6"/>
  <c r="T9" i="6"/>
  <c r="T17" i="6"/>
  <c r="T21" i="6"/>
  <c r="T25" i="6"/>
  <c r="T33" i="6"/>
  <c r="T37" i="6"/>
  <c r="T41" i="6"/>
  <c r="T49" i="6"/>
  <c r="T53" i="6"/>
  <c r="T4" i="6"/>
  <c r="T64" i="6"/>
  <c r="T68" i="6"/>
  <c r="T5" i="3"/>
  <c r="T9" i="3"/>
  <c r="T17" i="3"/>
  <c r="T21" i="3"/>
  <c r="T25" i="3"/>
  <c r="T33" i="3"/>
  <c r="T37" i="3"/>
  <c r="T41" i="3"/>
  <c r="T49" i="3"/>
  <c r="T53" i="3"/>
  <c r="T4" i="3"/>
  <c r="T64" i="3"/>
  <c r="T68" i="3"/>
  <c r="T6" i="6"/>
  <c r="T10" i="6"/>
  <c r="T14" i="6"/>
  <c r="T18" i="6"/>
  <c r="T26" i="6"/>
  <c r="T30" i="6"/>
  <c r="T34" i="6"/>
  <c r="T38" i="6"/>
  <c r="T42" i="6"/>
  <c r="T46" i="6"/>
  <c r="T50" i="6"/>
  <c r="T57" i="6"/>
  <c r="T65" i="6"/>
  <c r="T7" i="3"/>
  <c r="T15" i="3"/>
  <c r="T27" i="3"/>
  <c r="T35" i="3"/>
  <c r="T43" i="3"/>
  <c r="T55" i="3"/>
  <c r="T62" i="3"/>
  <c r="T8" i="6"/>
  <c r="T16" i="6"/>
  <c r="T28" i="6"/>
  <c r="T36" i="6"/>
  <c r="T44" i="6"/>
  <c r="T56" i="6"/>
  <c r="T63" i="6"/>
  <c r="T12" i="3"/>
  <c r="T20" i="3"/>
  <c r="T32" i="3"/>
  <c r="T40" i="3"/>
  <c r="T59" i="3"/>
  <c r="T6" i="3"/>
  <c r="T10" i="3"/>
  <c r="T14" i="3"/>
  <c r="T18" i="3"/>
  <c r="T26" i="3"/>
  <c r="T30" i="3"/>
  <c r="T34" i="3"/>
  <c r="T38" i="3"/>
  <c r="T42" i="3"/>
  <c r="T46" i="3"/>
  <c r="T50" i="3"/>
  <c r="T57" i="3"/>
  <c r="T65" i="3"/>
  <c r="T7" i="6"/>
  <c r="T11" i="6"/>
  <c r="T15" i="6"/>
  <c r="T19" i="6"/>
  <c r="T23" i="6"/>
  <c r="T27" i="6"/>
  <c r="T31" i="6"/>
  <c r="T35" i="6"/>
  <c r="T39" i="6"/>
  <c r="T43" i="6"/>
  <c r="T51" i="6"/>
  <c r="T55" i="6"/>
  <c r="T58" i="6"/>
  <c r="T62" i="6"/>
  <c r="T66" i="6"/>
  <c r="T24" i="6"/>
  <c r="T48" i="6"/>
  <c r="T52" i="6"/>
  <c r="T67" i="6"/>
  <c r="T13" i="6"/>
  <c r="T29" i="6"/>
  <c r="T45" i="6"/>
  <c r="T60" i="6"/>
  <c r="T22" i="6"/>
  <c r="T54" i="6"/>
  <c r="T61" i="6"/>
  <c r="T47" i="6"/>
  <c r="T47" i="3"/>
  <c r="T24" i="3"/>
  <c r="T48" i="3"/>
  <c r="T52" i="3"/>
  <c r="T67" i="3"/>
  <c r="T13" i="3"/>
  <c r="T29" i="3"/>
  <c r="T45" i="3"/>
  <c r="T60" i="3"/>
  <c r="T22" i="3"/>
  <c r="T54" i="3"/>
  <c r="T61" i="3"/>
  <c r="V2" i="6"/>
  <c r="U2" i="6"/>
  <c r="AE2" i="3"/>
  <c r="AF2" i="3"/>
  <c r="AG2" i="3"/>
  <c r="AH2" i="3"/>
  <c r="AI2" i="3"/>
  <c r="AJ2" i="3"/>
  <c r="AD2" i="3"/>
  <c r="AC2" i="3"/>
  <c r="AB2" i="3"/>
  <c r="AD4" i="1"/>
  <c r="AD54" i="1"/>
  <c r="V2" i="3"/>
  <c r="U2" i="3"/>
  <c r="AU67" i="1"/>
  <c r="AU12" i="1"/>
  <c r="AU8" i="1"/>
  <c r="AU5" i="1"/>
  <c r="AU6" i="1"/>
  <c r="AU7" i="1"/>
  <c r="AU9" i="1"/>
  <c r="AU10" i="1"/>
  <c r="AU11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3" i="1"/>
  <c r="AU56" i="1"/>
  <c r="AU57" i="1"/>
  <c r="AU58" i="1"/>
  <c r="AU59" i="1"/>
  <c r="AU60" i="1"/>
  <c r="AU61" i="1"/>
  <c r="AU62" i="1"/>
  <c r="AU63" i="1"/>
  <c r="AU64" i="1"/>
  <c r="AU65" i="1"/>
  <c r="AU66" i="1"/>
  <c r="AU4" i="1"/>
  <c r="W47" i="6" l="1"/>
  <c r="BE46" i="1" s="1"/>
  <c r="BI46" i="1"/>
  <c r="W60" i="6"/>
  <c r="BE59" i="1" s="1"/>
  <c r="BI59" i="1"/>
  <c r="W67" i="6"/>
  <c r="BE66" i="1" s="1"/>
  <c r="BI66" i="1"/>
  <c r="W66" i="6"/>
  <c r="BE65" i="1" s="1"/>
  <c r="BI65" i="1"/>
  <c r="W51" i="6"/>
  <c r="BE50" i="1" s="1"/>
  <c r="W31" i="6"/>
  <c r="BE30" i="1" s="1"/>
  <c r="BI30" i="1"/>
  <c r="W15" i="6"/>
  <c r="BE14" i="1" s="1"/>
  <c r="W63" i="6"/>
  <c r="BE62" i="1" s="1"/>
  <c r="BI62" i="1"/>
  <c r="W28" i="6"/>
  <c r="BE27" i="1" s="1"/>
  <c r="BI27" i="1"/>
  <c r="W50" i="6"/>
  <c r="BE49" i="1" s="1"/>
  <c r="BI49" i="1"/>
  <c r="W34" i="6"/>
  <c r="BE33" i="1" s="1"/>
  <c r="W14" i="6"/>
  <c r="BE13" i="1" s="1"/>
  <c r="BI13" i="1"/>
  <c r="W64" i="6"/>
  <c r="BE63" i="1" s="1"/>
  <c r="BI63" i="1"/>
  <c r="W41" i="6"/>
  <c r="BE40" i="1" s="1"/>
  <c r="BI40" i="1"/>
  <c r="W21" i="6"/>
  <c r="BE20" i="1" s="1"/>
  <c r="W20" i="6"/>
  <c r="BE19" i="1" s="1"/>
  <c r="BI19" i="1"/>
  <c r="W61" i="6"/>
  <c r="BE60" i="1" s="1"/>
  <c r="BI60" i="1"/>
  <c r="W45" i="6"/>
  <c r="BE44" i="1" s="1"/>
  <c r="W52" i="6"/>
  <c r="BE51" i="1" s="1"/>
  <c r="W62" i="6"/>
  <c r="BE61" i="1" s="1"/>
  <c r="BI61" i="1"/>
  <c r="W43" i="6"/>
  <c r="BE42" i="1" s="1"/>
  <c r="BI42" i="1"/>
  <c r="W27" i="6"/>
  <c r="BE26" i="1" s="1"/>
  <c r="W11" i="6"/>
  <c r="BE10" i="1" s="1"/>
  <c r="W56" i="6"/>
  <c r="BE55" i="1" s="1"/>
  <c r="W16" i="6"/>
  <c r="BE15" i="1" s="1"/>
  <c r="BI15" i="1"/>
  <c r="W46" i="6"/>
  <c r="BE45" i="1" s="1"/>
  <c r="BI45" i="1"/>
  <c r="W30" i="6"/>
  <c r="BE29" i="1" s="1"/>
  <c r="BI29" i="1"/>
  <c r="W10" i="6"/>
  <c r="BE9" i="1" s="1"/>
  <c r="BI9" i="1"/>
  <c r="W4" i="6"/>
  <c r="BE3" i="1" s="1"/>
  <c r="W37" i="6"/>
  <c r="BE36" i="1" s="1"/>
  <c r="BI36" i="1"/>
  <c r="W17" i="6"/>
  <c r="BE16" i="1" s="1"/>
  <c r="W59" i="6"/>
  <c r="BE58" i="1" s="1"/>
  <c r="BI58" i="1"/>
  <c r="W12" i="6"/>
  <c r="BE11" i="1" s="1"/>
  <c r="W54" i="6"/>
  <c r="BE53" i="1" s="1"/>
  <c r="BI53" i="1"/>
  <c r="W29" i="6"/>
  <c r="BE28" i="1" s="1"/>
  <c r="BI28" i="1"/>
  <c r="W48" i="6"/>
  <c r="BE47" i="1" s="1"/>
  <c r="BI47" i="1"/>
  <c r="W58" i="6"/>
  <c r="BE57" i="1" s="1"/>
  <c r="W39" i="6"/>
  <c r="BE38" i="1" s="1"/>
  <c r="BI38" i="1"/>
  <c r="W23" i="6"/>
  <c r="BE22" i="1" s="1"/>
  <c r="W7" i="6"/>
  <c r="BE6" i="1" s="1"/>
  <c r="BI6" i="1"/>
  <c r="W44" i="6"/>
  <c r="BE43" i="1" s="1"/>
  <c r="W8" i="6"/>
  <c r="BE7" i="1" s="1"/>
  <c r="BI7" i="1"/>
  <c r="W65" i="6"/>
  <c r="BE64" i="1" s="1"/>
  <c r="BI64" i="1"/>
  <c r="W42" i="6"/>
  <c r="BE41" i="1" s="1"/>
  <c r="BI41" i="1"/>
  <c r="W26" i="6"/>
  <c r="BE25" i="1" s="1"/>
  <c r="BI25" i="1"/>
  <c r="W6" i="6"/>
  <c r="BE5" i="1" s="1"/>
  <c r="BI5" i="1"/>
  <c r="W53" i="6"/>
  <c r="BE52" i="1" s="1"/>
  <c r="W33" i="6"/>
  <c r="BE32" i="1" s="1"/>
  <c r="BI32" i="1"/>
  <c r="W9" i="6"/>
  <c r="BE8" i="1" s="1"/>
  <c r="BI8" i="1"/>
  <c r="W40" i="6"/>
  <c r="BE39" i="1" s="1"/>
  <c r="BI39" i="1"/>
  <c r="W22" i="6"/>
  <c r="BE21" i="1" s="1"/>
  <c r="W13" i="6"/>
  <c r="BE12" i="1" s="1"/>
  <c r="BI12" i="1"/>
  <c r="W24" i="6"/>
  <c r="BE23" i="1" s="1"/>
  <c r="W55" i="6"/>
  <c r="BE54" i="1" s="1"/>
  <c r="BI54" i="1"/>
  <c r="W35" i="6"/>
  <c r="BE34" i="1" s="1"/>
  <c r="BI34" i="1"/>
  <c r="W19" i="6"/>
  <c r="BE18" i="1" s="1"/>
  <c r="BI18" i="1"/>
  <c r="W36" i="6"/>
  <c r="BE35" i="1" s="1"/>
  <c r="BI35" i="1"/>
  <c r="W57" i="6"/>
  <c r="BE56" i="1" s="1"/>
  <c r="BI56" i="1"/>
  <c r="W38" i="6"/>
  <c r="BE37" i="1" s="1"/>
  <c r="W18" i="6"/>
  <c r="BE17" i="1" s="1"/>
  <c r="BI17" i="1"/>
  <c r="W68" i="6"/>
  <c r="BE67" i="1" s="1"/>
  <c r="W49" i="6"/>
  <c r="BE48" i="1" s="1"/>
  <c r="BI48" i="1"/>
  <c r="W25" i="6"/>
  <c r="BE24" i="1" s="1"/>
  <c r="BI24" i="1"/>
  <c r="W5" i="6"/>
  <c r="BE4" i="1" s="1"/>
  <c r="BI4" i="1"/>
  <c r="W32" i="6"/>
  <c r="BE31" i="1" s="1"/>
  <c r="BI31" i="1"/>
  <c r="W52" i="3"/>
  <c r="W42" i="3"/>
  <c r="W6" i="3"/>
  <c r="W40" i="3"/>
  <c r="W15" i="3"/>
  <c r="W44" i="3"/>
  <c r="W29" i="3"/>
  <c r="W57" i="3"/>
  <c r="W38" i="3"/>
  <c r="W18" i="3"/>
  <c r="W32" i="3"/>
  <c r="W43" i="3"/>
  <c r="W7" i="3"/>
  <c r="W53" i="3"/>
  <c r="W33" i="3"/>
  <c r="W9" i="3"/>
  <c r="W36" i="3"/>
  <c r="W58" i="3"/>
  <c r="W23" i="3"/>
  <c r="W61" i="3"/>
  <c r="W65" i="3"/>
  <c r="W55" i="3"/>
  <c r="W37" i="3"/>
  <c r="W8" i="3"/>
  <c r="W31" i="3"/>
  <c r="W48" i="3"/>
  <c r="W22" i="3"/>
  <c r="W13" i="3"/>
  <c r="W24" i="3"/>
  <c r="W50" i="3"/>
  <c r="W34" i="3"/>
  <c r="W14" i="3"/>
  <c r="W20" i="3"/>
  <c r="W35" i="3"/>
  <c r="W68" i="3"/>
  <c r="W49" i="3"/>
  <c r="W25" i="3"/>
  <c r="W5" i="3"/>
  <c r="W63" i="3"/>
  <c r="W28" i="3"/>
  <c r="W51" i="3"/>
  <c r="W19" i="3"/>
  <c r="W45" i="3"/>
  <c r="W26" i="3"/>
  <c r="W4" i="3"/>
  <c r="W17" i="3"/>
  <c r="W66" i="3"/>
  <c r="W54" i="3"/>
  <c r="W60" i="3"/>
  <c r="W67" i="3"/>
  <c r="W47" i="3"/>
  <c r="W46" i="3"/>
  <c r="W30" i="3"/>
  <c r="W10" i="3"/>
  <c r="W59" i="3"/>
  <c r="W12" i="3"/>
  <c r="W62" i="3"/>
  <c r="W27" i="3"/>
  <c r="W64" i="3"/>
  <c r="W41" i="3"/>
  <c r="W21" i="3"/>
  <c r="W56" i="3"/>
  <c r="W16" i="3"/>
  <c r="W39" i="3"/>
  <c r="W11" i="3"/>
  <c r="AT24" i="1"/>
  <c r="AT35" i="1"/>
  <c r="AT40" i="1"/>
  <c r="AT4" i="1"/>
  <c r="AT7" i="1"/>
  <c r="AT12" i="1"/>
  <c r="AT23" i="1"/>
  <c r="AT28" i="1"/>
  <c r="AT39" i="1"/>
  <c r="AT44" i="1"/>
  <c r="AT8" i="1"/>
  <c r="AT19" i="1"/>
  <c r="AT16" i="1"/>
  <c r="AT32" i="1"/>
  <c r="AT48" i="1"/>
  <c r="AD15" i="1"/>
  <c r="AD14" i="1"/>
  <c r="AD13" i="1"/>
  <c r="AD12" i="1"/>
  <c r="AD10" i="1"/>
  <c r="AD9" i="1"/>
  <c r="AD8" i="1"/>
  <c r="AD7" i="1"/>
  <c r="AD37" i="1"/>
  <c r="AD36" i="1"/>
  <c r="AD35" i="1"/>
  <c r="AD34" i="1"/>
  <c r="AD51" i="1"/>
  <c r="AD50" i="1"/>
  <c r="AD49" i="1"/>
  <c r="AD48" i="1"/>
  <c r="AD57" i="1"/>
  <c r="AD56" i="1"/>
  <c r="AD3" i="1"/>
  <c r="AD55" i="1"/>
  <c r="AD58" i="1"/>
  <c r="AD62" i="1"/>
  <c r="AD61" i="1"/>
  <c r="AD60" i="1"/>
  <c r="AD44" i="1"/>
  <c r="AD43" i="1"/>
  <c r="AD42" i="1"/>
  <c r="AD22" i="1"/>
  <c r="AD21" i="1"/>
  <c r="AD20" i="1"/>
  <c r="AD31" i="1"/>
  <c r="AD30" i="1"/>
  <c r="AD64" i="1"/>
  <c r="AD28" i="1"/>
  <c r="AD39" i="1"/>
  <c r="AD26" i="1"/>
  <c r="AD25" i="1"/>
  <c r="AD18" i="1"/>
  <c r="AD17" i="1"/>
  <c r="AD16" i="1"/>
  <c r="AD46" i="1"/>
  <c r="AD5" i="1"/>
  <c r="AD6" i="1"/>
  <c r="AD65" i="1"/>
  <c r="AD47" i="1"/>
  <c r="AD38" i="1"/>
  <c r="AD66" i="1"/>
  <c r="AD67" i="1"/>
  <c r="AD59" i="1"/>
  <c r="AD45" i="1"/>
  <c r="AD33" i="1"/>
  <c r="AD32" i="1"/>
  <c r="AD40" i="1"/>
  <c r="AD53" i="1"/>
  <c r="AD41" i="1"/>
  <c r="AD27" i="1"/>
  <c r="AD19" i="1"/>
  <c r="AD24" i="1"/>
  <c r="BI10" i="1"/>
  <c r="BI14" i="1"/>
  <c r="BI26" i="1"/>
  <c r="BI11" i="1"/>
  <c r="BI23" i="1"/>
  <c r="BI51" i="1"/>
  <c r="BI55" i="1"/>
  <c r="BI16" i="1"/>
  <c r="BI20" i="1"/>
  <c r="BI44" i="1"/>
  <c r="BI52" i="1"/>
  <c r="BI67" i="1"/>
  <c r="BI22" i="1"/>
  <c r="BI50" i="1"/>
  <c r="BI57" i="1"/>
  <c r="BI43" i="1"/>
  <c r="BI21" i="1"/>
  <c r="BI33" i="1"/>
  <c r="BI37" i="1"/>
  <c r="AD23" i="1"/>
  <c r="AD29" i="1"/>
  <c r="AD52" i="1"/>
  <c r="AD63" i="1"/>
  <c r="AT5" i="1"/>
  <c r="AT21" i="1"/>
  <c r="AT37" i="1"/>
  <c r="AT33" i="1"/>
  <c r="AT13" i="1"/>
  <c r="AT29" i="1"/>
  <c r="AT45" i="1"/>
  <c r="AT17" i="1"/>
  <c r="AT25" i="1"/>
  <c r="AT41" i="1"/>
  <c r="AT11" i="1"/>
  <c r="AT15" i="1"/>
  <c r="AT27" i="1"/>
  <c r="AT31" i="1"/>
  <c r="AT43" i="1"/>
  <c r="AT47" i="1"/>
  <c r="AT9" i="1"/>
  <c r="AT20" i="1"/>
  <c r="AT36" i="1"/>
  <c r="R23" i="16" l="1"/>
  <c r="AS22" i="1" s="1"/>
  <c r="W26" i="1"/>
  <c r="R27" i="16"/>
  <c r="AS26" i="1" s="1"/>
  <c r="W66" i="1"/>
  <c r="R67" i="16"/>
  <c r="AS66" i="1" s="1"/>
  <c r="W18" i="1"/>
  <c r="R19" i="16"/>
  <c r="AS18" i="1" s="1"/>
  <c r="W4" i="1"/>
  <c r="R5" i="16"/>
  <c r="AS4" i="1" s="1"/>
  <c r="AV4" i="1" s="1"/>
  <c r="W49" i="1"/>
  <c r="R50" i="16"/>
  <c r="AS49" i="1" s="1"/>
  <c r="W57" i="1"/>
  <c r="R58" i="16"/>
  <c r="AS57" i="1" s="1"/>
  <c r="W17" i="1"/>
  <c r="R18" i="16"/>
  <c r="AS17" i="1" s="1"/>
  <c r="AV17" i="1" s="1"/>
  <c r="W10" i="1"/>
  <c r="R11" i="16"/>
  <c r="AS10" i="1" s="1"/>
  <c r="W20" i="1"/>
  <c r="R21" i="16"/>
  <c r="AS20" i="1" s="1"/>
  <c r="AV20" i="1" s="1"/>
  <c r="W29" i="1"/>
  <c r="R30" i="16"/>
  <c r="AS29" i="1" s="1"/>
  <c r="AV29" i="1" s="1"/>
  <c r="W59" i="1"/>
  <c r="R60" i="16"/>
  <c r="AS59" i="1" s="1"/>
  <c r="W50" i="1"/>
  <c r="R51" i="16"/>
  <c r="AS50" i="1" s="1"/>
  <c r="W24" i="1"/>
  <c r="R25" i="16"/>
  <c r="AS24" i="1" s="1"/>
  <c r="AV24" i="1" s="1"/>
  <c r="W19" i="1"/>
  <c r="R20" i="16"/>
  <c r="AS19" i="1" s="1"/>
  <c r="AV19" i="1" s="1"/>
  <c r="W23" i="1"/>
  <c r="R24" i="16"/>
  <c r="AS23" i="1" s="1"/>
  <c r="AV23" i="1" s="1"/>
  <c r="W30" i="1"/>
  <c r="R31" i="16"/>
  <c r="AS30" i="1" s="1"/>
  <c r="W64" i="1"/>
  <c r="R65" i="16"/>
  <c r="AS64" i="1" s="1"/>
  <c r="W35" i="1"/>
  <c r="R36" i="16"/>
  <c r="AS35" i="1" s="1"/>
  <c r="AV35" i="1" s="1"/>
  <c r="W6" i="1"/>
  <c r="R7" i="16"/>
  <c r="AS6" i="1" s="1"/>
  <c r="W37" i="1"/>
  <c r="R38" i="16"/>
  <c r="AS37" i="1" s="1"/>
  <c r="AV37" i="1" s="1"/>
  <c r="W14" i="1"/>
  <c r="R15" i="16"/>
  <c r="AS14" i="1" s="1"/>
  <c r="W51" i="1"/>
  <c r="R52" i="16"/>
  <c r="AS51" i="1" s="1"/>
  <c r="W38" i="1"/>
  <c r="R39" i="16"/>
  <c r="AS38" i="1" s="1"/>
  <c r="W40" i="1"/>
  <c r="R41" i="16"/>
  <c r="AS40" i="1" s="1"/>
  <c r="W11" i="1"/>
  <c r="R12" i="16"/>
  <c r="AS11" i="1" s="1"/>
  <c r="AV11" i="1" s="1"/>
  <c r="W45" i="1"/>
  <c r="R46" i="16"/>
  <c r="AS45" i="1" s="1"/>
  <c r="AV45" i="1" s="1"/>
  <c r="W53" i="1"/>
  <c r="R54" i="16"/>
  <c r="AS53" i="1" s="1"/>
  <c r="W25" i="1"/>
  <c r="R26" i="16"/>
  <c r="AS25" i="1" s="1"/>
  <c r="AV25" i="1" s="1"/>
  <c r="W27" i="1"/>
  <c r="R28" i="16"/>
  <c r="AS27" i="1" s="1"/>
  <c r="AV27" i="1" s="1"/>
  <c r="W48" i="1"/>
  <c r="R49" i="16"/>
  <c r="AS48" i="1" s="1"/>
  <c r="AV48" i="1" s="1"/>
  <c r="W13" i="1"/>
  <c r="R14" i="16"/>
  <c r="AS13" i="1" s="1"/>
  <c r="AV13" i="1" s="1"/>
  <c r="W12" i="1"/>
  <c r="R13" i="16"/>
  <c r="AS12" i="1" s="1"/>
  <c r="AV12" i="1" s="1"/>
  <c r="W7" i="1"/>
  <c r="AA7" i="1" s="1"/>
  <c r="AB7" i="1" s="1"/>
  <c r="AE7" i="1" s="1"/>
  <c r="R8" i="16"/>
  <c r="AS7" i="1" s="1"/>
  <c r="AV7" i="1" s="1"/>
  <c r="W60" i="1"/>
  <c r="R61" i="16"/>
  <c r="AS60" i="1" s="1"/>
  <c r="W8" i="1"/>
  <c r="R9" i="16"/>
  <c r="AS8" i="1" s="1"/>
  <c r="AV8" i="1" s="1"/>
  <c r="W42" i="1"/>
  <c r="R43" i="16"/>
  <c r="AS42" i="1" s="1"/>
  <c r="W56" i="1"/>
  <c r="R57" i="16"/>
  <c r="AS56" i="1" s="1"/>
  <c r="W39" i="1"/>
  <c r="R40" i="16"/>
  <c r="AS39" i="1" s="1"/>
  <c r="AV39" i="1" s="1"/>
  <c r="W55" i="1"/>
  <c r="R56" i="16"/>
  <c r="AS55" i="1" s="1"/>
  <c r="W9" i="1"/>
  <c r="R10" i="16"/>
  <c r="AS9" i="1" s="1"/>
  <c r="AV9" i="1" s="1"/>
  <c r="W16" i="1"/>
  <c r="R17" i="16"/>
  <c r="AS16" i="1" s="1"/>
  <c r="AV16" i="1" s="1"/>
  <c r="W34" i="1"/>
  <c r="R35" i="16"/>
  <c r="AS34" i="1" s="1"/>
  <c r="W47" i="1"/>
  <c r="R48" i="16"/>
  <c r="AS47" i="1" s="1"/>
  <c r="AV47" i="1" s="1"/>
  <c r="W54" i="1"/>
  <c r="R55" i="16"/>
  <c r="AS54" i="1" s="1"/>
  <c r="W52" i="1"/>
  <c r="R53" i="16"/>
  <c r="AS52" i="1" s="1"/>
  <c r="W43" i="1"/>
  <c r="R44" i="16"/>
  <c r="AS43" i="1" s="1"/>
  <c r="AV43" i="1" s="1"/>
  <c r="W41" i="1"/>
  <c r="R42" i="16"/>
  <c r="AS41" i="1" s="1"/>
  <c r="AV41" i="1" s="1"/>
  <c r="W61" i="1"/>
  <c r="R62" i="16"/>
  <c r="AS61" i="1" s="1"/>
  <c r="W3" i="1"/>
  <c r="R4" i="16"/>
  <c r="AS3" i="1" s="1"/>
  <c r="W15" i="1"/>
  <c r="AA15" i="1" s="1"/>
  <c r="AB15" i="1" s="1"/>
  <c r="AE15" i="1" s="1"/>
  <c r="R16" i="16"/>
  <c r="AS15" i="1" s="1"/>
  <c r="AV15" i="1" s="1"/>
  <c r="W63" i="1"/>
  <c r="R64" i="16"/>
  <c r="AS63" i="1" s="1"/>
  <c r="W58" i="1"/>
  <c r="R59" i="16"/>
  <c r="AS58" i="1" s="1"/>
  <c r="W46" i="1"/>
  <c r="R47" i="16"/>
  <c r="AS46" i="1" s="1"/>
  <c r="W65" i="1"/>
  <c r="R66" i="16"/>
  <c r="AS65" i="1" s="1"/>
  <c r="W44" i="1"/>
  <c r="R45" i="16"/>
  <c r="AS44" i="1" s="1"/>
  <c r="AV44" i="1" s="1"/>
  <c r="W62" i="1"/>
  <c r="AA62" i="1" s="1"/>
  <c r="AB62" i="1" s="1"/>
  <c r="AE62" i="1" s="1"/>
  <c r="R63" i="16"/>
  <c r="AS62" i="1" s="1"/>
  <c r="W67" i="1"/>
  <c r="R68" i="16"/>
  <c r="AS67" i="1" s="1"/>
  <c r="W33" i="1"/>
  <c r="R34" i="16"/>
  <c r="AS33" i="1" s="1"/>
  <c r="AV33" i="1" s="1"/>
  <c r="W21" i="1"/>
  <c r="R22" i="16"/>
  <c r="AS21" i="1" s="1"/>
  <c r="AV21" i="1" s="1"/>
  <c r="W36" i="1"/>
  <c r="R37" i="16"/>
  <c r="AS36" i="1" s="1"/>
  <c r="AV36" i="1" s="1"/>
  <c r="W32" i="1"/>
  <c r="R33" i="16"/>
  <c r="AS32" i="1" s="1"/>
  <c r="AV32" i="1" s="1"/>
  <c r="W31" i="1"/>
  <c r="R32" i="16"/>
  <c r="AS31" i="1" s="1"/>
  <c r="AV31" i="1" s="1"/>
  <c r="W28" i="1"/>
  <c r="R29" i="16"/>
  <c r="AS28" i="1" s="1"/>
  <c r="AV28" i="1" s="1"/>
  <c r="W5" i="1"/>
  <c r="R6" i="16"/>
  <c r="AS5" i="1" s="1"/>
  <c r="AV5" i="1" s="1"/>
  <c r="BH41" i="1"/>
  <c r="BH47" i="1"/>
  <c r="BH67" i="1"/>
  <c r="BH42" i="1"/>
  <c r="X23" i="3"/>
  <c r="W22" i="1"/>
  <c r="Q39" i="2"/>
  <c r="E38" i="1" s="1"/>
  <c r="Q56" i="2"/>
  <c r="E55" i="1" s="1"/>
  <c r="Q41" i="2"/>
  <c r="E40" i="1" s="1"/>
  <c r="Q12" i="2"/>
  <c r="E11" i="1" s="1"/>
  <c r="Q10" i="2"/>
  <c r="E9" i="1" s="1"/>
  <c r="Q46" i="2"/>
  <c r="E45" i="1" s="1"/>
  <c r="Q67" i="2"/>
  <c r="E66" i="1" s="1"/>
  <c r="Q54" i="2"/>
  <c r="E53" i="1" s="1"/>
  <c r="Q17" i="2"/>
  <c r="E16" i="1" s="1"/>
  <c r="Q26" i="2"/>
  <c r="E25" i="1" s="1"/>
  <c r="Q28" i="2"/>
  <c r="E27" i="1" s="1"/>
  <c r="Q5" i="2"/>
  <c r="E4" i="1" s="1"/>
  <c r="Q49" i="2"/>
  <c r="E48" i="1" s="1"/>
  <c r="Q14" i="2"/>
  <c r="E13" i="1" s="1"/>
  <c r="Q50" i="2"/>
  <c r="E49" i="1" s="1"/>
  <c r="Q13" i="2"/>
  <c r="E12" i="1" s="1"/>
  <c r="Q48" i="2"/>
  <c r="E47" i="1" s="1"/>
  <c r="Q55" i="2"/>
  <c r="E54" i="1" s="1"/>
  <c r="Q61" i="2"/>
  <c r="E60" i="1" s="1"/>
  <c r="Q58" i="2"/>
  <c r="E57" i="1" s="1"/>
  <c r="Q9" i="2"/>
  <c r="E8" i="1" s="1"/>
  <c r="Q53" i="2"/>
  <c r="E52" i="1" s="1"/>
  <c r="Q43" i="2"/>
  <c r="E42" i="1" s="1"/>
  <c r="Q18" i="2"/>
  <c r="E17" i="1" s="1"/>
  <c r="Q57" i="2"/>
  <c r="E56" i="1" s="1"/>
  <c r="Q44" i="2"/>
  <c r="E43" i="1" s="1"/>
  <c r="Q42" i="2"/>
  <c r="E41" i="1" s="1"/>
  <c r="Q21" i="2"/>
  <c r="E20" i="1" s="1"/>
  <c r="Q64" i="2"/>
  <c r="E63" i="1" s="1"/>
  <c r="Q62" i="2"/>
  <c r="E61" i="1" s="1"/>
  <c r="Q30" i="2"/>
  <c r="E29" i="1" s="1"/>
  <c r="Q60" i="2"/>
  <c r="E59" i="1" s="1"/>
  <c r="Q4" i="2"/>
  <c r="E3" i="1" s="1"/>
  <c r="Q45" i="2"/>
  <c r="E44" i="1" s="1"/>
  <c r="Q51" i="2"/>
  <c r="E50" i="1" s="1"/>
  <c r="Q25" i="2"/>
  <c r="E24" i="1" s="1"/>
  <c r="Q68" i="2"/>
  <c r="E67" i="1" s="1"/>
  <c r="Q20" i="2"/>
  <c r="E19" i="1" s="1"/>
  <c r="Q34" i="2"/>
  <c r="E33" i="1" s="1"/>
  <c r="Q22" i="2"/>
  <c r="E21" i="1" s="1"/>
  <c r="Q37" i="2"/>
  <c r="E36" i="1" s="1"/>
  <c r="Q65" i="2"/>
  <c r="E64" i="1" s="1"/>
  <c r="Q23" i="2"/>
  <c r="E22" i="1" s="1"/>
  <c r="Q36" i="2"/>
  <c r="E35" i="1" s="1"/>
  <c r="Q33" i="2"/>
  <c r="E32" i="1" s="1"/>
  <c r="Q38" i="2"/>
  <c r="E37" i="1" s="1"/>
  <c r="Q29" i="2"/>
  <c r="E28" i="1" s="1"/>
  <c r="Q6" i="2"/>
  <c r="E5" i="1" s="1"/>
  <c r="Q52" i="2"/>
  <c r="E51" i="1" s="1"/>
  <c r="X27" i="3"/>
  <c r="Q27" i="2"/>
  <c r="E26" i="1" s="1"/>
  <c r="X19" i="3"/>
  <c r="Q19" i="2"/>
  <c r="E18" i="1" s="1"/>
  <c r="X40" i="3"/>
  <c r="Q40" i="2"/>
  <c r="E39" i="1" s="1"/>
  <c r="X35" i="3"/>
  <c r="Q35" i="2"/>
  <c r="E34" i="1" s="1"/>
  <c r="X8" i="3"/>
  <c r="Q8" i="2"/>
  <c r="E7" i="1" s="1"/>
  <c r="X11" i="3"/>
  <c r="Q11" i="2"/>
  <c r="E10" i="1" s="1"/>
  <c r="X16" i="3"/>
  <c r="Q16" i="2"/>
  <c r="E15" i="1" s="1"/>
  <c r="X59" i="3"/>
  <c r="Q59" i="2"/>
  <c r="E58" i="1" s="1"/>
  <c r="X47" i="3"/>
  <c r="Q47" i="2"/>
  <c r="E46" i="1" s="1"/>
  <c r="X66" i="3"/>
  <c r="Q66" i="2"/>
  <c r="E65" i="1" s="1"/>
  <c r="X63" i="3"/>
  <c r="Q63" i="2"/>
  <c r="E62" i="1" s="1"/>
  <c r="X24" i="3"/>
  <c r="Q24" i="2"/>
  <c r="E23" i="1" s="1"/>
  <c r="X31" i="3"/>
  <c r="Q31" i="2"/>
  <c r="E30" i="1" s="1"/>
  <c r="X7" i="3"/>
  <c r="Q7" i="2"/>
  <c r="E6" i="1" s="1"/>
  <c r="X32" i="3"/>
  <c r="Q32" i="2"/>
  <c r="E31" i="1" s="1"/>
  <c r="X15" i="3"/>
  <c r="Q15" i="2"/>
  <c r="E14" i="1" s="1"/>
  <c r="X39" i="3"/>
  <c r="X12" i="3"/>
  <c r="X48" i="3"/>
  <c r="X43" i="3"/>
  <c r="AV40" i="1"/>
  <c r="X58" i="3"/>
  <c r="X61" i="3"/>
  <c r="X46" i="3"/>
  <c r="X30" i="3"/>
  <c r="X14" i="3"/>
  <c r="X64" i="3"/>
  <c r="X49" i="3"/>
  <c r="X33" i="3"/>
  <c r="X17" i="3"/>
  <c r="X67" i="3"/>
  <c r="X44" i="3"/>
  <c r="X55" i="3"/>
  <c r="X57" i="3"/>
  <c r="X42" i="3"/>
  <c r="X26" i="3"/>
  <c r="X10" i="3"/>
  <c r="X60" i="3"/>
  <c r="X45" i="3"/>
  <c r="X29" i="3"/>
  <c r="X13" i="3"/>
  <c r="X52" i="3"/>
  <c r="X36" i="3"/>
  <c r="X51" i="3"/>
  <c r="X54" i="3"/>
  <c r="X38" i="3"/>
  <c r="X22" i="3"/>
  <c r="X6" i="3"/>
  <c r="X4" i="3"/>
  <c r="X41" i="3"/>
  <c r="X25" i="3"/>
  <c r="X9" i="3"/>
  <c r="X56" i="3"/>
  <c r="X20" i="3"/>
  <c r="X62" i="3"/>
  <c r="X65" i="3"/>
  <c r="X50" i="3"/>
  <c r="X34" i="3"/>
  <c r="X18" i="3"/>
  <c r="X68" i="3"/>
  <c r="X53" i="3"/>
  <c r="X37" i="3"/>
  <c r="X21" i="3"/>
  <c r="X28" i="3"/>
  <c r="X5" i="3"/>
  <c r="AD11" i="1"/>
  <c r="X40" i="6"/>
  <c r="X24" i="6"/>
  <c r="BG23" i="1" s="1"/>
  <c r="X56" i="6"/>
  <c r="X43" i="6"/>
  <c r="BG42" i="1" s="1"/>
  <c r="X65" i="6"/>
  <c r="X34" i="6"/>
  <c r="X68" i="6"/>
  <c r="BG67" i="1" s="1"/>
  <c r="X37" i="6"/>
  <c r="X5" i="6"/>
  <c r="X67" i="6"/>
  <c r="X55" i="6"/>
  <c r="X23" i="6"/>
  <c r="X46" i="6"/>
  <c r="X14" i="6"/>
  <c r="BG13" i="1" s="1"/>
  <c r="X49" i="6"/>
  <c r="X17" i="6"/>
  <c r="X59" i="6"/>
  <c r="X63" i="6"/>
  <c r="X7" i="6"/>
  <c r="X51" i="6"/>
  <c r="BG50" i="1" s="1"/>
  <c r="X35" i="6"/>
  <c r="X19" i="6"/>
  <c r="X57" i="6"/>
  <c r="X42" i="6"/>
  <c r="BG41" i="1" s="1"/>
  <c r="X26" i="6"/>
  <c r="X10" i="6"/>
  <c r="BG9" i="1" s="1"/>
  <c r="X60" i="6"/>
  <c r="X45" i="6"/>
  <c r="X29" i="6"/>
  <c r="X13" i="6"/>
  <c r="BG12" i="1" s="1"/>
  <c r="X44" i="6"/>
  <c r="X48" i="6"/>
  <c r="BG47" i="1" s="1"/>
  <c r="X66" i="6"/>
  <c r="X36" i="6"/>
  <c r="X58" i="6"/>
  <c r="BG57" i="1" s="1"/>
  <c r="X27" i="6"/>
  <c r="X50" i="6"/>
  <c r="X18" i="6"/>
  <c r="BG17" i="1" s="1"/>
  <c r="X53" i="6"/>
  <c r="X21" i="6"/>
  <c r="X12" i="6"/>
  <c r="X16" i="6"/>
  <c r="X8" i="6"/>
  <c r="X39" i="6"/>
  <c r="X61" i="6"/>
  <c r="X30" i="6"/>
  <c r="X64" i="6"/>
  <c r="BG63" i="1" s="1"/>
  <c r="X33" i="6"/>
  <c r="X52" i="6"/>
  <c r="X62" i="6"/>
  <c r="BG61" i="1" s="1"/>
  <c r="X47" i="6"/>
  <c r="X31" i="6"/>
  <c r="X15" i="6"/>
  <c r="X54" i="6"/>
  <c r="X38" i="6"/>
  <c r="X22" i="6"/>
  <c r="X6" i="6"/>
  <c r="X41" i="6"/>
  <c r="X25" i="6"/>
  <c r="X9" i="6"/>
  <c r="X28" i="6"/>
  <c r="X32" i="6"/>
  <c r="X11" i="6"/>
  <c r="X20" i="6"/>
  <c r="Y20" i="1" l="1"/>
  <c r="AC20" i="1" s="1"/>
  <c r="Y17" i="1"/>
  <c r="AC17" i="1" s="1"/>
  <c r="Y61" i="1"/>
  <c r="AC61" i="1" s="1"/>
  <c r="Y21" i="1"/>
  <c r="AC21" i="1" s="1"/>
  <c r="Y35" i="1"/>
  <c r="AC35" i="1" s="1"/>
  <c r="Y44" i="1"/>
  <c r="AC44" i="1" s="1"/>
  <c r="Y41" i="1"/>
  <c r="AC41" i="1" s="1"/>
  <c r="Y66" i="1"/>
  <c r="AC66" i="1" s="1"/>
  <c r="Y63" i="1"/>
  <c r="AC63" i="1" s="1"/>
  <c r="Y60" i="1"/>
  <c r="AC60" i="1" s="1"/>
  <c r="Y47" i="1"/>
  <c r="AC47" i="1" s="1"/>
  <c r="Y65" i="1"/>
  <c r="AC65" i="1" s="1"/>
  <c r="Y4" i="1"/>
  <c r="AC4" i="1" s="1"/>
  <c r="Y49" i="1"/>
  <c r="AC49" i="1" s="1"/>
  <c r="Y3" i="1"/>
  <c r="AC3" i="1" s="1"/>
  <c r="Y12" i="1"/>
  <c r="AC12" i="1" s="1"/>
  <c r="Y27" i="1"/>
  <c r="AC27" i="1" s="1"/>
  <c r="Y67" i="1"/>
  <c r="AC67" i="1" s="1"/>
  <c r="Y64" i="1"/>
  <c r="AC64" i="1" s="1"/>
  <c r="Y8" i="1"/>
  <c r="AC8" i="1" s="1"/>
  <c r="Y5" i="1"/>
  <c r="AC5" i="1" s="1"/>
  <c r="Y50" i="1"/>
  <c r="AC50" i="1" s="1"/>
  <c r="Y28" i="1"/>
  <c r="AC28" i="1" s="1"/>
  <c r="Y25" i="1"/>
  <c r="AC25" i="1" s="1"/>
  <c r="Y43" i="1"/>
  <c r="AC43" i="1" s="1"/>
  <c r="Y48" i="1"/>
  <c r="AC48" i="1" s="1"/>
  <c r="Y45" i="1"/>
  <c r="AC45" i="1" s="1"/>
  <c r="Y42" i="1"/>
  <c r="AC42" i="1" s="1"/>
  <c r="Y24" i="1"/>
  <c r="AC24" i="1" s="1"/>
  <c r="Y34" i="1"/>
  <c r="AC34" i="1" s="1"/>
  <c r="Y36" i="1"/>
  <c r="AC36" i="1" s="1"/>
  <c r="Y33" i="1"/>
  <c r="AC33" i="1" s="1"/>
  <c r="Y19" i="1"/>
  <c r="AC19" i="1" s="1"/>
  <c r="Y40" i="1"/>
  <c r="AC40" i="1" s="1"/>
  <c r="Y37" i="1"/>
  <c r="AC37" i="1" s="1"/>
  <c r="Y51" i="1"/>
  <c r="AC51" i="1" s="1"/>
  <c r="Y59" i="1"/>
  <c r="AC59" i="1" s="1"/>
  <c r="Y56" i="1"/>
  <c r="AC56" i="1" s="1"/>
  <c r="Y16" i="1"/>
  <c r="AC16" i="1" s="1"/>
  <c r="Y13" i="1"/>
  <c r="AC13" i="1" s="1"/>
  <c r="Y57" i="1"/>
  <c r="AC57" i="1" s="1"/>
  <c r="Y11" i="1"/>
  <c r="AC11" i="1" s="1"/>
  <c r="Y22" i="1"/>
  <c r="AC22" i="1" s="1"/>
  <c r="Y52" i="1"/>
  <c r="AC52" i="1" s="1"/>
  <c r="Y55" i="1"/>
  <c r="AC55" i="1" s="1"/>
  <c r="Y53" i="1"/>
  <c r="AC53" i="1" s="1"/>
  <c r="Y9" i="1"/>
  <c r="AC9" i="1" s="1"/>
  <c r="Y54" i="1"/>
  <c r="AC54" i="1" s="1"/>
  <c r="Y32" i="1"/>
  <c r="AC32" i="1" s="1"/>
  <c r="Y29" i="1"/>
  <c r="AC29" i="1" s="1"/>
  <c r="Y38" i="1"/>
  <c r="AC38" i="1" s="1"/>
  <c r="BH27" i="1"/>
  <c r="BG27" i="1"/>
  <c r="BJ27" i="1" s="1"/>
  <c r="BH53" i="1"/>
  <c r="BG53" i="1"/>
  <c r="BJ53" i="1" s="1"/>
  <c r="BH29" i="1"/>
  <c r="BG29" i="1"/>
  <c r="BJ29" i="1" s="1"/>
  <c r="BH15" i="1"/>
  <c r="BG15" i="1"/>
  <c r="BJ15" i="1" s="1"/>
  <c r="BH35" i="1"/>
  <c r="BG35" i="1"/>
  <c r="BJ35" i="1" s="1"/>
  <c r="BH18" i="1"/>
  <c r="BG18" i="1"/>
  <c r="BJ18" i="1" s="1"/>
  <c r="BH62" i="1"/>
  <c r="BG62" i="1"/>
  <c r="BJ62" i="1" s="1"/>
  <c r="BH19" i="1"/>
  <c r="BG19" i="1"/>
  <c r="BJ19" i="1" s="1"/>
  <c r="BH8" i="1"/>
  <c r="BG8" i="1"/>
  <c r="BJ8" i="1" s="1"/>
  <c r="BH14" i="1"/>
  <c r="BG14" i="1"/>
  <c r="BJ14" i="1" s="1"/>
  <c r="BH60" i="1"/>
  <c r="BG60" i="1"/>
  <c r="BJ60" i="1" s="1"/>
  <c r="BH49" i="1"/>
  <c r="BG49" i="1"/>
  <c r="BJ49" i="1" s="1"/>
  <c r="BH28" i="1"/>
  <c r="BG28" i="1"/>
  <c r="BJ28" i="1" s="1"/>
  <c r="BH25" i="1"/>
  <c r="BG25" i="1"/>
  <c r="BJ25" i="1" s="1"/>
  <c r="BH58" i="1"/>
  <c r="BG58" i="1"/>
  <c r="BJ58" i="1" s="1"/>
  <c r="BH45" i="1"/>
  <c r="BG45" i="1"/>
  <c r="BJ45" i="1" s="1"/>
  <c r="BH4" i="1"/>
  <c r="BG4" i="1"/>
  <c r="BJ4" i="1" s="1"/>
  <c r="BH64" i="1"/>
  <c r="BG64" i="1"/>
  <c r="BJ64" i="1" s="1"/>
  <c r="BH39" i="1"/>
  <c r="BG39" i="1"/>
  <c r="BJ39" i="1" s="1"/>
  <c r="BH3" i="1"/>
  <c r="BH13" i="1"/>
  <c r="BH10" i="1"/>
  <c r="BG10" i="1"/>
  <c r="BJ10" i="1" s="1"/>
  <c r="BH24" i="1"/>
  <c r="BG24" i="1"/>
  <c r="BJ24" i="1" s="1"/>
  <c r="BH21" i="1"/>
  <c r="BG21" i="1"/>
  <c r="BJ21" i="1" s="1"/>
  <c r="BH30" i="1"/>
  <c r="BG30" i="1"/>
  <c r="BJ30" i="1" s="1"/>
  <c r="BH32" i="1"/>
  <c r="BG32" i="1"/>
  <c r="BJ32" i="1" s="1"/>
  <c r="BH38" i="1"/>
  <c r="BG38" i="1"/>
  <c r="BJ38" i="1" s="1"/>
  <c r="BH20" i="1"/>
  <c r="BG20" i="1"/>
  <c r="BJ20" i="1" s="1"/>
  <c r="BH26" i="1"/>
  <c r="BG26" i="1"/>
  <c r="BJ26" i="1" s="1"/>
  <c r="BH44" i="1"/>
  <c r="BG44" i="1"/>
  <c r="BJ44" i="1" s="1"/>
  <c r="BH16" i="1"/>
  <c r="BG16" i="1"/>
  <c r="BJ16" i="1" s="1"/>
  <c r="BH22" i="1"/>
  <c r="BG22" i="1"/>
  <c r="BJ22" i="1" s="1"/>
  <c r="BH36" i="1"/>
  <c r="BG36" i="1"/>
  <c r="BJ36" i="1" s="1"/>
  <c r="BH50" i="1"/>
  <c r="BH57" i="1"/>
  <c r="BH61" i="1"/>
  <c r="BH12" i="1"/>
  <c r="BH66" i="1"/>
  <c r="BG66" i="1"/>
  <c r="BJ66" i="1" s="1"/>
  <c r="BH33" i="1"/>
  <c r="BG33" i="1"/>
  <c r="BJ33" i="1" s="1"/>
  <c r="BH5" i="1"/>
  <c r="BG5" i="1"/>
  <c r="BJ5" i="1" s="1"/>
  <c r="BH51" i="1"/>
  <c r="BG51" i="1"/>
  <c r="BJ51" i="1" s="1"/>
  <c r="BH11" i="1"/>
  <c r="BG11" i="1"/>
  <c r="BJ11" i="1" s="1"/>
  <c r="BH65" i="1"/>
  <c r="BG65" i="1"/>
  <c r="BJ65" i="1" s="1"/>
  <c r="BH34" i="1"/>
  <c r="BG34" i="1"/>
  <c r="BJ34" i="1" s="1"/>
  <c r="BH31" i="1"/>
  <c r="BG31" i="1"/>
  <c r="BJ31" i="1" s="1"/>
  <c r="BH40" i="1"/>
  <c r="BG40" i="1"/>
  <c r="BJ40" i="1" s="1"/>
  <c r="BH37" i="1"/>
  <c r="BG37" i="1"/>
  <c r="BJ37" i="1" s="1"/>
  <c r="BH46" i="1"/>
  <c r="BG46" i="1"/>
  <c r="BJ46" i="1" s="1"/>
  <c r="BH7" i="1"/>
  <c r="BG7" i="1"/>
  <c r="BJ7" i="1" s="1"/>
  <c r="BH52" i="1"/>
  <c r="BG52" i="1"/>
  <c r="BJ52" i="1" s="1"/>
  <c r="BH43" i="1"/>
  <c r="BG43" i="1"/>
  <c r="BJ43" i="1" s="1"/>
  <c r="BH59" i="1"/>
  <c r="BG59" i="1"/>
  <c r="BJ59" i="1" s="1"/>
  <c r="BH56" i="1"/>
  <c r="BG56" i="1"/>
  <c r="BJ56" i="1" s="1"/>
  <c r="BH6" i="1"/>
  <c r="BG6" i="1"/>
  <c r="BJ6" i="1" s="1"/>
  <c r="BH48" i="1"/>
  <c r="BG48" i="1"/>
  <c r="BJ48" i="1" s="1"/>
  <c r="BH54" i="1"/>
  <c r="BG54" i="1"/>
  <c r="BJ54" i="1" s="1"/>
  <c r="BH55" i="1"/>
  <c r="BG55" i="1"/>
  <c r="BJ55" i="1" s="1"/>
  <c r="BH63" i="1"/>
  <c r="BH23" i="1"/>
  <c r="BH9" i="1"/>
  <c r="BH17" i="1"/>
  <c r="Y31" i="1"/>
  <c r="AC31" i="1" s="1"/>
  <c r="Y30" i="1"/>
  <c r="AC30" i="1" s="1"/>
  <c r="Y62" i="1"/>
  <c r="AC62" i="1" s="1"/>
  <c r="Y46" i="1"/>
  <c r="AC46" i="1" s="1"/>
  <c r="Y15" i="1"/>
  <c r="AC15" i="1" s="1"/>
  <c r="Y7" i="1"/>
  <c r="AC7" i="1" s="1"/>
  <c r="Y39" i="1"/>
  <c r="AC39" i="1" s="1"/>
  <c r="Y26" i="1"/>
  <c r="AC26" i="1" s="1"/>
  <c r="Y14" i="1"/>
  <c r="AC14" i="1" s="1"/>
  <c r="Y6" i="1"/>
  <c r="AC6" i="1" s="1"/>
  <c r="Y23" i="1"/>
  <c r="AC23" i="1" s="1"/>
  <c r="Y58" i="1"/>
  <c r="AC58" i="1" s="1"/>
  <c r="Y10" i="1"/>
  <c r="AC10" i="1" s="1"/>
  <c r="Y18" i="1"/>
  <c r="AC18" i="1" s="1"/>
  <c r="R8" i="2"/>
  <c r="G7" i="1" s="1"/>
  <c r="J7" i="1" s="1"/>
  <c r="H7" i="1"/>
  <c r="I7" i="1" s="1"/>
  <c r="AA65" i="1"/>
  <c r="AB65" i="1" s="1"/>
  <c r="AA34" i="1"/>
  <c r="AB34" i="1" s="1"/>
  <c r="AE34" i="1" s="1"/>
  <c r="AA10" i="1"/>
  <c r="AB10" i="1" s="1"/>
  <c r="AE10" i="1" s="1"/>
  <c r="AA14" i="1"/>
  <c r="AB14" i="1" s="1"/>
  <c r="AE14" i="1" s="1"/>
  <c r="AA58" i="1"/>
  <c r="AB58" i="1" s="1"/>
  <c r="AE58" i="1" s="1"/>
  <c r="AA11" i="1"/>
  <c r="AB11" i="1" s="1"/>
  <c r="AE11" i="1" s="1"/>
  <c r="AA27" i="1"/>
  <c r="AB27" i="1" s="1"/>
  <c r="AE27" i="1" s="1"/>
  <c r="AA36" i="1"/>
  <c r="AB36" i="1" s="1"/>
  <c r="AE36" i="1" s="1"/>
  <c r="AA67" i="1"/>
  <c r="AB67" i="1" s="1"/>
  <c r="AE67" i="1" s="1"/>
  <c r="AA33" i="1"/>
  <c r="AB33" i="1" s="1"/>
  <c r="AE33" i="1" s="1"/>
  <c r="AA64" i="1"/>
  <c r="AB64" i="1" s="1"/>
  <c r="AE64" i="1" s="1"/>
  <c r="AA19" i="1"/>
  <c r="AB19" i="1" s="1"/>
  <c r="AE19" i="1" s="1"/>
  <c r="AA8" i="1"/>
  <c r="AB8" i="1" s="1"/>
  <c r="AE8" i="1" s="1"/>
  <c r="AA40" i="1"/>
  <c r="AB40" i="1" s="1"/>
  <c r="AE40" i="1" s="1"/>
  <c r="AA5" i="1"/>
  <c r="AB5" i="1" s="1"/>
  <c r="AE5" i="1" s="1"/>
  <c r="AA37" i="1"/>
  <c r="AB37" i="1" s="1"/>
  <c r="AE37" i="1" s="1"/>
  <c r="AA50" i="1"/>
  <c r="AB50" i="1" s="1"/>
  <c r="AE50" i="1" s="1"/>
  <c r="AA51" i="1"/>
  <c r="AB51" i="1" s="1"/>
  <c r="AE51" i="1" s="1"/>
  <c r="AA28" i="1"/>
  <c r="AB28" i="1" s="1"/>
  <c r="AA59" i="1"/>
  <c r="AB59" i="1" s="1"/>
  <c r="AE59" i="1" s="1"/>
  <c r="AA25" i="1"/>
  <c r="AB25" i="1" s="1"/>
  <c r="AE25" i="1" s="1"/>
  <c r="AA56" i="1"/>
  <c r="AB56" i="1" s="1"/>
  <c r="AE56" i="1" s="1"/>
  <c r="AA43" i="1"/>
  <c r="AB43" i="1" s="1"/>
  <c r="AE43" i="1" s="1"/>
  <c r="AA16" i="1"/>
  <c r="AB16" i="1" s="1"/>
  <c r="AA48" i="1"/>
  <c r="AB48" i="1" s="1"/>
  <c r="AE48" i="1" s="1"/>
  <c r="AA13" i="1"/>
  <c r="AB13" i="1" s="1"/>
  <c r="AE13" i="1" s="1"/>
  <c r="AA45" i="1"/>
  <c r="AB45" i="1" s="1"/>
  <c r="AE45" i="1" s="1"/>
  <c r="AA57" i="1"/>
  <c r="AB57" i="1" s="1"/>
  <c r="AE57" i="1" s="1"/>
  <c r="AA38" i="1"/>
  <c r="AB38" i="1" s="1"/>
  <c r="AA42" i="1"/>
  <c r="AB42" i="1" s="1"/>
  <c r="AE42" i="1" s="1"/>
  <c r="AA4" i="1"/>
  <c r="AB4" i="1" s="1"/>
  <c r="AE4" i="1" s="1"/>
  <c r="AA20" i="1"/>
  <c r="AB20" i="1" s="1"/>
  <c r="AE20" i="1" s="1"/>
  <c r="AA52" i="1"/>
  <c r="AB52" i="1" s="1"/>
  <c r="AE52" i="1" s="1"/>
  <c r="AA17" i="1"/>
  <c r="AB17" i="1" s="1"/>
  <c r="AA49" i="1"/>
  <c r="AB49" i="1" s="1"/>
  <c r="AE49" i="1" s="1"/>
  <c r="AA61" i="1"/>
  <c r="AB61" i="1" s="1"/>
  <c r="AE61" i="1" s="1"/>
  <c r="AA55" i="1"/>
  <c r="AB55" i="1" s="1"/>
  <c r="AE55" i="1" s="1"/>
  <c r="AA24" i="1"/>
  <c r="AB24" i="1" s="1"/>
  <c r="AE24" i="1" s="1"/>
  <c r="AA3" i="1"/>
  <c r="AB3" i="1" s="1"/>
  <c r="AE3" i="1" s="1"/>
  <c r="AA21" i="1"/>
  <c r="AB21" i="1" s="1"/>
  <c r="AE21" i="1" s="1"/>
  <c r="AA53" i="1"/>
  <c r="AB53" i="1" s="1"/>
  <c r="AE53" i="1" s="1"/>
  <c r="AA35" i="1"/>
  <c r="AB35" i="1" s="1"/>
  <c r="AE35" i="1" s="1"/>
  <c r="AA12" i="1"/>
  <c r="AB12" i="1" s="1"/>
  <c r="AE12" i="1" s="1"/>
  <c r="AA44" i="1"/>
  <c r="AB44" i="1" s="1"/>
  <c r="AE44" i="1" s="1"/>
  <c r="AA9" i="1"/>
  <c r="AB9" i="1" s="1"/>
  <c r="AE9" i="1" s="1"/>
  <c r="AA41" i="1"/>
  <c r="AB41" i="1" s="1"/>
  <c r="AE41" i="1" s="1"/>
  <c r="AA54" i="1"/>
  <c r="AB54" i="1" s="1"/>
  <c r="AE54" i="1" s="1"/>
  <c r="AA66" i="1"/>
  <c r="AB66" i="1" s="1"/>
  <c r="AA32" i="1"/>
  <c r="AB32" i="1" s="1"/>
  <c r="AE32" i="1" s="1"/>
  <c r="AA63" i="1"/>
  <c r="AB63" i="1" s="1"/>
  <c r="AE63" i="1" s="1"/>
  <c r="AA29" i="1"/>
  <c r="AB29" i="1" s="1"/>
  <c r="AE29" i="1" s="1"/>
  <c r="AA60" i="1"/>
  <c r="AB60" i="1" s="1"/>
  <c r="AE60" i="1" s="1"/>
  <c r="R6" i="2"/>
  <c r="AA47" i="1"/>
  <c r="AB47" i="1" s="1"/>
  <c r="R10" i="2"/>
  <c r="G9" i="1" s="1"/>
  <c r="BJ47" i="1"/>
  <c r="BJ41" i="1"/>
  <c r="BJ50" i="1"/>
  <c r="BJ42" i="1"/>
  <c r="BJ63" i="1"/>
  <c r="BJ57" i="1"/>
  <c r="BJ67" i="1"/>
  <c r="BJ61" i="1"/>
  <c r="BJ17" i="1"/>
  <c r="BJ12" i="1"/>
  <c r="BJ9" i="1"/>
  <c r="BJ13" i="1"/>
  <c r="BJ23" i="1"/>
  <c r="AT50" i="1"/>
  <c r="AT49" i="1"/>
  <c r="AT26" i="1"/>
  <c r="AT30" i="1"/>
  <c r="AT53" i="1"/>
  <c r="AT3" i="1"/>
  <c r="AT55" i="1"/>
  <c r="AT62" i="1"/>
  <c r="AT65" i="1"/>
  <c r="AT38" i="1"/>
  <c r="AT46" i="1"/>
  <c r="AT51" i="1"/>
  <c r="AT10" i="1"/>
  <c r="AT22" i="1"/>
  <c r="AT18" i="1"/>
  <c r="AT60" i="1"/>
  <c r="AT42" i="1"/>
  <c r="AA39" i="1"/>
  <c r="AB39" i="1" s="1"/>
  <c r="AA26" i="1"/>
  <c r="AB26" i="1" s="1"/>
  <c r="AA30" i="1"/>
  <c r="AB30" i="1" s="1"/>
  <c r="AA31" i="1"/>
  <c r="AB31" i="1" s="1"/>
  <c r="AA18" i="1"/>
  <c r="AB18" i="1" s="1"/>
  <c r="AA46" i="1"/>
  <c r="AB46" i="1" s="1"/>
  <c r="AA6" i="1"/>
  <c r="AB6" i="1" s="1"/>
  <c r="AA23" i="1"/>
  <c r="AB23" i="1" s="1"/>
  <c r="AA22" i="1"/>
  <c r="AB22" i="1" s="1"/>
  <c r="AT34" i="1"/>
  <c r="AT66" i="1"/>
  <c r="AT56" i="1"/>
  <c r="AT67" i="1"/>
  <c r="AT14" i="1"/>
  <c r="AT59" i="1"/>
  <c r="AT64" i="1"/>
  <c r="AT52" i="1"/>
  <c r="AT57" i="1"/>
  <c r="AT63" i="1"/>
  <c r="AT61" i="1"/>
  <c r="AT54" i="1"/>
  <c r="AT6" i="1"/>
  <c r="AT58" i="1"/>
  <c r="R5" i="2"/>
  <c r="H5" i="1" l="1"/>
  <c r="I5" i="1" s="1"/>
  <c r="K5" i="1" s="1"/>
  <c r="G5" i="1"/>
  <c r="J5" i="1" s="1"/>
  <c r="H4" i="1"/>
  <c r="I4" i="1" s="1"/>
  <c r="G4" i="1"/>
  <c r="J4" i="1" s="1"/>
  <c r="AV18" i="1"/>
  <c r="AV42" i="1"/>
  <c r="AV58" i="1"/>
  <c r="AV65" i="1"/>
  <c r="AV14" i="1"/>
  <c r="AV34" i="1"/>
  <c r="AV50" i="1"/>
  <c r="AV51" i="1"/>
  <c r="AV38" i="1"/>
  <c r="AV22" i="1"/>
  <c r="AV60" i="1"/>
  <c r="AV55" i="1"/>
  <c r="AV61" i="1"/>
  <c r="AV6" i="1"/>
  <c r="AV26" i="1"/>
  <c r="AV10" i="1"/>
  <c r="AV62" i="1"/>
  <c r="AV3" i="1"/>
  <c r="AV63" i="1"/>
  <c r="AV64" i="1"/>
  <c r="AV66" i="1"/>
  <c r="AV53" i="1"/>
  <c r="AV49" i="1"/>
  <c r="AV30" i="1"/>
  <c r="AV46" i="1"/>
  <c r="AV54" i="1"/>
  <c r="AV59" i="1"/>
  <c r="AV57" i="1"/>
  <c r="AV67" i="1"/>
  <c r="AV56" i="1"/>
  <c r="AV52" i="1"/>
  <c r="J9" i="1"/>
  <c r="K7" i="1"/>
  <c r="AE17" i="1"/>
  <c r="AE18" i="1"/>
  <c r="AE23" i="1"/>
  <c r="AE47" i="1"/>
  <c r="AE65" i="1"/>
  <c r="AE6" i="1"/>
  <c r="AE31" i="1"/>
  <c r="AE39" i="1"/>
  <c r="AE28" i="1"/>
  <c r="AE66" i="1"/>
  <c r="AE38" i="1"/>
  <c r="AE30" i="1"/>
  <c r="AE16" i="1"/>
  <c r="AE22" i="1"/>
  <c r="AE46" i="1"/>
  <c r="AE26" i="1"/>
  <c r="H9" i="1"/>
  <c r="R7" i="2"/>
  <c r="H6" i="1" l="1"/>
  <c r="I6" i="1" s="1"/>
  <c r="K6" i="1" s="1"/>
  <c r="G6" i="1"/>
  <c r="J6" i="1" s="1"/>
  <c r="K4" i="1"/>
  <c r="I9" i="1"/>
  <c r="R12" i="2"/>
  <c r="R9" i="2"/>
  <c r="R14" i="2"/>
  <c r="G13" i="1" s="1"/>
  <c r="AK7" i="1" l="1"/>
  <c r="AL7" i="1" s="1"/>
  <c r="AO7" i="1" s="1"/>
  <c r="C7" i="1" s="1"/>
  <c r="AK5" i="1"/>
  <c r="AL5" i="1" s="1"/>
  <c r="AO5" i="1" s="1"/>
  <c r="C5" i="1" s="1"/>
  <c r="H11" i="1"/>
  <c r="I11" i="1" s="1"/>
  <c r="K11" i="1" s="1"/>
  <c r="G11" i="1"/>
  <c r="J11" i="1" s="1"/>
  <c r="H8" i="1"/>
  <c r="I8" i="1" s="1"/>
  <c r="G8" i="1"/>
  <c r="J8" i="1" s="1"/>
  <c r="J13" i="1"/>
  <c r="K9" i="1"/>
  <c r="R11" i="2"/>
  <c r="H13" i="1"/>
  <c r="AK4" i="1" l="1"/>
  <c r="AL4" i="1" s="1"/>
  <c r="AO4" i="1" s="1"/>
  <c r="C4" i="1" s="1"/>
  <c r="AK6" i="1"/>
  <c r="AL6" i="1" s="1"/>
  <c r="AO6" i="1" s="1"/>
  <c r="C6" i="1" s="1"/>
  <c r="H10" i="1"/>
  <c r="I10" i="1" s="1"/>
  <c r="G10" i="1"/>
  <c r="J10" i="1" s="1"/>
  <c r="K8" i="1"/>
  <c r="I13" i="1"/>
  <c r="R16" i="2"/>
  <c r="R13" i="2"/>
  <c r="R15" i="2"/>
  <c r="G14" i="1" s="1"/>
  <c r="AK11" i="1" l="1"/>
  <c r="AL11" i="1" s="1"/>
  <c r="AO11" i="1" s="1"/>
  <c r="C11" i="1" s="1"/>
  <c r="AK9" i="1"/>
  <c r="AL9" i="1" s="1"/>
  <c r="AO9" i="1" s="1"/>
  <c r="C9" i="1" s="1"/>
  <c r="H12" i="1"/>
  <c r="I12" i="1" s="1"/>
  <c r="G12" i="1"/>
  <c r="J12" i="1" s="1"/>
  <c r="H15" i="1"/>
  <c r="I15" i="1" s="1"/>
  <c r="K15" i="1" s="1"/>
  <c r="G15" i="1"/>
  <c r="J15" i="1" s="1"/>
  <c r="J14" i="1"/>
  <c r="K10" i="1"/>
  <c r="K13" i="1"/>
  <c r="R18" i="2"/>
  <c r="AK8" i="1" l="1"/>
  <c r="AL8" i="1" s="1"/>
  <c r="AO8" i="1" s="1"/>
  <c r="C8" i="1" s="1"/>
  <c r="H17" i="1"/>
  <c r="I17" i="1" s="1"/>
  <c r="K17" i="1" s="1"/>
  <c r="G17" i="1"/>
  <c r="J17" i="1" s="1"/>
  <c r="K12" i="1"/>
  <c r="H14" i="1"/>
  <c r="R20" i="2"/>
  <c r="R17" i="2"/>
  <c r="AK10" i="1" l="1"/>
  <c r="AL10" i="1" s="1"/>
  <c r="AO10" i="1" s="1"/>
  <c r="C10" i="1" s="1"/>
  <c r="AK15" i="1"/>
  <c r="AL15" i="1" s="1"/>
  <c r="AO15" i="1" s="1"/>
  <c r="C15" i="1" s="1"/>
  <c r="AK13" i="1"/>
  <c r="AL13" i="1" s="1"/>
  <c r="AO13" i="1" s="1"/>
  <c r="C13" i="1" s="1"/>
  <c r="H16" i="1"/>
  <c r="I16" i="1" s="1"/>
  <c r="K16" i="1" s="1"/>
  <c r="G16" i="1"/>
  <c r="J16" i="1" s="1"/>
  <c r="H19" i="1"/>
  <c r="I19" i="1" s="1"/>
  <c r="K19" i="1" s="1"/>
  <c r="G19" i="1"/>
  <c r="J19" i="1" s="1"/>
  <c r="I14" i="1"/>
  <c r="R19" i="2"/>
  <c r="R22" i="2"/>
  <c r="R21" i="2"/>
  <c r="G20" i="1" s="1"/>
  <c r="AK12" i="1" l="1"/>
  <c r="AL12" i="1" s="1"/>
  <c r="AO12" i="1" s="1"/>
  <c r="C12" i="1" s="1"/>
  <c r="AK17" i="1"/>
  <c r="AL17" i="1" s="1"/>
  <c r="AO17" i="1" s="1"/>
  <c r="C17" i="1" s="1"/>
  <c r="H21" i="1"/>
  <c r="I21" i="1" s="1"/>
  <c r="K21" i="1" s="1"/>
  <c r="G21" i="1"/>
  <c r="J21" i="1" s="1"/>
  <c r="H18" i="1"/>
  <c r="I18" i="1" s="1"/>
  <c r="K18" i="1" s="1"/>
  <c r="G18" i="1"/>
  <c r="J18" i="1" s="1"/>
  <c r="J20" i="1"/>
  <c r="K14" i="1"/>
  <c r="R24" i="2"/>
  <c r="H20" i="1"/>
  <c r="R26" i="2"/>
  <c r="G25" i="1" s="1"/>
  <c r="AK16" i="1" l="1"/>
  <c r="AL16" i="1" s="1"/>
  <c r="AO16" i="1" s="1"/>
  <c r="C16" i="1" s="1"/>
  <c r="AK19" i="1"/>
  <c r="AL19" i="1" s="1"/>
  <c r="AO19" i="1" s="1"/>
  <c r="C19" i="1" s="1"/>
  <c r="H23" i="1"/>
  <c r="I23" i="1" s="1"/>
  <c r="K23" i="1" s="1"/>
  <c r="G23" i="1"/>
  <c r="J23" i="1" s="1"/>
  <c r="J25" i="1"/>
  <c r="R23" i="2"/>
  <c r="H25" i="1"/>
  <c r="AK18" i="1" l="1"/>
  <c r="AL18" i="1" s="1"/>
  <c r="AO18" i="1" s="1"/>
  <c r="C18" i="1" s="1"/>
  <c r="AK21" i="1"/>
  <c r="AL21" i="1" s="1"/>
  <c r="AO21" i="1" s="1"/>
  <c r="C21" i="1" s="1"/>
  <c r="AK14" i="1"/>
  <c r="AL14" i="1" s="1"/>
  <c r="AO14" i="1" s="1"/>
  <c r="C14" i="1" s="1"/>
  <c r="H22" i="1"/>
  <c r="I22" i="1" s="1"/>
  <c r="K22" i="1" s="1"/>
  <c r="G22" i="1"/>
  <c r="J22" i="1" s="1"/>
  <c r="I20" i="1"/>
  <c r="I25" i="1"/>
  <c r="R28" i="2"/>
  <c r="R25" i="2"/>
  <c r="R27" i="2"/>
  <c r="G26" i="1" s="1"/>
  <c r="AK23" i="1" l="1"/>
  <c r="AL23" i="1" s="1"/>
  <c r="AO23" i="1" s="1"/>
  <c r="C23" i="1" s="1"/>
  <c r="H24" i="1"/>
  <c r="I24" i="1" s="1"/>
  <c r="K24" i="1" s="1"/>
  <c r="G24" i="1"/>
  <c r="J24" i="1" s="1"/>
  <c r="H27" i="1"/>
  <c r="I27" i="1" s="1"/>
  <c r="K27" i="1" s="1"/>
  <c r="G27" i="1"/>
  <c r="J27" i="1" s="1"/>
  <c r="J26" i="1"/>
  <c r="K20" i="1"/>
  <c r="K25" i="1"/>
  <c r="R30" i="2"/>
  <c r="H26" i="1"/>
  <c r="AK22" i="1" l="1"/>
  <c r="AL22" i="1" s="1"/>
  <c r="AO22" i="1" s="1"/>
  <c r="C22" i="1" s="1"/>
  <c r="H29" i="1"/>
  <c r="I29" i="1" s="1"/>
  <c r="K29" i="1" s="1"/>
  <c r="G29" i="1"/>
  <c r="J29" i="1" s="1"/>
  <c r="I26" i="1"/>
  <c r="R32" i="2"/>
  <c r="R29" i="2"/>
  <c r="R34" i="2"/>
  <c r="G33" i="1" s="1"/>
  <c r="AK20" i="1" l="1"/>
  <c r="AL20" i="1" s="1"/>
  <c r="AO20" i="1" s="1"/>
  <c r="C20" i="1" s="1"/>
  <c r="AK24" i="1"/>
  <c r="AL24" i="1" s="1"/>
  <c r="AO24" i="1" s="1"/>
  <c r="C24" i="1" s="1"/>
  <c r="AK27" i="1"/>
  <c r="AL27" i="1" s="1"/>
  <c r="AO27" i="1" s="1"/>
  <c r="C27" i="1" s="1"/>
  <c r="AK25" i="1"/>
  <c r="AL25" i="1" s="1"/>
  <c r="AO25" i="1" s="1"/>
  <c r="C25" i="1" s="1"/>
  <c r="H28" i="1"/>
  <c r="I28" i="1" s="1"/>
  <c r="K28" i="1" s="1"/>
  <c r="G28" i="1"/>
  <c r="J28" i="1" s="1"/>
  <c r="H31" i="1"/>
  <c r="I31" i="1" s="1"/>
  <c r="K31" i="1" s="1"/>
  <c r="G31" i="1"/>
  <c r="J31" i="1" s="1"/>
  <c r="J33" i="1"/>
  <c r="K26" i="1"/>
  <c r="H33" i="1"/>
  <c r="R31" i="2"/>
  <c r="AK29" i="1" l="1"/>
  <c r="AL29" i="1" s="1"/>
  <c r="AO29" i="1" s="1"/>
  <c r="C29" i="1" s="1"/>
  <c r="H30" i="1"/>
  <c r="I30" i="1" s="1"/>
  <c r="K30" i="1" s="1"/>
  <c r="G30" i="1"/>
  <c r="J30" i="1" s="1"/>
  <c r="I33" i="1"/>
  <c r="R36" i="2"/>
  <c r="R33" i="2"/>
  <c r="R35" i="2"/>
  <c r="G34" i="1" s="1"/>
  <c r="AK28" i="1" l="1"/>
  <c r="AL28" i="1" s="1"/>
  <c r="AO28" i="1" s="1"/>
  <c r="C28" i="1" s="1"/>
  <c r="AK31" i="1"/>
  <c r="AL31" i="1" s="1"/>
  <c r="AO31" i="1" s="1"/>
  <c r="C31" i="1" s="1"/>
  <c r="AK26" i="1"/>
  <c r="AL26" i="1" s="1"/>
  <c r="AO26" i="1" s="1"/>
  <c r="C26" i="1" s="1"/>
  <c r="H32" i="1"/>
  <c r="I32" i="1" s="1"/>
  <c r="K32" i="1" s="1"/>
  <c r="G32" i="1"/>
  <c r="J32" i="1" s="1"/>
  <c r="H35" i="1"/>
  <c r="I35" i="1" s="1"/>
  <c r="K35" i="1" s="1"/>
  <c r="G35" i="1"/>
  <c r="J35" i="1" s="1"/>
  <c r="J34" i="1"/>
  <c r="K33" i="1"/>
  <c r="H34" i="1"/>
  <c r="R40" i="2"/>
  <c r="G39" i="1" s="1"/>
  <c r="R38" i="2"/>
  <c r="R37" i="2"/>
  <c r="G36" i="1" s="1"/>
  <c r="AK30" i="1" l="1"/>
  <c r="AL30" i="1" s="1"/>
  <c r="AO30" i="1" s="1"/>
  <c r="C30" i="1" s="1"/>
  <c r="H37" i="1"/>
  <c r="I37" i="1" s="1"/>
  <c r="K37" i="1" s="1"/>
  <c r="G37" i="1"/>
  <c r="J37" i="1" s="1"/>
  <c r="J39" i="1"/>
  <c r="J36" i="1"/>
  <c r="I34" i="1"/>
  <c r="H39" i="1"/>
  <c r="H36" i="1"/>
  <c r="AK33" i="1" l="1"/>
  <c r="AL33" i="1" s="1"/>
  <c r="AO33" i="1" s="1"/>
  <c r="C33" i="1" s="1"/>
  <c r="AK35" i="1"/>
  <c r="AL35" i="1" s="1"/>
  <c r="AO35" i="1" s="1"/>
  <c r="C35" i="1" s="1"/>
  <c r="AK32" i="1"/>
  <c r="AL32" i="1" s="1"/>
  <c r="AO32" i="1" s="1"/>
  <c r="C32" i="1" s="1"/>
  <c r="K34" i="1"/>
  <c r="I36" i="1"/>
  <c r="I39" i="1"/>
  <c r="R39" i="2"/>
  <c r="R41" i="2"/>
  <c r="G40" i="1" s="1"/>
  <c r="R42" i="2"/>
  <c r="AK37" i="1" l="1"/>
  <c r="AL37" i="1" s="1"/>
  <c r="AO37" i="1" s="1"/>
  <c r="C37" i="1" s="1"/>
  <c r="H38" i="1"/>
  <c r="I38" i="1" s="1"/>
  <c r="K38" i="1" s="1"/>
  <c r="G38" i="1"/>
  <c r="J38" i="1" s="1"/>
  <c r="H41" i="1"/>
  <c r="I41" i="1" s="1"/>
  <c r="K41" i="1" s="1"/>
  <c r="G41" i="1"/>
  <c r="J41" i="1" s="1"/>
  <c r="J40" i="1"/>
  <c r="K39" i="1"/>
  <c r="K36" i="1"/>
  <c r="R44" i="2"/>
  <c r="R46" i="2"/>
  <c r="G45" i="1" s="1"/>
  <c r="H40" i="1"/>
  <c r="AK34" i="1" l="1"/>
  <c r="AL34" i="1" s="1"/>
  <c r="AO34" i="1" s="1"/>
  <c r="C34" i="1" s="1"/>
  <c r="H43" i="1"/>
  <c r="I43" i="1" s="1"/>
  <c r="K43" i="1" s="1"/>
  <c r="G43" i="1"/>
  <c r="J43" i="1" s="1"/>
  <c r="J45" i="1"/>
  <c r="I40" i="1"/>
  <c r="R43" i="2"/>
  <c r="H45" i="1"/>
  <c r="R48" i="2"/>
  <c r="G47" i="1" s="1"/>
  <c r="AK36" i="1" l="1"/>
  <c r="AL36" i="1" s="1"/>
  <c r="AO36" i="1" s="1"/>
  <c r="C36" i="1" s="1"/>
  <c r="AK39" i="1"/>
  <c r="AL39" i="1" s="1"/>
  <c r="AO39" i="1" s="1"/>
  <c r="C39" i="1" s="1"/>
  <c r="AK41" i="1"/>
  <c r="AL41" i="1" s="1"/>
  <c r="AO41" i="1" s="1"/>
  <c r="C41" i="1" s="1"/>
  <c r="AK38" i="1"/>
  <c r="AL38" i="1" s="1"/>
  <c r="AO38" i="1" s="1"/>
  <c r="C38" i="1" s="1"/>
  <c r="H42" i="1"/>
  <c r="I42" i="1" s="1"/>
  <c r="K42" i="1" s="1"/>
  <c r="G42" i="1"/>
  <c r="J42" i="1" s="1"/>
  <c r="J47" i="1"/>
  <c r="K40" i="1"/>
  <c r="I45" i="1"/>
  <c r="H47" i="1"/>
  <c r="R50" i="2"/>
  <c r="G49" i="1" s="1"/>
  <c r="R45" i="2"/>
  <c r="AK43" i="1" l="1"/>
  <c r="AL43" i="1" s="1"/>
  <c r="AO43" i="1" s="1"/>
  <c r="C43" i="1" s="1"/>
  <c r="H44" i="1"/>
  <c r="I44" i="1" s="1"/>
  <c r="K44" i="1" s="1"/>
  <c r="G44" i="1"/>
  <c r="J44" i="1" s="1"/>
  <c r="J49" i="1"/>
  <c r="K45" i="1"/>
  <c r="I47" i="1"/>
  <c r="R47" i="2"/>
  <c r="H49" i="1"/>
  <c r="R52" i="2"/>
  <c r="G51" i="1" s="1"/>
  <c r="AK40" i="1" l="1"/>
  <c r="AL40" i="1" s="1"/>
  <c r="AO40" i="1" s="1"/>
  <c r="C40" i="1" s="1"/>
  <c r="AK42" i="1"/>
  <c r="AL42" i="1" s="1"/>
  <c r="AO42" i="1" s="1"/>
  <c r="C42" i="1" s="1"/>
  <c r="H46" i="1"/>
  <c r="I46" i="1" s="1"/>
  <c r="K46" i="1" s="1"/>
  <c r="G46" i="1"/>
  <c r="J46" i="1" s="1"/>
  <c r="J51" i="1"/>
  <c r="K47" i="1"/>
  <c r="I49" i="1"/>
  <c r="R49" i="2"/>
  <c r="R54" i="2"/>
  <c r="G53" i="1" s="1"/>
  <c r="R51" i="2"/>
  <c r="G50" i="1" s="1"/>
  <c r="H51" i="1"/>
  <c r="AK45" i="1" l="1"/>
  <c r="AL45" i="1" s="1"/>
  <c r="AO45" i="1" s="1"/>
  <c r="C45" i="1" s="1"/>
  <c r="AK44" i="1"/>
  <c r="AL44" i="1" s="1"/>
  <c r="AO44" i="1" s="1"/>
  <c r="C44" i="1" s="1"/>
  <c r="H48" i="1"/>
  <c r="I48" i="1" s="1"/>
  <c r="K48" i="1" s="1"/>
  <c r="G48" i="1"/>
  <c r="J48" i="1" s="1"/>
  <c r="J50" i="1"/>
  <c r="J53" i="1"/>
  <c r="K49" i="1"/>
  <c r="I51" i="1"/>
  <c r="H50" i="1"/>
  <c r="H53" i="1"/>
  <c r="R56" i="2"/>
  <c r="G55" i="1" s="1"/>
  <c r="AK46" i="1" l="1"/>
  <c r="AL46" i="1" s="1"/>
  <c r="AO46" i="1" s="1"/>
  <c r="C46" i="1" s="1"/>
  <c r="AK47" i="1"/>
  <c r="AL47" i="1" s="1"/>
  <c r="AO47" i="1" s="1"/>
  <c r="C47" i="1" s="1"/>
  <c r="J55" i="1"/>
  <c r="K51" i="1"/>
  <c r="I53" i="1"/>
  <c r="I50" i="1"/>
  <c r="R53" i="2"/>
  <c r="H55" i="1"/>
  <c r="R55" i="2"/>
  <c r="G54" i="1" s="1"/>
  <c r="AK48" i="1" l="1"/>
  <c r="AL48" i="1" s="1"/>
  <c r="AO48" i="1" s="1"/>
  <c r="C48" i="1" s="1"/>
  <c r="AK49" i="1"/>
  <c r="AL49" i="1" s="1"/>
  <c r="AO49" i="1" s="1"/>
  <c r="C49" i="1" s="1"/>
  <c r="H52" i="1"/>
  <c r="I52" i="1" s="1"/>
  <c r="K52" i="1" s="1"/>
  <c r="G52" i="1"/>
  <c r="J52" i="1" s="1"/>
  <c r="J54" i="1"/>
  <c r="K53" i="1"/>
  <c r="K50" i="1"/>
  <c r="I55" i="1"/>
  <c r="R57" i="2"/>
  <c r="R59" i="2"/>
  <c r="G58" i="1" s="1"/>
  <c r="H54" i="1"/>
  <c r="AK51" i="1" l="1"/>
  <c r="AL51" i="1" s="1"/>
  <c r="AO51" i="1" s="1"/>
  <c r="C51" i="1" s="1"/>
  <c r="H56" i="1"/>
  <c r="I56" i="1" s="1"/>
  <c r="K56" i="1" s="1"/>
  <c r="G56" i="1"/>
  <c r="J56" i="1" s="1"/>
  <c r="J58" i="1"/>
  <c r="K55" i="1"/>
  <c r="I54" i="1"/>
  <c r="R4" i="2"/>
  <c r="R61" i="2"/>
  <c r="G60" i="1" s="1"/>
  <c r="R58" i="2"/>
  <c r="G57" i="1" s="1"/>
  <c r="H58" i="1"/>
  <c r="AK50" i="1" l="1"/>
  <c r="AL50" i="1" s="1"/>
  <c r="AO50" i="1" s="1"/>
  <c r="C50" i="1" s="1"/>
  <c r="AK52" i="1"/>
  <c r="AL52" i="1" s="1"/>
  <c r="AO52" i="1" s="1"/>
  <c r="C52" i="1" s="1"/>
  <c r="AK53" i="1"/>
  <c r="AL53" i="1" s="1"/>
  <c r="AO53" i="1" s="1"/>
  <c r="C53" i="1" s="1"/>
  <c r="H3" i="1"/>
  <c r="I3" i="1" s="1"/>
  <c r="K3" i="1" s="1"/>
  <c r="G3" i="1"/>
  <c r="J3" i="1" s="1"/>
  <c r="J57" i="1"/>
  <c r="J60" i="1"/>
  <c r="K54" i="1"/>
  <c r="I58" i="1"/>
  <c r="H57" i="1"/>
  <c r="H60" i="1"/>
  <c r="R63" i="2"/>
  <c r="G62" i="1" s="1"/>
  <c r="AK56" i="1" l="1"/>
  <c r="AL56" i="1" s="1"/>
  <c r="AO56" i="1" s="1"/>
  <c r="C56" i="1" s="1"/>
  <c r="AK55" i="1"/>
  <c r="AL55" i="1" s="1"/>
  <c r="AO55" i="1" s="1"/>
  <c r="C55" i="1" s="1"/>
  <c r="J62" i="1"/>
  <c r="K58" i="1"/>
  <c r="I60" i="1"/>
  <c r="I57" i="1"/>
  <c r="R60" i="2"/>
  <c r="H62" i="1"/>
  <c r="R65" i="2"/>
  <c r="G64" i="1" s="1"/>
  <c r="R67" i="2"/>
  <c r="G66" i="1" s="1"/>
  <c r="AK3" i="1" l="1"/>
  <c r="AL3" i="1" s="1"/>
  <c r="AO3" i="1" s="1"/>
  <c r="AK54" i="1"/>
  <c r="AL54" i="1" s="1"/>
  <c r="AO54" i="1" s="1"/>
  <c r="C54" i="1" s="1"/>
  <c r="H59" i="1"/>
  <c r="I59" i="1" s="1"/>
  <c r="K59" i="1" s="1"/>
  <c r="G59" i="1"/>
  <c r="J59" i="1" s="1"/>
  <c r="J66" i="1"/>
  <c r="J64" i="1"/>
  <c r="K60" i="1"/>
  <c r="K57" i="1"/>
  <c r="I62" i="1"/>
  <c r="H64" i="1"/>
  <c r="R64" i="2"/>
  <c r="G63" i="1" s="1"/>
  <c r="R62" i="2"/>
  <c r="H66" i="1"/>
  <c r="AK58" i="1" l="1"/>
  <c r="AL58" i="1" s="1"/>
  <c r="AO58" i="1" s="1"/>
  <c r="C58" i="1" s="1"/>
  <c r="H61" i="1"/>
  <c r="I61" i="1" s="1"/>
  <c r="K61" i="1" s="1"/>
  <c r="G61" i="1"/>
  <c r="J61" i="1" s="1"/>
  <c r="J63" i="1"/>
  <c r="K62" i="1"/>
  <c r="I66" i="1"/>
  <c r="I64" i="1"/>
  <c r="H63" i="1"/>
  <c r="R66" i="2"/>
  <c r="G65" i="1" s="1"/>
  <c r="AK60" i="1" l="1"/>
  <c r="AL60" i="1" s="1"/>
  <c r="AO60" i="1" s="1"/>
  <c r="C60" i="1" s="1"/>
  <c r="AK59" i="1"/>
  <c r="AL59" i="1" s="1"/>
  <c r="AO59" i="1" s="1"/>
  <c r="C59" i="1" s="1"/>
  <c r="AK57" i="1"/>
  <c r="AL57" i="1" s="1"/>
  <c r="AO57" i="1" s="1"/>
  <c r="C57" i="1" s="1"/>
  <c r="J65" i="1"/>
  <c r="K66" i="1"/>
  <c r="K64" i="1"/>
  <c r="I63" i="1"/>
  <c r="H65" i="1"/>
  <c r="R68" i="2"/>
  <c r="AK61" i="1" l="1"/>
  <c r="AL61" i="1" s="1"/>
  <c r="AO61" i="1" s="1"/>
  <c r="C61" i="1" s="1"/>
  <c r="AK62" i="1"/>
  <c r="AL62" i="1" s="1"/>
  <c r="AO62" i="1" s="1"/>
  <c r="C62" i="1" s="1"/>
  <c r="H67" i="1"/>
  <c r="I67" i="1" s="1"/>
  <c r="K67" i="1" s="1"/>
  <c r="G67" i="1"/>
  <c r="J67" i="1" s="1"/>
  <c r="K63" i="1"/>
  <c r="I65" i="1"/>
  <c r="AK66" i="1" l="1"/>
  <c r="AL66" i="1" s="1"/>
  <c r="AO66" i="1" s="1"/>
  <c r="C66" i="1" s="1"/>
  <c r="AK64" i="1"/>
  <c r="AL64" i="1" s="1"/>
  <c r="AO64" i="1" s="1"/>
  <c r="C64" i="1" s="1"/>
  <c r="K65" i="1"/>
  <c r="AK63" i="1" l="1"/>
  <c r="AL63" i="1" s="1"/>
  <c r="AO63" i="1" s="1"/>
  <c r="C63" i="1" s="1"/>
  <c r="AK67" i="1"/>
  <c r="AL67" i="1" s="1"/>
  <c r="AO67" i="1" s="1"/>
  <c r="C67" i="1" s="1"/>
  <c r="X4" i="6"/>
  <c r="BG3" i="1" s="1"/>
  <c r="BJ3" i="1" s="1"/>
  <c r="BF3" i="1"/>
  <c r="BI3" i="1" s="1"/>
  <c r="C3" i="1" l="1"/>
  <c r="AK65" i="1"/>
  <c r="AL65" i="1" s="1"/>
  <c r="AO65" i="1" s="1"/>
  <c r="C65" i="1" s="1"/>
</calcChain>
</file>

<file path=xl/sharedStrings.xml><?xml version="1.0" encoding="utf-8"?>
<sst xmlns="http://schemas.openxmlformats.org/spreadsheetml/2006/main" count="2198" uniqueCount="292">
  <si>
    <t>Wertpapier</t>
  </si>
  <si>
    <t>ISIN</t>
  </si>
  <si>
    <t>Novartis</t>
  </si>
  <si>
    <t>CH0012005267</t>
  </si>
  <si>
    <t>Roche</t>
  </si>
  <si>
    <t>CH0012032048</t>
  </si>
  <si>
    <t>Nestle</t>
  </si>
  <si>
    <t>CH0038863350</t>
  </si>
  <si>
    <t>Deutsche Bank</t>
  </si>
  <si>
    <t>DE0005140008</t>
  </si>
  <si>
    <t>Beiersdorf</t>
  </si>
  <si>
    <t>DE0005200000</t>
  </si>
  <si>
    <t>Deutsche Post</t>
  </si>
  <si>
    <t>DE0005552004</t>
  </si>
  <si>
    <t>Deutsche Telekom</t>
  </si>
  <si>
    <t>DE0005557508</t>
  </si>
  <si>
    <t>SAP</t>
  </si>
  <si>
    <t>DE0007164600</t>
  </si>
  <si>
    <t>Siemens</t>
  </si>
  <si>
    <t>DE0007236101</t>
  </si>
  <si>
    <t>Allianz</t>
  </si>
  <si>
    <t>DE0008404005</t>
  </si>
  <si>
    <t>Münchener Rück</t>
  </si>
  <si>
    <t>DE0008430026</t>
  </si>
  <si>
    <t>BASF</t>
  </si>
  <si>
    <t>DE000BASF111</t>
  </si>
  <si>
    <t>Bayer</t>
  </si>
  <si>
    <t>DE000BAY0017</t>
  </si>
  <si>
    <t>Banco Santander</t>
  </si>
  <si>
    <t>ES0113900J37</t>
  </si>
  <si>
    <t>Telefonica</t>
  </si>
  <si>
    <t>ES0178430E18</t>
  </si>
  <si>
    <t>Total</t>
  </si>
  <si>
    <t>FR0000120271</t>
  </si>
  <si>
    <t>Danone</t>
  </si>
  <si>
    <t>FR0000120644</t>
  </si>
  <si>
    <t>BHP Billiton</t>
  </si>
  <si>
    <t>GB0000566504</t>
  </si>
  <si>
    <t>British American Tobacco</t>
  </si>
  <si>
    <t>GB0002875804</t>
  </si>
  <si>
    <t>Imperial Tobacco</t>
  </si>
  <si>
    <t>GB0004544929</t>
  </si>
  <si>
    <t>HSBC</t>
  </si>
  <si>
    <t>GB0005405286</t>
  </si>
  <si>
    <t>Rio Tinto</t>
  </si>
  <si>
    <t>GB0007188757</t>
  </si>
  <si>
    <t>BP</t>
  </si>
  <si>
    <t>GB0007980591</t>
  </si>
  <si>
    <t>Royal Dutch Shell</t>
  </si>
  <si>
    <t>GB00B03MLX29</t>
  </si>
  <si>
    <t>Vodafone</t>
  </si>
  <si>
    <t>GB00BH4HKS39</t>
  </si>
  <si>
    <t>Unilever</t>
  </si>
  <si>
    <t>NL0000009355</t>
  </si>
  <si>
    <t>AT&amp;T</t>
  </si>
  <si>
    <t>US00206R1023</t>
  </si>
  <si>
    <t>Chevron</t>
  </si>
  <si>
    <t>US1667641005</t>
  </si>
  <si>
    <t>Coca-Cola</t>
  </si>
  <si>
    <t>US1912161007</t>
  </si>
  <si>
    <t>Colgate-Palmolive</t>
  </si>
  <si>
    <t>US1941621039</t>
  </si>
  <si>
    <t>Dow Chemical</t>
  </si>
  <si>
    <t>US2605431038</t>
  </si>
  <si>
    <t>Exxon Mobil</t>
  </si>
  <si>
    <t>US30231G1022</t>
  </si>
  <si>
    <t>General Electric</t>
  </si>
  <si>
    <t>US3696041033</t>
  </si>
  <si>
    <t>Goldman Sachs</t>
  </si>
  <si>
    <t>US38141G1040</t>
  </si>
  <si>
    <t>IBM</t>
  </si>
  <si>
    <t>US4592001014</t>
  </si>
  <si>
    <t>JPMorgan Chase</t>
  </si>
  <si>
    <t>US46625H1005</t>
  </si>
  <si>
    <t>Johnson &amp; Johnson</t>
  </si>
  <si>
    <t>US4781601046</t>
  </si>
  <si>
    <t>Kraft Foods</t>
  </si>
  <si>
    <t>US50076Q1067</t>
  </si>
  <si>
    <t>McDonald's</t>
  </si>
  <si>
    <t>US5801351017</t>
  </si>
  <si>
    <t>Merck &amp; Co.</t>
  </si>
  <si>
    <t>US58933Y1055</t>
  </si>
  <si>
    <t>Microsoft</t>
  </si>
  <si>
    <t>US5949181045</t>
  </si>
  <si>
    <t>Mondelez</t>
  </si>
  <si>
    <t>US6092071058</t>
  </si>
  <si>
    <t>Monsanto</t>
  </si>
  <si>
    <t>US61166W1018</t>
  </si>
  <si>
    <t>Oracle</t>
  </si>
  <si>
    <t>US68389X1054</t>
  </si>
  <si>
    <t>PepsiCo</t>
  </si>
  <si>
    <t>US7134481081</t>
  </si>
  <si>
    <t>Pfizer</t>
  </si>
  <si>
    <t>US7170811035</t>
  </si>
  <si>
    <t>Philip Morris</t>
  </si>
  <si>
    <t>US7181721090</t>
  </si>
  <si>
    <t>Procter &amp; Gamble</t>
  </si>
  <si>
    <t>US7427181091</t>
  </si>
  <si>
    <t>Verizon Communications</t>
  </si>
  <si>
    <t>US92343V1044</t>
  </si>
  <si>
    <t>Wal-Mart Stores</t>
  </si>
  <si>
    <t>US9311421039</t>
  </si>
  <si>
    <t>Anheuser-Busch InBev</t>
  </si>
  <si>
    <t>z_BE0003793107</t>
  </si>
  <si>
    <t>Lindt &amp; Sprüngli</t>
  </si>
  <si>
    <t>z_CH0010570759</t>
  </si>
  <si>
    <t>Syngenta</t>
  </si>
  <si>
    <t>Henkel</t>
  </si>
  <si>
    <t>z_DE0006048432</t>
  </si>
  <si>
    <t>L'Oreal</t>
  </si>
  <si>
    <t>z_FR0000120321</t>
  </si>
  <si>
    <t>Sanofi</t>
  </si>
  <si>
    <t>z_FR0000120578</t>
  </si>
  <si>
    <t>Diageo</t>
  </si>
  <si>
    <t>z_GB0002374006</t>
  </si>
  <si>
    <t>Sabmiller</t>
  </si>
  <si>
    <t>z_GB0004835483</t>
  </si>
  <si>
    <t>GlaxoSmithKline</t>
  </si>
  <si>
    <t>z_GB0009252882</t>
  </si>
  <si>
    <t>Reckitt Benckiser</t>
  </si>
  <si>
    <t>z_GB00B24CGK77</t>
  </si>
  <si>
    <t>Altria</t>
  </si>
  <si>
    <t>z_US02209S1033</t>
  </si>
  <si>
    <t>AIG</t>
  </si>
  <si>
    <t>z_US0268747849</t>
  </si>
  <si>
    <t>Blackrock</t>
  </si>
  <si>
    <t>z_US09247X1019</t>
  </si>
  <si>
    <t>General Mills</t>
  </si>
  <si>
    <t>z_US3703341046</t>
  </si>
  <si>
    <t>Kimberly-Clark</t>
  </si>
  <si>
    <t>z_US4943681035</t>
  </si>
  <si>
    <t>Jahr - 1</t>
  </si>
  <si>
    <t>Jahr - 2</t>
  </si>
  <si>
    <t>Jahr - 3</t>
  </si>
  <si>
    <t>Jahr - 4</t>
  </si>
  <si>
    <t>Jahr - 5</t>
  </si>
  <si>
    <t>Jahr - 6</t>
  </si>
  <si>
    <t>Jahr - 7</t>
  </si>
  <si>
    <t>Jahr - 8</t>
  </si>
  <si>
    <t>Jahr - 9</t>
  </si>
  <si>
    <t>Jahr - 10</t>
  </si>
  <si>
    <t>Jahr + 1</t>
  </si>
  <si>
    <t>Jahr + 0</t>
  </si>
  <si>
    <t>Median</t>
  </si>
  <si>
    <t>Tage</t>
  </si>
  <si>
    <t>Abweichung Median</t>
  </si>
  <si>
    <t>KGV
+360d</t>
  </si>
  <si>
    <t>DR
+360d</t>
  </si>
  <si>
    <t>Quote
+360d</t>
  </si>
  <si>
    <t>Ergebnis
+360d</t>
  </si>
  <si>
    <t>Mittelwert</t>
  </si>
  <si>
    <t>Abweichung Mittelwert</t>
  </si>
  <si>
    <t>Abweichung zum Vorjahr</t>
  </si>
  <si>
    <t>Größte Abweichung Vorjahr</t>
  </si>
  <si>
    <t>Ergebnis+360d
nach Einbruch</t>
  </si>
  <si>
    <t>Bewertung</t>
  </si>
  <si>
    <t>DR+360d</t>
  </si>
  <si>
    <t>DR Abweichung</t>
  </si>
  <si>
    <t>Quote Abweichung</t>
  </si>
  <si>
    <t>Ergebnis Abweichung</t>
  </si>
  <si>
    <t>Punkte von</t>
  </si>
  <si>
    <t>Punkte bis</t>
  </si>
  <si>
    <t>Gesamtkennzahl</t>
  </si>
  <si>
    <t>Punkte</t>
  </si>
  <si>
    <t>Grenze (&lt;)</t>
  </si>
  <si>
    <t>KGV Abweichung</t>
  </si>
  <si>
    <t>Quote+360d</t>
  </si>
  <si>
    <t>Abweichung KGV+360d nach Einbruch vom Median</t>
  </si>
  <si>
    <t>Abweichung Ergebnis+360d nach Einbruch von Mittel</t>
  </si>
  <si>
    <t>Jahr</t>
  </si>
  <si>
    <t>EPS original</t>
  </si>
  <si>
    <t>EPS bereinigt</t>
  </si>
  <si>
    <t>Punkte original</t>
  </si>
  <si>
    <t>Punkte bereinigt</t>
  </si>
  <si>
    <t>BE0003793107</t>
  </si>
  <si>
    <t>US02209S1033</t>
  </si>
  <si>
    <t>Dividende original</t>
  </si>
  <si>
    <t>Dividende bereinigt</t>
  </si>
  <si>
    <t>Stand Kennzahlen</t>
  </si>
  <si>
    <t>KGV+360d
nach
Einbruch</t>
  </si>
  <si>
    <t>Buchwert
+360d</t>
  </si>
  <si>
    <t>Buchwert
Abweichung</t>
  </si>
  <si>
    <t>Buchwert+360d
nach Einbruch</t>
  </si>
  <si>
    <t>Abweichung Buchwert+360d
nach Einbruch von Mittel</t>
  </si>
  <si>
    <t>Kontrolle</t>
  </si>
  <si>
    <t>ARK-1y</t>
  </si>
  <si>
    <t>ARK Mittel 10y</t>
  </si>
  <si>
    <t>ARK Abweichung</t>
  </si>
  <si>
    <t>ARK
-1y</t>
  </si>
  <si>
    <t>ARK
Mittel
10y</t>
  </si>
  <si>
    <t>KGV+360d</t>
  </si>
  <si>
    <t>Ergebnis+360d</t>
  </si>
  <si>
    <t>Dividende+360d</t>
  </si>
  <si>
    <t>Buchwert+360d</t>
  </si>
  <si>
    <t>Buchwert original</t>
  </si>
  <si>
    <t>Buchwert bereinigt</t>
  </si>
  <si>
    <t>Basis</t>
  </si>
  <si>
    <t>CH0011037469</t>
  </si>
  <si>
    <t>Geschäftsjahr</t>
  </si>
  <si>
    <t>Tag</t>
  </si>
  <si>
    <t>Monat</t>
  </si>
  <si>
    <t>Jahr + 2</t>
  </si>
  <si>
    <t>Jahr - 0</t>
  </si>
  <si>
    <t>US4943681035</t>
  </si>
  <si>
    <t>Summe</t>
  </si>
  <si>
    <t>DE0006048432</t>
  </si>
  <si>
    <t>Währung</t>
  </si>
  <si>
    <t>Bilanz</t>
  </si>
  <si>
    <t>Heimatbörse</t>
  </si>
  <si>
    <t>CHF</t>
  </si>
  <si>
    <t>EUR</t>
  </si>
  <si>
    <t>GBP</t>
  </si>
  <si>
    <t>USD</t>
  </si>
  <si>
    <t>Gleich</t>
  </si>
  <si>
    <t>Jahr - 11</t>
  </si>
  <si>
    <t>Aktuell</t>
  </si>
  <si>
    <t>Schlußkurse Heimatbörse am Geschäftsjahresende</t>
  </si>
  <si>
    <t>Schlußkurse Währungsumrechnung am Geschäftsjahresende</t>
  </si>
  <si>
    <t>Schlußkurse in Bilanzwährung am Geschäftsjahresende</t>
  </si>
  <si>
    <t>CH0002751649</t>
  </si>
  <si>
    <t>GB0031973075</t>
  </si>
  <si>
    <t>EUR / USD</t>
  </si>
  <si>
    <t>GBP / USD</t>
  </si>
  <si>
    <t>CHF / USD</t>
  </si>
  <si>
    <t>EU0009652759</t>
  </si>
  <si>
    <t>FXCM</t>
  </si>
  <si>
    <t>CH0010570759</t>
  </si>
  <si>
    <t>FR0000120321</t>
  </si>
  <si>
    <t>FR0000120578</t>
  </si>
  <si>
    <t>GB0002374006</t>
  </si>
  <si>
    <t>GB0004835483</t>
  </si>
  <si>
    <t>GB0009252882</t>
  </si>
  <si>
    <t>GB00B24CGK77</t>
  </si>
  <si>
    <t>US0268747849</t>
  </si>
  <si>
    <t>US09247X1019</t>
  </si>
  <si>
    <t>US3703341046</t>
  </si>
  <si>
    <t>Dividende Vorjahr / Kurs Geschäftsjahresende = Dividende aktuelles Jahr</t>
  </si>
  <si>
    <t>Kurs original</t>
  </si>
  <si>
    <t>Kurs bereinigt</t>
  </si>
  <si>
    <t>Dividende Abweichung</t>
  </si>
  <si>
    <t>Abweichung Dividende+360d nach Einbruch von Mittel</t>
  </si>
  <si>
    <t>Dividende
+360d</t>
  </si>
  <si>
    <t>Dividende+360d
nach Einbruch</t>
  </si>
  <si>
    <t>Abweichung
KGV+360d
nach Einbruch
vom Median</t>
  </si>
  <si>
    <t>Abweichung
Buchwert+360d
nach Einbruch
vom Mittel</t>
  </si>
  <si>
    <t>Abweichung
Ergebnis+360d
nach Einbruch
vom Mittel</t>
  </si>
  <si>
    <t>Abweichung
Dividende+360d
nach Einbruch
vom Mittel</t>
  </si>
  <si>
    <t>KGV
Median</t>
  </si>
  <si>
    <t>Buchwert
Mittel</t>
  </si>
  <si>
    <t>Ergebnis
Mittel</t>
  </si>
  <si>
    <t>Größter
Ergebnis-
einbruch</t>
  </si>
  <si>
    <t>Dividende
Mittel</t>
  </si>
  <si>
    <t>Größter
Dividenden-
rückgang</t>
  </si>
  <si>
    <t>DR
Mittel</t>
  </si>
  <si>
    <t>Quote
Mittel</t>
  </si>
  <si>
    <t>Größter
Buchwert-
einbruch</t>
  </si>
  <si>
    <t>KGV
Ab-
weichung</t>
  </si>
  <si>
    <t>Buchwert
Ab-
weichung</t>
  </si>
  <si>
    <t>Ergebnis
Ab-
weichung</t>
  </si>
  <si>
    <t>Dividende
Ab-
weichung</t>
  </si>
  <si>
    <t>DR
Ab-
weichung</t>
  </si>
  <si>
    <t>ARK
Ab-
weichung</t>
  </si>
  <si>
    <t>Quote
Ab-
weichung</t>
  </si>
  <si>
    <t>Größter Ergebniseinbruch</t>
  </si>
  <si>
    <t>DR Mittel</t>
  </si>
  <si>
    <t>Größter Buchwerteinbruch</t>
  </si>
  <si>
    <t>Größter Dividendenrückgang</t>
  </si>
  <si>
    <t>Spaltenbeschriftungen</t>
  </si>
  <si>
    <t>Werte</t>
  </si>
  <si>
    <t>KGV</t>
  </si>
  <si>
    <t>Ergebnis je Aktie (verwässert)</t>
  </si>
  <si>
    <t>Jahr+2</t>
  </si>
  <si>
    <t>Jahr+1</t>
  </si>
  <si>
    <t>Jahr+0</t>
  </si>
  <si>
    <t>Jahr-1</t>
  </si>
  <si>
    <t>Jahr-2</t>
  </si>
  <si>
    <t>Jahr-3</t>
  </si>
  <si>
    <t>Jahr-4</t>
  </si>
  <si>
    <t>Jahr-5</t>
  </si>
  <si>
    <t>Jahr-6</t>
  </si>
  <si>
    <t>Jahr-7</t>
  </si>
  <si>
    <t>Jahr-8</t>
  </si>
  <si>
    <t>Jahr-9</t>
  </si>
  <si>
    <t>Jahr-10</t>
  </si>
  <si>
    <t>Buchwert</t>
  </si>
  <si>
    <t>Jahr-0</t>
  </si>
  <si>
    <t>Aktien im Umlauf (splitbereinigt)</t>
  </si>
  <si>
    <t>Jahr-11</t>
  </si>
  <si>
    <t>Dividenden</t>
  </si>
  <si>
    <t>Ausschüttungsquote</t>
  </si>
  <si>
    <t>Aktien original</t>
  </si>
  <si>
    <t>Aktien bereinigt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</si>
</sst>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.00_ ;[Red]\-#,##0.00\ "/>
    <numFmt numFmtId="165" formatCode="#,##0_ ;[Red]\-#,##0\ "/>
    <numFmt numFmtId="166" formatCode="0.000%"/>
    <numFmt numFmtId="167" formatCode="#,##0.000_ ;[Red]\-#,##0.000\ "/>
    <numFmt numFmtId="168" formatCode="0.000"/>
    <numFmt numFmtId="169" formatCode="#,##0.0_ ;[Red]\-#,##0.0\ "/>
    <numFmt numFmtId="170" formatCode="0.0"/>
    <numFmt numFmtId="171" formatCode="0.0_ ;[Red]\-0.0\ "/>
    <numFmt numFmtId="172" formatCode="0.0000%"/>
    <numFmt numFmtId="173" formatCode="0_ ;[Red]\-0\ "/>
    <numFmt numFmtId="174" formatCode="#,##0.0000_ ;[Red]\-#,##0.00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/>
    <xf numFmtId="164" fontId="0" fillId="0" borderId="0" xfId="0" applyNumberFormat="1"/>
    <xf numFmtId="164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164" fontId="0" fillId="3" borderId="0" xfId="0" applyNumberFormat="1" applyFill="1"/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10" fontId="0" fillId="0" borderId="0" xfId="0" applyNumberFormat="1"/>
    <xf numFmtId="10" fontId="0" fillId="2" borderId="0" xfId="0" applyNumberFormat="1" applyFill="1"/>
    <xf numFmtId="167" fontId="0" fillId="0" borderId="0" xfId="0" applyNumberFormat="1" applyBorder="1"/>
    <xf numFmtId="166" fontId="0" fillId="0" borderId="0" xfId="1" applyNumberFormat="1" applyFont="1" applyBorder="1"/>
    <xf numFmtId="167" fontId="0" fillId="2" borderId="0" xfId="0" applyNumberFormat="1" applyFill="1"/>
    <xf numFmtId="167" fontId="0" fillId="0" borderId="0" xfId="1" applyNumberFormat="1" applyFont="1" applyBorder="1"/>
    <xf numFmtId="166" fontId="0" fillId="2" borderId="0" xfId="1" applyNumberFormat="1" applyFont="1" applyFill="1"/>
    <xf numFmtId="168" fontId="0" fillId="0" borderId="0" xfId="0" applyNumberFormat="1" applyBorder="1"/>
    <xf numFmtId="165" fontId="0" fillId="0" borderId="0" xfId="0" applyNumberFormat="1"/>
    <xf numFmtId="169" fontId="0" fillId="5" borderId="0" xfId="0" applyNumberFormat="1" applyFill="1"/>
    <xf numFmtId="170" fontId="0" fillId="5" borderId="0" xfId="0" applyNumberFormat="1" applyFill="1"/>
    <xf numFmtId="10" fontId="0" fillId="5" borderId="0" xfId="1" applyNumberFormat="1" applyFont="1" applyFill="1"/>
    <xf numFmtId="169" fontId="0" fillId="4" borderId="0" xfId="0" applyNumberFormat="1" applyFill="1"/>
    <xf numFmtId="170" fontId="0" fillId="4" borderId="0" xfId="0" applyNumberFormat="1" applyFill="1"/>
    <xf numFmtId="10" fontId="0" fillId="4" borderId="0" xfId="1" applyNumberFormat="1" applyFont="1" applyFill="1"/>
    <xf numFmtId="169" fontId="0" fillId="7" borderId="0" xfId="0" applyNumberFormat="1" applyFill="1"/>
    <xf numFmtId="170" fontId="0" fillId="7" borderId="0" xfId="0" applyNumberFormat="1" applyFill="1"/>
    <xf numFmtId="10" fontId="0" fillId="7" borderId="0" xfId="1" applyNumberFormat="1" applyFont="1" applyFill="1"/>
    <xf numFmtId="170" fontId="0" fillId="6" borderId="0" xfId="0" applyNumberFormat="1" applyFill="1"/>
    <xf numFmtId="10" fontId="0" fillId="6" borderId="0" xfId="1" applyNumberFormat="1" applyFont="1" applyFill="1"/>
    <xf numFmtId="169" fontId="0" fillId="6" borderId="0" xfId="0" applyNumberFormat="1" applyFill="1"/>
    <xf numFmtId="170" fontId="0" fillId="8" borderId="0" xfId="0" applyNumberFormat="1" applyFill="1"/>
    <xf numFmtId="10" fontId="0" fillId="8" borderId="0" xfId="1" applyNumberFormat="1" applyFont="1" applyFill="1"/>
    <xf numFmtId="169" fontId="0" fillId="8" borderId="0" xfId="0" applyNumberFormat="1" applyFill="1"/>
    <xf numFmtId="171" fontId="0" fillId="0" borderId="0" xfId="0" applyNumberFormat="1" applyBorder="1"/>
    <xf numFmtId="164" fontId="2" fillId="0" borderId="0" xfId="0" applyNumberFormat="1" applyFont="1"/>
    <xf numFmtId="169" fontId="2" fillId="0" borderId="0" xfId="0" applyNumberFormat="1" applyFont="1"/>
    <xf numFmtId="169" fontId="0" fillId="0" borderId="0" xfId="0" applyNumberFormat="1"/>
    <xf numFmtId="0" fontId="2" fillId="3" borderId="0" xfId="0" applyFont="1" applyFill="1" applyBorder="1" applyAlignment="1"/>
    <xf numFmtId="0" fontId="2" fillId="0" borderId="0" xfId="0" applyFont="1" applyBorder="1"/>
    <xf numFmtId="0" fontId="0" fillId="0" borderId="0" xfId="0" applyBorder="1"/>
    <xf numFmtId="0" fontId="2" fillId="0" borderId="0" xfId="0" applyFont="1" applyFill="1" applyBorder="1" applyAlignment="1"/>
    <xf numFmtId="166" fontId="0" fillId="0" borderId="0" xfId="0" applyNumberFormat="1" applyBorder="1"/>
    <xf numFmtId="169" fontId="0" fillId="0" borderId="0" xfId="0" applyNumberFormat="1" applyBorder="1"/>
    <xf numFmtId="14" fontId="2" fillId="0" borderId="0" xfId="0" applyNumberFormat="1" applyFont="1" applyBorder="1"/>
    <xf numFmtId="0" fontId="3" fillId="3" borderId="0" xfId="0" applyFont="1" applyFill="1" applyBorder="1" applyAlignment="1">
      <alignment vertical="center" textRotation="90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170" fontId="0" fillId="0" borderId="0" xfId="0" applyNumberFormat="1"/>
    <xf numFmtId="172" fontId="0" fillId="5" borderId="0" xfId="1" applyNumberFormat="1" applyFont="1" applyFill="1"/>
    <xf numFmtId="172" fontId="0" fillId="4" borderId="0" xfId="1" applyNumberFormat="1" applyFont="1" applyFill="1"/>
    <xf numFmtId="172" fontId="0" fillId="7" borderId="0" xfId="1" applyNumberFormat="1" applyFont="1" applyFill="1"/>
    <xf numFmtId="172" fontId="0" fillId="6" borderId="0" xfId="1" applyNumberFormat="1" applyFont="1" applyFill="1"/>
    <xf numFmtId="172" fontId="0" fillId="8" borderId="0" xfId="1" applyNumberFormat="1" applyFont="1" applyFill="1"/>
    <xf numFmtId="169" fontId="0" fillId="0" borderId="0" xfId="1" applyNumberFormat="1" applyFont="1" applyBorder="1"/>
    <xf numFmtId="0" fontId="0" fillId="0" borderId="0" xfId="0" applyFill="1"/>
    <xf numFmtId="164" fontId="0" fillId="0" borderId="0" xfId="0" applyNumberFormat="1" applyFill="1"/>
    <xf numFmtId="169" fontId="0" fillId="0" borderId="0" xfId="0" applyNumberFormat="1" applyFill="1"/>
    <xf numFmtId="0" fontId="0" fillId="0" borderId="0" xfId="0" applyFill="1" applyBorder="1"/>
    <xf numFmtId="173" fontId="0" fillId="0" borderId="0" xfId="0" applyNumberFormat="1"/>
    <xf numFmtId="0" fontId="2" fillId="0" borderId="1" xfId="0" applyFont="1" applyBorder="1"/>
    <xf numFmtId="0" fontId="2" fillId="0" borderId="2" xfId="0" applyFont="1" applyBorder="1"/>
    <xf numFmtId="167" fontId="0" fillId="3" borderId="0" xfId="0" applyNumberFormat="1" applyFill="1" applyBorder="1"/>
    <xf numFmtId="167" fontId="0" fillId="3" borderId="2" xfId="0" applyNumberFormat="1" applyFill="1" applyBorder="1"/>
    <xf numFmtId="167" fontId="0" fillId="9" borderId="0" xfId="0" applyNumberFormat="1" applyFill="1" applyBorder="1"/>
    <xf numFmtId="167" fontId="0" fillId="9" borderId="2" xfId="0" applyNumberFormat="1" applyFill="1" applyBorder="1"/>
    <xf numFmtId="164" fontId="0" fillId="7" borderId="0" xfId="0" applyNumberFormat="1" applyFill="1"/>
    <xf numFmtId="167" fontId="0" fillId="7" borderId="0" xfId="0" applyNumberFormat="1" applyFill="1" applyBorder="1"/>
    <xf numFmtId="167" fontId="0" fillId="7" borderId="1" xfId="0" applyNumberFormat="1" applyFill="1" applyBorder="1"/>
    <xf numFmtId="173" fontId="0" fillId="0" borderId="0" xfId="0" applyNumberFormat="1" applyBorder="1"/>
    <xf numFmtId="0" fontId="0" fillId="0" borderId="0" xfId="0" applyNumberFormat="1" applyBorder="1"/>
    <xf numFmtId="165" fontId="0" fillId="0" borderId="0" xfId="0" applyNumberFormat="1" applyBorder="1"/>
    <xf numFmtId="174" fontId="0" fillId="3" borderId="0" xfId="0" applyNumberFormat="1" applyFill="1" applyBorder="1"/>
    <xf numFmtId="174" fontId="0" fillId="2" borderId="0" xfId="0" applyNumberFormat="1" applyFill="1" applyBorder="1"/>
    <xf numFmtId="174" fontId="0" fillId="7" borderId="0" xfId="0" applyNumberFormat="1" applyFill="1" applyBorder="1"/>
    <xf numFmtId="0" fontId="0" fillId="0" borderId="0" xfId="0" applyFont="1"/>
    <xf numFmtId="174" fontId="0" fillId="9" borderId="0" xfId="0" applyNumberFormat="1" applyFill="1" applyBorder="1"/>
    <xf numFmtId="0" fontId="2" fillId="0" borderId="1" xfId="0" applyFont="1" applyBorder="1" applyAlignment="1"/>
    <xf numFmtId="0" fontId="2" fillId="0" borderId="0" xfId="0" applyFont="1" applyBorder="1" applyAlignment="1"/>
    <xf numFmtId="0" fontId="2" fillId="0" borderId="2" xfId="0" applyFont="1" applyBorder="1" applyAlignment="1"/>
    <xf numFmtId="167" fontId="0" fillId="7" borderId="0" xfId="0" applyNumberFormat="1" applyFill="1"/>
    <xf numFmtId="164" fontId="0" fillId="2" borderId="1" xfId="0" applyNumberFormat="1" applyFill="1" applyBorder="1"/>
    <xf numFmtId="164" fontId="0" fillId="2" borderId="0" xfId="0" applyNumberFormat="1" applyFill="1" applyBorder="1"/>
    <xf numFmtId="164" fontId="0" fillId="2" borderId="2" xfId="0" applyNumberFormat="1" applyFill="1" applyBorder="1"/>
    <xf numFmtId="166" fontId="0" fillId="2" borderId="1" xfId="0" applyNumberFormat="1" applyFill="1" applyBorder="1"/>
    <xf numFmtId="166" fontId="0" fillId="2" borderId="0" xfId="0" applyNumberFormat="1" applyFill="1" applyBorder="1"/>
    <xf numFmtId="166" fontId="0" fillId="2" borderId="2" xfId="0" applyNumberFormat="1" applyFill="1" applyBorder="1"/>
    <xf numFmtId="0" fontId="2" fillId="0" borderId="0" xfId="0" applyFont="1" applyAlignment="1">
      <alignment horizontal="center"/>
    </xf>
    <xf numFmtId="174" fontId="2" fillId="0" borderId="0" xfId="0" applyNumberFormat="1" applyFont="1"/>
    <xf numFmtId="174" fontId="0" fillId="0" borderId="0" xfId="0" applyNumberFormat="1"/>
    <xf numFmtId="174" fontId="0" fillId="0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173" fontId="0" fillId="0" borderId="0" xfId="0" applyNumberFormat="1" applyFill="1"/>
    <xf numFmtId="0" fontId="0" fillId="0" borderId="0" xfId="0" applyNumberFormat="1" applyFill="1" applyBorder="1"/>
    <xf numFmtId="164" fontId="0" fillId="9" borderId="0" xfId="0" applyNumberFormat="1" applyFill="1"/>
    <xf numFmtId="0" fontId="2" fillId="3" borderId="0" xfId="0" applyFont="1" applyFill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Prozent" xfId="1" builtinId="5"/>
    <cellStyle name="Standard" xfId="0" builtinId="0"/>
  </cellStyles>
  <dxfs count="107">
    <dxf>
      <fill>
        <patternFill>
          <bgColor rgb="FFFF0000"/>
        </patternFill>
      </fill>
    </dxf>
    <dxf>
      <fill>
        <patternFill>
          <bgColor theme="0" tint="-0.499984740745262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Bewertung.xlsx]Report_Unternehmen!PivotTable2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Report_Unternehmen!$B$2:$B$3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Report_Unternehmen!$A$4:$A$16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Report_Unternehmen!$B$4:$B$16</c:f>
              <c:numCache>
                <c:formatCode>#,##0.00_ ;[Red]\-#,##0.00\ </c:formatCode>
                <c:ptCount val="13"/>
                <c:pt idx="0">
                  <c:v>14.043835616438356</c:v>
                </c:pt>
                <c:pt idx="1">
                  <c:v>15.723926380368098</c:v>
                </c:pt>
                <c:pt idx="2">
                  <c:v>17.199013157894736</c:v>
                </c:pt>
                <c:pt idx="3">
                  <c:v>16.061403508771928</c:v>
                </c:pt>
                <c:pt idx="4">
                  <c:v>12.341549295774648</c:v>
                </c:pt>
                <c:pt idx="5">
                  <c:v>14.770270270270268</c:v>
                </c:pt>
                <c:pt idx="6">
                  <c:v>13.867713004484305</c:v>
                </c:pt>
                <c:pt idx="7">
                  <c:v>13.474895397489538</c:v>
                </c:pt>
                <c:pt idx="8">
                  <c:v>13.597727272727271</c:v>
                </c:pt>
                <c:pt idx="9">
                  <c:v>14.595185995623632</c:v>
                </c:pt>
                <c:pt idx="10">
                  <c:v>18.203856749311296</c:v>
                </c:pt>
                <c:pt idx="11">
                  <c:v>16.112600536193028</c:v>
                </c:pt>
                <c:pt idx="12">
                  <c:v>18.329479768786129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4911616"/>
        <c:axId val="124915072"/>
      </c:lineChart>
      <c:catAx>
        <c:axId val="124911616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24915072"/>
        <c:crosses val="autoZero"/>
        <c:auto val="1"/>
        <c:lblAlgn val="ctr"/>
        <c:lblOffset val="100"/>
        <c:noMultiLvlLbl val="0"/>
      </c:catAx>
      <c:valAx>
        <c:axId val="124915072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24911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Bewertung.xlsx]Report_Unternehmen!PivotTable3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Report_Unternehmen!$B$19:$B$20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Report_Unternehmen!$A$21:$A$33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Report_Unternehmen!$B$21:$B$33</c:f>
              <c:numCache>
                <c:formatCode>#,##0.00_ ;[Red]\-#,##0.00\ </c:formatCode>
                <c:ptCount val="13"/>
                <c:pt idx="0">
                  <c:v>7.3</c:v>
                </c:pt>
                <c:pt idx="1">
                  <c:v>6.52</c:v>
                </c:pt>
                <c:pt idx="2">
                  <c:v>6.08</c:v>
                </c:pt>
                <c:pt idx="3">
                  <c:v>5.7</c:v>
                </c:pt>
                <c:pt idx="4">
                  <c:v>5.68</c:v>
                </c:pt>
                <c:pt idx="5">
                  <c:v>4.4400000000000004</c:v>
                </c:pt>
                <c:pt idx="6">
                  <c:v>4.46</c:v>
                </c:pt>
                <c:pt idx="7">
                  <c:v>4.78</c:v>
                </c:pt>
                <c:pt idx="8">
                  <c:v>4.4000000000000004</c:v>
                </c:pt>
                <c:pt idx="9">
                  <c:v>4.57</c:v>
                </c:pt>
                <c:pt idx="10">
                  <c:v>3.63</c:v>
                </c:pt>
                <c:pt idx="11">
                  <c:v>3.73</c:v>
                </c:pt>
                <c:pt idx="12">
                  <c:v>3.46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952960"/>
        <c:axId val="124954496"/>
      </c:lineChart>
      <c:catAx>
        <c:axId val="124952960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24954496"/>
        <c:crosses val="autoZero"/>
        <c:auto val="1"/>
        <c:lblAlgn val="ctr"/>
        <c:lblOffset val="100"/>
        <c:noMultiLvlLbl val="0"/>
      </c:catAx>
      <c:valAx>
        <c:axId val="124954496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2495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Bewertung.xlsx]Report_Unternehmen!PivotTable4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Report_Unternehmen!$B$36:$B$37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Report_Unternehmen!$A$38:$A$50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Report_Unternehmen!$B$38:$B$50</c:f>
              <c:numCache>
                <c:formatCode>#,##0.00_ ;[Red]\-#,##0.00\ </c:formatCode>
                <c:ptCount val="13"/>
                <c:pt idx="0">
                  <c:v>37.200000000000003</c:v>
                </c:pt>
                <c:pt idx="1">
                  <c:v>31.6</c:v>
                </c:pt>
                <c:pt idx="2">
                  <c:v>28.3</c:v>
                </c:pt>
                <c:pt idx="3">
                  <c:v>25.06</c:v>
                </c:pt>
                <c:pt idx="4">
                  <c:v>26.25</c:v>
                </c:pt>
                <c:pt idx="5">
                  <c:v>23.33</c:v>
                </c:pt>
                <c:pt idx="6">
                  <c:v>20.95</c:v>
                </c:pt>
                <c:pt idx="7">
                  <c:v>20.66</c:v>
                </c:pt>
                <c:pt idx="8">
                  <c:v>18.37</c:v>
                </c:pt>
                <c:pt idx="9">
                  <c:v>15.35</c:v>
                </c:pt>
                <c:pt idx="10">
                  <c:v>15.25</c:v>
                </c:pt>
                <c:pt idx="11">
                  <c:v>13.59</c:v>
                </c:pt>
                <c:pt idx="12">
                  <c:v>12.73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034880"/>
        <c:axId val="149036416"/>
      </c:lineChart>
      <c:catAx>
        <c:axId val="149034880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49036416"/>
        <c:crosses val="autoZero"/>
        <c:auto val="1"/>
        <c:lblAlgn val="ctr"/>
        <c:lblOffset val="100"/>
        <c:noMultiLvlLbl val="0"/>
      </c:catAx>
      <c:valAx>
        <c:axId val="149036416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4903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Bewertung.xlsx]Report_Unternehmen!PivotTable5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Report_Unternehmen!$E$2:$E$3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Report_Unternehmen!$D$4:$D$14</c:f>
              <c:strCache>
                <c:ptCount val="11"/>
                <c:pt idx="0">
                  <c:v>Jahr-0</c:v>
                </c:pt>
                <c:pt idx="1">
                  <c:v>Jahr-1</c:v>
                </c:pt>
                <c:pt idx="2">
                  <c:v>Jahr-2</c:v>
                </c:pt>
                <c:pt idx="3">
                  <c:v>Jahr-3</c:v>
                </c:pt>
                <c:pt idx="4">
                  <c:v>Jahr-4</c:v>
                </c:pt>
                <c:pt idx="5">
                  <c:v>Jahr-5</c:v>
                </c:pt>
                <c:pt idx="6">
                  <c:v>Jahr-6</c:v>
                </c:pt>
                <c:pt idx="7">
                  <c:v>Jahr-7</c:v>
                </c:pt>
                <c:pt idx="8">
                  <c:v>Jahr-8</c:v>
                </c:pt>
                <c:pt idx="9">
                  <c:v>Jahr-9</c:v>
                </c:pt>
                <c:pt idx="10">
                  <c:v>Jahr-10</c:v>
                </c:pt>
              </c:strCache>
            </c:strRef>
          </c:cat>
          <c:val>
            <c:numRef>
              <c:f>Report_Unternehmen!$E$4:$E$14</c:f>
              <c:numCache>
                <c:formatCode>#,##0.00_ ;[Red]\-#,##0.00\ </c:formatCode>
                <c:ptCount val="11"/>
                <c:pt idx="1">
                  <c:v>2783</c:v>
                </c:pt>
                <c:pt idx="2">
                  <c:v>2821</c:v>
                </c:pt>
                <c:pt idx="3">
                  <c:v>2778</c:v>
                </c:pt>
                <c:pt idx="4">
                  <c:v>2724</c:v>
                </c:pt>
                <c:pt idx="5">
                  <c:v>2738</c:v>
                </c:pt>
                <c:pt idx="6">
                  <c:v>2754</c:v>
                </c:pt>
                <c:pt idx="7">
                  <c:v>2769</c:v>
                </c:pt>
                <c:pt idx="8">
                  <c:v>2840</c:v>
                </c:pt>
                <c:pt idx="9">
                  <c:v>2893</c:v>
                </c:pt>
                <c:pt idx="10">
                  <c:v>2975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554368"/>
        <c:axId val="155795456"/>
      </c:lineChart>
      <c:catAx>
        <c:axId val="180554368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55795456"/>
        <c:crosses val="autoZero"/>
        <c:auto val="1"/>
        <c:lblAlgn val="ctr"/>
        <c:lblOffset val="100"/>
        <c:noMultiLvlLbl val="0"/>
      </c:catAx>
      <c:valAx>
        <c:axId val="155795456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80554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Bewertung.xlsx]Report_Unternehmen!PivotTable6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Report_Unternehmen!$E$18:$E$19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Report_Unternehmen!$D$20:$D$33</c:f>
              <c:strCache>
                <c:ptCount val="14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  <c:pt idx="13">
                  <c:v>Jahr-11</c:v>
                </c:pt>
              </c:strCache>
            </c:strRef>
          </c:cat>
          <c:val>
            <c:numRef>
              <c:f>Report_Unternehmen!$E$20:$E$33</c:f>
              <c:numCache>
                <c:formatCode>#,##0.00_ ;[Red]\-#,##0.00\ </c:formatCode>
                <c:ptCount val="14"/>
                <c:pt idx="0">
                  <c:v>3.37</c:v>
                </c:pt>
                <c:pt idx="1">
                  <c:v>3.1</c:v>
                </c:pt>
                <c:pt idx="2">
                  <c:v>2.92</c:v>
                </c:pt>
                <c:pt idx="3">
                  <c:v>2.76</c:v>
                </c:pt>
                <c:pt idx="4">
                  <c:v>2.59</c:v>
                </c:pt>
                <c:pt idx="5">
                  <c:v>2.4</c:v>
                </c:pt>
                <c:pt idx="6">
                  <c:v>2.25</c:v>
                </c:pt>
                <c:pt idx="7">
                  <c:v>2.11</c:v>
                </c:pt>
                <c:pt idx="8">
                  <c:v>1.93</c:v>
                </c:pt>
                <c:pt idx="9">
                  <c:v>1.79</c:v>
                </c:pt>
                <c:pt idx="10">
                  <c:v>1.62</c:v>
                </c:pt>
                <c:pt idx="11">
                  <c:v>1.46</c:v>
                </c:pt>
                <c:pt idx="12">
                  <c:v>1.27</c:v>
                </c:pt>
                <c:pt idx="13">
                  <c:v>1.0900000000000001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55806336"/>
        <c:axId val="155821568"/>
      </c:lineChart>
      <c:catAx>
        <c:axId val="155806336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55821568"/>
        <c:crosses val="autoZero"/>
        <c:auto val="1"/>
        <c:lblAlgn val="ctr"/>
        <c:lblOffset val="100"/>
        <c:noMultiLvlLbl val="0"/>
      </c:catAx>
      <c:valAx>
        <c:axId val="155821568"/>
        <c:scaling>
          <c:orientation val="minMax"/>
        </c:scaling>
        <c:delete val="0"/>
        <c:axPos val="r"/>
        <c:majorGridlines/>
        <c:numFmt formatCode="#,##0.00_ ;[Red]\-#,##0.00\ " sourceLinked="1"/>
        <c:majorTickMark val="out"/>
        <c:minorTickMark val="none"/>
        <c:tickLblPos val="nextTo"/>
        <c:crossAx val="155806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[Aktien Bewertung.xlsx]Report_Unternehmen!PivotTable7</c:name>
    <c:fmtId val="0"/>
  </c:pivotSource>
  <c:chart>
    <c:autoTitleDeleted val="1"/>
    <c:pivotFmts>
      <c:pivotFmt>
        <c:idx val="0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de-DE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Report_Unternehmen!$E$36:$E$37</c:f>
              <c:strCache>
                <c:ptCount val="1"/>
                <c:pt idx="0">
                  <c:v>Johnson &amp; Johnson</c:v>
                </c:pt>
              </c:strCache>
            </c:strRef>
          </c:tx>
          <c:marker>
            <c:symbol val="none"/>
          </c:marker>
          <c:dLbls>
            <c:spPr/>
            <c:txPr>
              <a:bodyPr/>
              <a:lstStyle/>
              <a:p>
                <a:pPr>
                  <a:defRPr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Report_Unternehmen!$D$38:$D$50</c:f>
              <c:strCache>
                <c:ptCount val="13"/>
                <c:pt idx="0">
                  <c:v>Jahr+2</c:v>
                </c:pt>
                <c:pt idx="1">
                  <c:v>Jahr+1</c:v>
                </c:pt>
                <c:pt idx="2">
                  <c:v>Jahr+0</c:v>
                </c:pt>
                <c:pt idx="3">
                  <c:v>Jahr-1</c:v>
                </c:pt>
                <c:pt idx="4">
                  <c:v>Jahr-2</c:v>
                </c:pt>
                <c:pt idx="5">
                  <c:v>Jahr-3</c:v>
                </c:pt>
                <c:pt idx="6">
                  <c:v>Jahr-4</c:v>
                </c:pt>
                <c:pt idx="7">
                  <c:v>Jahr-5</c:v>
                </c:pt>
                <c:pt idx="8">
                  <c:v>Jahr-6</c:v>
                </c:pt>
                <c:pt idx="9">
                  <c:v>Jahr-7</c:v>
                </c:pt>
                <c:pt idx="10">
                  <c:v>Jahr-8</c:v>
                </c:pt>
                <c:pt idx="11">
                  <c:v>Jahr-9</c:v>
                </c:pt>
                <c:pt idx="12">
                  <c:v>Jahr-10</c:v>
                </c:pt>
              </c:strCache>
            </c:strRef>
          </c:cat>
          <c:val>
            <c:numRef>
              <c:f>Report_Unternehmen!$E$38:$E$50</c:f>
              <c:numCache>
                <c:formatCode>0.00%</c:formatCode>
                <c:ptCount val="13"/>
                <c:pt idx="0">
                  <c:v>0.4616438356164384</c:v>
                </c:pt>
                <c:pt idx="1">
                  <c:v>0.47546012269938653</c:v>
                </c:pt>
                <c:pt idx="2">
                  <c:v>0.48026315789473684</c:v>
                </c:pt>
                <c:pt idx="3">
                  <c:v>0.48421052631578942</c:v>
                </c:pt>
                <c:pt idx="4">
                  <c:v>0.45598591549295775</c:v>
                </c:pt>
                <c:pt idx="5">
                  <c:v>0.54054054054054046</c:v>
                </c:pt>
                <c:pt idx="6">
                  <c:v>0.50448430493273544</c:v>
                </c:pt>
                <c:pt idx="7">
                  <c:v>0.44142259414225937</c:v>
                </c:pt>
                <c:pt idx="8">
                  <c:v>0.4386363636363636</c:v>
                </c:pt>
                <c:pt idx="9">
                  <c:v>0.39168490153172864</c:v>
                </c:pt>
                <c:pt idx="10">
                  <c:v>0.44628099173553726</c:v>
                </c:pt>
                <c:pt idx="11">
                  <c:v>0.39142091152815012</c:v>
                </c:pt>
                <c:pt idx="12">
                  <c:v>0.36705202312138729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911680"/>
        <c:axId val="155913216"/>
      </c:lineChart>
      <c:catAx>
        <c:axId val="155911680"/>
        <c:scaling>
          <c:orientation val="maxMin"/>
        </c:scaling>
        <c:delete val="0"/>
        <c:axPos val="b"/>
        <c:majorGridlines/>
        <c:majorTickMark val="out"/>
        <c:minorTickMark val="none"/>
        <c:tickLblPos val="nextTo"/>
        <c:crossAx val="155913216"/>
        <c:crosses val="autoZero"/>
        <c:auto val="1"/>
        <c:lblAlgn val="ctr"/>
        <c:lblOffset val="100"/>
        <c:noMultiLvlLbl val="0"/>
      </c:catAx>
      <c:valAx>
        <c:axId val="155913216"/>
        <c:scaling>
          <c:orientation val="minMax"/>
        </c:scaling>
        <c:delete val="0"/>
        <c:axPos val="r"/>
        <c:majorGridlines/>
        <c:numFmt formatCode="0.00%" sourceLinked="1"/>
        <c:majorTickMark val="out"/>
        <c:minorTickMark val="none"/>
        <c:tickLblPos val="nextTo"/>
        <c:crossAx val="155911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28574</xdr:colOff>
      <xdr:row>0</xdr:row>
      <xdr:rowOff>0</xdr:rowOff>
    </xdr:from>
    <xdr:to>
      <xdr:col>2</xdr:col>
      <xdr:colOff>6508574</xdr:colOff>
      <xdr:row>16</xdr:row>
      <xdr:rowOff>12000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28574</xdr:colOff>
      <xdr:row>17</xdr:row>
      <xdr:rowOff>11627</xdr:rowOff>
    </xdr:from>
    <xdr:to>
      <xdr:col>2</xdr:col>
      <xdr:colOff>6508574</xdr:colOff>
      <xdr:row>33</xdr:row>
      <xdr:rowOff>23627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28574</xdr:colOff>
      <xdr:row>34</xdr:row>
      <xdr:rowOff>6723</xdr:rowOff>
    </xdr:from>
    <xdr:to>
      <xdr:col>2</xdr:col>
      <xdr:colOff>6508574</xdr:colOff>
      <xdr:row>50</xdr:row>
      <xdr:rowOff>18723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78441</xdr:colOff>
      <xdr:row>0</xdr:row>
      <xdr:rowOff>0</xdr:rowOff>
    </xdr:from>
    <xdr:to>
      <xdr:col>5</xdr:col>
      <xdr:colOff>6558441</xdr:colOff>
      <xdr:row>16</xdr:row>
      <xdr:rowOff>12000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78441</xdr:colOff>
      <xdr:row>17</xdr:row>
      <xdr:rowOff>11627</xdr:rowOff>
    </xdr:from>
    <xdr:to>
      <xdr:col>5</xdr:col>
      <xdr:colOff>6558441</xdr:colOff>
      <xdr:row>33</xdr:row>
      <xdr:rowOff>23627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78441</xdr:colOff>
      <xdr:row>34</xdr:row>
      <xdr:rowOff>6723</xdr:rowOff>
    </xdr:from>
    <xdr:to>
      <xdr:col>5</xdr:col>
      <xdr:colOff>6558441</xdr:colOff>
      <xdr:row>50</xdr:row>
      <xdr:rowOff>18723</xdr:rowOff>
    </xdr:to>
    <xdr:graphicFrame macro="">
      <xdr:nvGraphicFramePr>
        <xdr:cNvPr id="7" name="Diagramm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ristian Engels" refreshedDate="42069.571109259261" createdVersion="4" refreshedVersion="4" minRefreshableVersion="3" recordCount="65">
  <cacheSource type="worksheet">
    <worksheetSource ref="A3:R68" sheet="KGV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Jahr + 2" numFmtId="164">
      <sharedItems containsMixedTypes="1" containsNumber="1" minValue="7.5555555555555554" maxValue="39.762741652021091"/>
    </cacheField>
    <cacheField name="Jahr + 1" numFmtId="164">
      <sharedItems containsSemiMixedTypes="0" containsString="0" containsNumber="1" minValue="8.1448467966573812" maxValue="73.220064724919098"/>
    </cacheField>
    <cacheField name="Jahr + 0" numFmtId="164">
      <sharedItems containsSemiMixedTypes="0" containsString="0" containsNumber="1" minValue="9.6366279069767451" maxValue="36.664528543938424"/>
    </cacheField>
    <cacheField name="Jahr - 1" numFmtId="164">
      <sharedItems containsSemiMixedTypes="0" containsString="0" containsNumber="1" minValue="4.4748201438848927" maxValue="40.439822999999997"/>
    </cacheField>
    <cacheField name="Jahr - 2" numFmtId="164">
      <sharedItems containsSemiMixedTypes="0" containsString="0" containsNumber="1" minValue="5.6166848780487815" maxValue="197.93103448275863"/>
    </cacheField>
    <cacheField name="Jahr - 3" numFmtId="164">
      <sharedItems containsMixedTypes="1" containsNumber="1" minValue="5.2714126807563959" maxValue="117.74"/>
    </cacheField>
    <cacheField name="Jahr - 4" numFmtId="164">
      <sharedItems containsMixedTypes="1" containsNumber="1" minValue="5.1319587628865975" maxValue="37.286031042128606"/>
    </cacheField>
    <cacheField name="Jahr - 5" numFmtId="164">
      <sharedItems containsMixedTypes="1" containsNumber="1" minValue="2.5844827586206898" maxValue="41.234375"/>
    </cacheField>
    <cacheField name="Jahr - 6" numFmtId="164">
      <sharedItems containsMixedTypes="1" containsNumber="1" minValue="2.1789473684210527" maxValue="47.15625"/>
    </cacheField>
    <cacheField name="Jahr - 7" numFmtId="164">
      <sharedItems containsMixedTypes="1" containsNumber="1" minValue="7.997429305912596" maxValue="63.580645161290327"/>
    </cacheField>
    <cacheField name="Jahr - 8" numFmtId="164">
      <sharedItems containsMixedTypes="1" containsNumber="1" minValue="7.0580424849699392" maxValue="31.366120218579233"/>
    </cacheField>
    <cacheField name="Jahr - 9" numFmtId="164">
      <sharedItems containsMixedTypes="1" containsNumber="1" minValue="6.5200609446419495" maxValue="25.48"/>
    </cacheField>
    <cacheField name="Jahr - 10" numFmtId="164">
      <sharedItems containsMixedTypes="1" containsNumber="1" minValue="6.379284793700787" maxValue="38.936170212765958"/>
    </cacheField>
    <cacheField name="Median" numFmtId="164">
      <sharedItems containsSemiMixedTypes="0" containsString="0" containsNumber="1" minValue="8.4082098061573536" maxValue="27.241095371898052"/>
    </cacheField>
    <cacheField name="KGV+360d" numFmtId="164">
      <sharedItems containsSemiMixedTypes="0" containsString="0" containsNumber="1" minValue="9.5220174969623326" maxValue="53.492266771746635"/>
    </cacheField>
    <cacheField name="Abweichung Median" numFmtId="166">
      <sharedItems containsSemiMixedTypes="0" containsString="0" containsNumber="1" minValue="-0.13324218253861053" maxValue="3.47548290400227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ristian Engels" refreshedDate="42069.575264583335" createdVersion="4" refreshedVersion="4" minRefreshableVersion="3" recordCount="65">
  <cacheSource type="worksheet">
    <worksheetSource ref="A3:R68" sheet="Ergebnis_je_Aktie_verwässert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7">
      <sharedItems containsString="0" containsBlank="1" containsNumber="1" minValue="5.6900000000000006E-2" maxValue="26.2"/>
    </cacheField>
    <cacheField name="Jahr + 1" numFmtId="167">
      <sharedItems containsSemiMixedTypes="0" containsString="0" containsNumber="1" minValue="3.09E-2" maxValue="1744"/>
    </cacheField>
    <cacheField name="Jahr + 0" numFmtId="167">
      <sharedItems containsSemiMixedTypes="0" containsString="0" containsNumber="1" minValue="0.19500000000000001" maxValue="1559"/>
    </cacheField>
    <cacheField name="Jahr - 1" numFmtId="167">
      <sharedItems containsSemiMixedTypes="0" containsString="0" containsNumber="1" minValue="0.2" maxValue="1442"/>
    </cacheField>
    <cacheField name="Jahr - 2" numFmtId="167">
      <sharedItems containsSemiMixedTypes="0" containsString="0" containsNumber="1" minValue="8.6999999999999994E-3" maxValue="1314"/>
    </cacheField>
    <cacheField name="Jahr - 3" numFmtId="167">
      <sharedItems containsSemiMixedTypes="0" containsString="0" containsNumber="1" minValue="-1.61" maxValue="1187"/>
    </cacheField>
    <cacheField name="Jahr - 4" numFmtId="167">
      <sharedItems containsSemiMixedTypes="0" containsString="0" containsNumber="1" minValue="0.15" maxValue="1078"/>
    </cacheField>
    <cacheField name="Jahr - 5" numFmtId="167">
      <sharedItems containsSemiMixedTypes="0" containsString="0" containsNumber="1" minValue="-0.2" maxValue="1055"/>
    </cacheField>
    <cacheField name="Jahr - 6" numFmtId="167">
      <sharedItems containsSemiMixedTypes="0" containsString="0" containsNumber="1" minValue="-90.48" maxValue="850.9"/>
    </cacheField>
    <cacheField name="Jahr - 7" numFmtId="167">
      <sharedItems containsSemiMixedTypes="0" containsString="0" containsNumber="1" minValue="-756.8" maxValue="1140"/>
    </cacheField>
    <cacheField name="Jahr - 8" numFmtId="167">
      <sharedItems containsString="0" containsBlank="1" containsNumber="1" minValue="-0.1" maxValue="1091"/>
    </cacheField>
    <cacheField name="Jahr - 9" numFmtId="167">
      <sharedItems containsString="0" containsBlank="1" containsNumber="1" minValue="-0.28000000000000003" maxValue="921.2"/>
    </cacheField>
    <cacheField name="Jahr - 10" numFmtId="167">
      <sharedItems containsString="0" containsBlank="1" containsNumber="1" minValue="-0.11" maxValue="768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hristian Engels" refreshedDate="42069.606523379633" createdVersion="4" refreshedVersion="4" minRefreshableVersion="3" recordCount="65">
  <cacheSource type="worksheet">
    <worksheetSource ref="A3:R68" sheet="Buchwert_je_Aktie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7">
      <sharedItems containsString="0" containsBlank="1" containsNumber="1" minValue="-2.88" maxValue="198"/>
    </cacheField>
    <cacheField name="Jahr + 1" numFmtId="167">
      <sharedItems containsSemiMixedTypes="0" containsString="0" containsNumber="1" minValue="-2.34" maxValue="14242"/>
    </cacheField>
    <cacheField name="Jahr + 0" numFmtId="167">
      <sharedItems containsSemiMixedTypes="0" containsString="0" containsNumber="1" minValue="-2.11" maxValue="13416"/>
    </cacheField>
    <cacheField name="Jahr - 1" numFmtId="167">
      <sharedItems containsSemiMixedTypes="0" containsString="0" containsNumber="1" minValue="-8.16" maxValue="12555"/>
    </cacheField>
    <cacheField name="Jahr - 2" numFmtId="167">
      <sharedItems containsSemiMixedTypes="0" containsString="0" containsNumber="1" minValue="-4.8899999999999997" maxValue="19373"/>
    </cacheField>
    <cacheField name="Jahr - 3" numFmtId="167">
      <sharedItems containsSemiMixedTypes="0" containsString="0" containsNumber="1" minValue="-2.2200000000000002" maxValue="12607"/>
    </cacheField>
    <cacheField name="Jahr - 4" numFmtId="167">
      <sharedItems containsSemiMixedTypes="0" containsString="0" containsNumber="1" minValue="0.13" maxValue="11565"/>
    </cacheField>
    <cacheField name="Jahr - 5" numFmtId="167">
      <sharedItems containsSemiMixedTypes="0" containsString="0" containsNumber="1" minValue="1.45" maxValue="11946"/>
    </cacheField>
    <cacheField name="Jahr - 6" numFmtId="167">
      <sharedItems containsString="0" containsBlank="1" containsNumber="1" minValue="1.1399999999999999" maxValue="16177"/>
    </cacheField>
    <cacheField name="Jahr - 7" numFmtId="167">
      <sharedItems containsString="0" containsBlank="1" containsNumber="1" minValue="1.25" maxValue="14790"/>
    </cacheField>
    <cacheField name="Jahr - 8" numFmtId="167">
      <sharedItems containsString="0" containsBlank="1" containsNumber="1" minValue="1.22" maxValue="13894"/>
    </cacheField>
    <cacheField name="Jahr - 9" numFmtId="167">
      <sharedItems containsString="0" containsBlank="1" containsNumber="1" minValue="1.36" maxValue="11558"/>
    </cacheField>
    <cacheField name="Jahr - 10" numFmtId="167">
      <sharedItems containsString="0" containsBlank="1" containsNumber="1" minValue="1.19" maxValue="97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Christian Engels" refreshedDate="42069.619218171298" createdVersion="4" refreshedVersion="4" minRefreshableVersion="3" recordCount="65">
  <cacheSource type="worksheet">
    <worksheetSource ref="A3:M68" sheet="Aktien_im_Umlauf_splitbereinigt"/>
  </cacheSource>
  <cacheFields count="13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Jahr - 0" numFmtId="164">
      <sharedItems containsNonDate="0" containsString="0" containsBlank="1"/>
    </cacheField>
    <cacheField name="Jahr - 1" numFmtId="164">
      <sharedItems containsSemiMixedTypes="0" containsString="0" containsNumber="1" minValue="0.14000000000000001" maxValue="28812"/>
    </cacheField>
    <cacheField name="Jahr - 2" numFmtId="164">
      <sharedItems containsSemiMixedTypes="0" containsString="0" containsNumber="1" minValue="0.14000000000000001" maxValue="48919"/>
    </cacheField>
    <cacheField name="Jahr - 3" numFmtId="164">
      <sharedItems containsSemiMixedTypes="0" containsString="0" containsNumber="1" minValue="0.14000000000000001" maxValue="49659"/>
    </cacheField>
    <cacheField name="Jahr - 4" numFmtId="164">
      <sharedItems containsString="0" containsBlank="1" containsNumber="1" minValue="0.14000000000000001" maxValue="56811"/>
    </cacheField>
    <cacheField name="Jahr - 5" numFmtId="164">
      <sharedItems containsString="0" containsBlank="1" containsNumber="1" minValue="0.14000000000000001" maxValue="57809"/>
    </cacheField>
    <cacheField name="Jahr - 6" numFmtId="164">
      <sharedItems containsString="0" containsBlank="1" containsNumber="1" minValue="0.1" maxValue="52473"/>
    </cacheField>
    <cacheField name="Jahr - 7" numFmtId="164">
      <sharedItems containsString="0" containsBlank="1" containsNumber="1" minValue="0.1" maxValue="55144"/>
    </cacheField>
    <cacheField name="Jahr - 8" numFmtId="164">
      <sharedItems containsString="0" containsBlank="1" containsNumber="1" minValue="0.1" maxValue="62607"/>
    </cacheField>
    <cacheField name="Jahr - 9" numFmtId="164">
      <sharedItems containsString="0" containsBlank="1" containsNumber="1" minValue="0.1" maxValue="66196"/>
    </cacheField>
    <cacheField name="Jahr - 10" numFmtId="164">
      <sharedItems containsString="0" containsBlank="1" containsNumber="1" minValue="0.1" maxValue="680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Christian Engels" refreshedDate="42069.621339120371" createdVersion="4" refreshedVersion="4" minRefreshableVersion="3" recordCount="65">
  <cacheSource type="worksheet">
    <worksheetSource ref="A3:S68" sheet="Dividende_je_Aktie"/>
  </cacheSource>
  <cacheFields count="19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7">
      <sharedItems containsString="0" containsBlank="1" containsNumber="1" minValue="0.11599999999999999" maxValue="14.4"/>
    </cacheField>
    <cacheField name="Jahr + 1" numFmtId="167">
      <sharedItems containsSemiMixedTypes="0" containsString="0" containsNumber="1" minValue="0.115" maxValue="901"/>
    </cacheField>
    <cacheField name="Jahr + 0" numFmtId="167">
      <sharedItems containsSemiMixedTypes="0" containsString="0" containsNumber="1" minValue="0.113" maxValue="817"/>
    </cacheField>
    <cacheField name="Jahr - 1" numFmtId="167">
      <sharedItems containsSemiMixedTypes="0" containsString="0" containsNumber="1" minValue="0.11" maxValue="728"/>
    </cacheField>
    <cacheField name="Jahr - 2" numFmtId="167">
      <sharedItems containsSemiMixedTypes="0" containsString="0" containsNumber="1" minValue="0.1" maxValue="650"/>
    </cacheField>
    <cacheField name="Jahr - 3" numFmtId="167">
      <sharedItems containsSemiMixedTypes="0" containsString="0" containsNumber="1" minValue="0" maxValue="575"/>
    </cacheField>
    <cacheField name="Jahr - 4" numFmtId="167">
      <sharedItems containsSemiMixedTypes="0" containsString="0" containsNumber="1" minValue="0" maxValue="500"/>
    </cacheField>
    <cacheField name="Jahr - 5" numFmtId="167">
      <sharedItems containsSemiMixedTypes="0" containsString="0" containsNumber="1" minValue="0" maxValue="450"/>
    </cacheField>
    <cacheField name="Jahr - 6" numFmtId="167">
      <sharedItems containsSemiMixedTypes="0" containsString="0" containsNumber="1" minValue="0" maxValue="400"/>
    </cacheField>
    <cacheField name="Jahr - 7" numFmtId="167">
      <sharedItems containsSemiMixedTypes="0" containsString="0" containsNumber="1" minValue="0" maxValue="360"/>
    </cacheField>
    <cacheField name="Jahr - 8" numFmtId="167">
      <sharedItems containsString="0" containsBlank="1" containsNumber="1" minValue="0" maxValue="330"/>
    </cacheField>
    <cacheField name="Jahr - 9" numFmtId="167">
      <sharedItems containsString="0" containsBlank="1" containsNumber="1" minValue="0" maxValue="275"/>
    </cacheField>
    <cacheField name="Jahr - 10" numFmtId="167">
      <sharedItems containsString="0" containsBlank="1" containsNumber="1" minValue="0" maxValue="225"/>
    </cacheField>
    <cacheField name="Jahr - 11" numFmtId="167">
      <sharedItems containsString="0" containsBlank="1" containsNumber="1" minValue="0" maxValue="18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Christian Engels" refreshedDate="42069.630867708336" createdVersion="4" refreshedVersion="4" minRefreshableVersion="3" recordCount="65">
  <cacheSource type="worksheet">
    <worksheetSource ref="A3:R68" sheet="Ausschüttungsquote"/>
  </cacheSource>
  <cacheFields count="18">
    <cacheField name="Wertpapier" numFmtId="0">
      <sharedItems count="65">
        <s v="Syngenta"/>
        <s v="Novartis"/>
        <s v="Roche"/>
        <s v="Nestle"/>
        <s v="Deutsche Bank"/>
        <s v="Beiersdorf"/>
        <s v="Deutsche Post"/>
        <s v="Deutsche Telekom"/>
        <s v="SAP"/>
        <s v="Siemens"/>
        <s v="Allianz"/>
        <s v="Münchener Rück"/>
        <s v="BASF"/>
        <s v="Bayer"/>
        <s v="Banco Santander"/>
        <s v="Telefonica"/>
        <s v="Total"/>
        <s v="Danone"/>
        <s v="BHP Billiton"/>
        <s v="British American Tobacco"/>
        <s v="Imperial Tobacco"/>
        <s v="HSBC"/>
        <s v="Rio Tinto"/>
        <s v="BP"/>
        <s v="Royal Dutch Shell"/>
        <s v="Vodafone"/>
        <s v="Unilever"/>
        <s v="AT&amp;T"/>
        <s v="Chevron"/>
        <s v="Coca-Cola"/>
        <s v="Colgate-Palmolive"/>
        <s v="Dow Chemical"/>
        <s v="Exxon Mobil"/>
        <s v="General Electric"/>
        <s v="Goldman Sachs"/>
        <s v="IBM"/>
        <s v="JPMorgan Chase"/>
        <s v="Johnson &amp; Johnson"/>
        <s v="Kraft Foods"/>
        <s v="McDonald's"/>
        <s v="Merck &amp; Co."/>
        <s v="Microsoft"/>
        <s v="Mondelez"/>
        <s v="Monsanto"/>
        <s v="Oracle"/>
        <s v="PepsiCo"/>
        <s v="Pfizer"/>
        <s v="Philip Morris"/>
        <s v="Procter &amp; Gamble"/>
        <s v="Verizon Communications"/>
        <s v="Wal-Mart Stores"/>
        <s v="Anheuser-Busch InBev"/>
        <s v="Lindt &amp; Sprüngli"/>
        <s v="Henkel"/>
        <s v="L'Oreal"/>
        <s v="Sanofi"/>
        <s v="Diageo"/>
        <s v="Sabmiller"/>
        <s v="GlaxoSmithKline"/>
        <s v="Reckitt Benckiser"/>
        <s v="Altria"/>
        <s v="AIG"/>
        <s v="Blackrock"/>
        <s v="General Mills"/>
        <s v="Kimberly-Clark"/>
      </sharedItems>
    </cacheField>
    <cacheField name="ISIN" numFmtId="0">
      <sharedItems/>
    </cacheField>
    <cacheField name="Tag" numFmtId="173">
      <sharedItems containsSemiMixedTypes="0" containsString="0" containsNumber="1" containsInteger="1" minValue="30" maxValue="31"/>
    </cacheField>
    <cacheField name="Monat" numFmtId="173">
      <sharedItems containsSemiMixedTypes="0" containsString="0" containsNumber="1" containsInteger="1" minValue="1" maxValue="12"/>
    </cacheField>
    <cacheField name="Jahr" numFmtId="173">
      <sharedItems containsSemiMixedTypes="0" containsString="0" containsNumber="1" containsInteger="1" minValue="2015" maxValue="2015"/>
    </cacheField>
    <cacheField name="Jahr + 2" numFmtId="166">
      <sharedItems containsMixedTypes="1" containsNumber="1" minValue="0.15582524271844658" maxValue="2.0386643233743404"/>
    </cacheField>
    <cacheField name="Jahr + 1" numFmtId="166">
      <sharedItems containsSemiMixedTypes="0" containsString="0" containsNumber="1" minValue="0.13214285714285715" maxValue="3.7216828478964401"/>
    </cacheField>
    <cacheField name="Jahr + 0" numFmtId="166">
      <sharedItems containsSemiMixedTypes="0" containsString="0" containsNumber="1" minValue="0.125" maxValue="1.0974999999999999"/>
    </cacheField>
    <cacheField name="Jahr - 1" numFmtId="166">
      <sharedItems containsSemiMixedTypes="0" containsString="0" containsNumber="1" minValue="9.6153846153846145E-2" maxValue="1.95"/>
    </cacheField>
    <cacheField name="Jahr - 2" numFmtId="166">
      <sharedItems containsSemiMixedTypes="0" containsString="0" containsNumber="1" minValue="3.2626427406199025E-2" maxValue="11.494252873563219"/>
    </cacheField>
    <cacheField name="Jahr - 3" numFmtId="166">
      <sharedItems containsSemiMixedTypes="0" containsString="0" containsNumber="1" minValue="-1.6024844720496894" maxValue="3"/>
    </cacheField>
    <cacheField name="Jahr - 4" numFmtId="166">
      <sharedItems containsSemiMixedTypes="0" containsString="0" containsNumber="1" minValue="0" maxValue="1.5862944162436547"/>
    </cacheField>
    <cacheField name="Jahr - 5" numFmtId="166">
      <sharedItems containsSemiMixedTypes="0" containsString="0" containsNumber="1" minValue="-0.70000000000000007" maxValue="2.03125"/>
    </cacheField>
    <cacheField name="Jahr - 6" numFmtId="166">
      <sharedItems containsSemiMixedTypes="0" containsString="0" containsNumber="1" minValue="0" maxValue="1.875"/>
    </cacheField>
    <cacheField name="Jahr - 7" numFmtId="166">
      <sharedItems containsSemiMixedTypes="0" containsString="0" containsNumber="1" minValue="-0.63985374771480807" maxValue="2.7096774193548385"/>
    </cacheField>
    <cacheField name="Jahr - 8" numFmtId="166">
      <sharedItems containsMixedTypes="1" containsNumber="1" minValue="-0.68" maxValue="1.1304347826086958"/>
    </cacheField>
    <cacheField name="Jahr - 9" numFmtId="166">
      <sharedItems containsMixedTypes="1" containsNumber="1" minValue="-0.21785714285714283" maxValue="0.79999999999999993"/>
    </cacheField>
    <cacheField name="Jahr - 10" numFmtId="166">
      <sharedItems containsMixedTypes="1" containsNumber="1" minValue="-0.36363636363636365" maxValue="3.03571428571428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">
  <r>
    <x v="0"/>
    <s v="CH0011037469"/>
    <n v="14.733371428571427"/>
    <n v="16.765560591133003"/>
    <n v="18.088988764044942"/>
    <n v="22.664181818181813"/>
    <n v="22.519714285714286"/>
    <n v="14.414493110236219"/>
    <n v="16.910863662622763"/>
    <n v="18.718054703135419"/>
    <n v="12.794347469220247"/>
    <n v="17.398738892686257"/>
    <n v="16.291829246935201"/>
    <n v="19.59425196850394"/>
    <n v="17.28247960848287"/>
    <n v="17.28247960848287"/>
    <n v="18.647396210334065"/>
    <n v="7.897689641602379E-2"/>
  </r>
  <r>
    <x v="1"/>
    <s v="CH0012005267"/>
    <n v="17.673781914893617"/>
    <n v="20.723519750519749"/>
    <n v="19.358868749999999"/>
    <n v="18.551647331786544"/>
    <n v="16.958618918918919"/>
    <n v="14.703308483290488"/>
    <n v="15.558990740740743"/>
    <n v="12.801361502347419"/>
    <n v="13.330672086720869"/>
    <n v="15.262069637883009"/>
    <n v="20.517500000000002"/>
    <n v="17.285213815789472"/>
    <n v="19.180190839694657"/>
    <n v="17.285213815789472"/>
    <n v="20.758885141584472"/>
    <n v="0.20096201081538934"/>
  </r>
  <r>
    <x v="2"/>
    <s v="CH0012032048"/>
    <n v="16.738562091503269"/>
    <n v="18.035211267605636"/>
    <n v="20.603053435114504"/>
    <n v="23.052728954671597"/>
    <n v="14.23047177107502"/>
    <n v="14.265232974910393"/>
    <n v="12.477231329690346"/>
    <n v="17.388724035608309"/>
    <n v="18.015521064301552"/>
    <n v="19.120234604105569"/>
    <n v="19.578853046594983"/>
    <n v="21.80110497237569"/>
    <n v="19.508196721311478"/>
    <n v="18.035211267605636"/>
    <n v="19.257650130548306"/>
    <n v="6.7780678851175002E-2"/>
  </r>
  <r>
    <x v="3"/>
    <s v="CH0038863350"/>
    <s v=""/>
    <n v="21.069444444444443"/>
    <n v="22.0392749244713"/>
    <n v="14.446902654867257"/>
    <n v="19.04153354632588"/>
    <n v="16.265060240963855"/>
    <n v="18.496621621621621"/>
    <n v="23.568075117370896"/>
    <n v="14.295532646048109"/>
    <n v="21.311475409836067"/>
    <n v="15.688405797101449"/>
    <n v="16.652542372881356"/>
    <n v="14.583333333333334"/>
    <n v="17.574581997251489"/>
    <n v="22.558552604403321"/>
    <n v="0.28358970972574382"/>
  </r>
  <r>
    <x v="4"/>
    <s v="DE0005140008"/>
    <n v="7.5555555555555554"/>
    <n v="8.1448467966573812"/>
    <n v="10.410416666666666"/>
    <n v="26.469465648854957"/>
    <n v="50.692307692307693"/>
    <n v="117.74"/>
    <n v="9.0930232558139537"/>
    <n v="16.924657534246577"/>
    <n v="4.0100864553314119"/>
    <s v=""/>
    <n v="7.7655172413793103"/>
    <n v="7.0909090909090908"/>
    <n v="9.3985611510791358"/>
    <n v="9.2457922034465447"/>
    <n v="11.182238274818081"/>
    <n v="0.2094407952029993"/>
  </r>
  <r>
    <x v="5"/>
    <s v="DE0005200000"/>
    <n v="23.314540059347177"/>
    <n v="26.365771812080535"/>
    <n v="24.516363636363636"/>
    <n v="31.878787878787879"/>
    <n v="26.557939914163089"/>
    <n v="21.067307692307693"/>
    <n v="22.205882352941174"/>
    <n v="24.961956521739129"/>
    <n v="25.454545454545457"/>
    <n v="24.200913242009133"/>
    <n v="23.169811320754715"/>
    <n v="20.51284023668639"/>
    <n v="19.678137931034485"/>
    <n v="24.200913242009133"/>
    <n v="28.145877904373346"/>
    <n v="0.16300891718070987"/>
  </r>
  <r>
    <x v="6"/>
    <s v="DE0005552004"/>
    <s v=""/>
    <n v="14.867647058823529"/>
    <n v="14.859890109890109"/>
    <n v="15.317919075144509"/>
    <n v="10.000000000000002"/>
    <n v="9"/>
    <n v="13.229166666666666"/>
    <n v="6.4214285714285708"/>
    <n v="22.471698113207545"/>
    <s v=""/>
    <n v="19.860869565217392"/>
    <n v="12.799999999999999"/>
    <n v="8.4924623115577891"/>
    <n v="13.229166666666666"/>
    <n v="16.308887229275577"/>
    <n v="0.23279777481138231"/>
  </r>
  <r>
    <x v="7"/>
    <s v="DE0005557508"/>
    <s v=""/>
    <n v="23.25"/>
    <n v="21.721311475409838"/>
    <n v="23.452830188679243"/>
    <n v="13.642857142857144"/>
    <n v="15.28448275862069"/>
    <n v="14.410447761194028"/>
    <n v="13.025316455696201"/>
    <n v="13.782051282051281"/>
    <n v="19.256410256410255"/>
    <n v="20.057971014492754"/>
    <n v="15.644444444444444"/>
    <n v="15.416666666666664"/>
    <n v="15.530555555555555"/>
    <n v="26.577287761852258"/>
    <n v="0.71129021539381387"/>
  </r>
  <r>
    <x v="8"/>
    <s v="DE0007164600"/>
    <n v="17.048257372654156"/>
    <n v="18.431884057971015"/>
    <n v="18.263322884012538"/>
    <n v="22.740875912408757"/>
    <n v="21.830935251798561"/>
    <n v="17.236286919831223"/>
    <n v="15.425101214574898"/>
    <n v="15.714285714285714"/>
    <n v="17.170068027210885"/>
    <n v="22.92258064516129"/>
    <n v="25.320754716981128"/>
    <n v="25.190789473684209"/>
    <n v="27.375000000000004"/>
    <n v="18.431884057971015"/>
    <n v="19.645069939071483"/>
    <n v="6.5819960525186572E-2"/>
  </r>
  <r>
    <x v="9"/>
    <s v="DE0007236101"/>
    <n v="12.910505836575876"/>
    <n v="13.921678321678321"/>
    <n v="12.224093264248706"/>
    <n v="14.114104595879558"/>
    <n v="15.429423459244532"/>
    <n v="13.515873015873016"/>
    <n v="11.125000000000002"/>
    <n v="14.252252252252251"/>
    <n v="25"/>
    <n v="47.732673267326732"/>
    <n v="17.823834196891191"/>
    <n v="19.662576687116562"/>
    <n v="24.466942148760332"/>
    <n v="14.252252252252251"/>
    <n v="13.319951826575675"/>
    <n v="-6.5414252370480375E-2"/>
  </r>
  <r>
    <x v="10"/>
    <s v="DE0008404005"/>
    <s v=""/>
    <n v="10.616197183098592"/>
    <n v="9.8107142857142851"/>
    <n v="9.5564516129032242"/>
    <n v="8.0306513409961671"/>
    <n v="6.5176366843033504"/>
    <n v="16.228102189781023"/>
    <n v="7.837230215827339"/>
    <n v="7.8947368421052628"/>
    <s v=""/>
    <n v="8.7385657820440414"/>
    <n v="7.6245530393325378"/>
    <n v="8.6832740213523127"/>
    <n v="8.6832740213523127"/>
    <n v="10.74015436374431"/>
    <n v="0.23687843287383248"/>
  </r>
  <r>
    <x v="11"/>
    <s v="DE0008430026"/>
    <n v="10.886627906976745"/>
    <n v="10.886627906976745"/>
    <n v="9.6366279069767451"/>
    <n v="8.7994505494505493"/>
    <n v="7.3513513513513518"/>
    <n v="5.2714126807563959"/>
    <n v="28.794416243654823"/>
    <n v="8.320826952526799"/>
    <n v="8.5714285714285712"/>
    <n v="17.77272727272727"/>
    <n v="7.2860335195530723"/>
    <n v="7.5648148148148149"/>
    <n v="7.7307692307692317"/>
    <n v="8.5714285714285712"/>
    <n v="10.886627906976745"/>
    <n v="0.27010658914728691"/>
  </r>
  <r>
    <x v="12"/>
    <s v="DE000BASF111"/>
    <s v=""/>
    <n v="15.299474605954465"/>
    <n v="13.438461538461537"/>
    <n v="13.8375"/>
    <n v="13.500948766603418"/>
    <n v="10.148775894538607"/>
    <n v="8.8707280832095101"/>
    <n v="8.762096774193548"/>
    <n v="18.006493506493506"/>
    <n v="16.199680511182109"/>
    <n v="8.8762019230769216"/>
    <n v="10.142633228840124"/>
    <n v="9.2334494773519165"/>
    <n v="11.793618716500072"/>
    <n v="16.507676560900716"/>
    <n v="0.3997125867572231"/>
  </r>
  <r>
    <x v="13"/>
    <s v="DE000BAY0017"/>
    <s v=""/>
    <n v="21.099683544303797"/>
    <n v="21.20075046904315"/>
    <n v="24.625603864734302"/>
    <n v="18.624352331606218"/>
    <n v="16.689189189189189"/>
    <n v="18.49498327759197"/>
    <n v="35.64331210191083"/>
    <n v="24.441176470588236"/>
    <n v="28.166666666666664"/>
    <n v="10.7"/>
    <n v="15.896396396396394"/>
    <n v="11.388127853881279"/>
    <n v="19.862017937955009"/>
    <n v="24.206943498978895"/>
    <n v="0.21875549476375289"/>
  </r>
  <r>
    <x v="14"/>
    <s v="ES0113900J37"/>
    <n v="9.8515151515151516"/>
    <n v="10.659016393442624"/>
    <n v="12.72"/>
    <n v="13.554166666666667"/>
    <n v="15.249999999999998"/>
    <n v="26.681818181818183"/>
    <n v="12.948333333333334"/>
    <n v="12.04148936170213"/>
    <n v="6.3605769230769234"/>
    <n v="11.167768595041322"/>
    <n v="9.1624113475177307"/>
    <n v="8.4190082644628088"/>
    <n v="8.3420000000000005"/>
    <n v="11.167768595041322"/>
    <n v="11.593462109955423"/>
    <n v="3.8118045811149415E-2"/>
  </r>
  <r>
    <x v="15"/>
    <s v="ES0178430E18"/>
    <s v=""/>
    <n v="13.744999999999999"/>
    <n v="13.098901098901099"/>
    <n v="19.401639344262296"/>
    <n v="10.089108910891088"/>
    <n v="15.385057471264368"/>
    <n v="14.137500000000001"/>
    <n v="8.6755555555555546"/>
    <n v="9.2690058479532169"/>
    <n v="13.631901840490798"/>
    <n v="8.620320855614974"/>
    <n v="9.7769230769230777"/>
    <n v="15.23076923076923"/>
    <n v="13.365401469695948"/>
    <n v="14.83940620782726"/>
    <n v="0.11028510751984499"/>
  </r>
  <r>
    <x v="16"/>
    <s v="FR0000120271"/>
    <n v="9.4186507936507926"/>
    <n v="11.302380952380952"/>
    <n v="13.67202572347267"/>
    <n v="27.152439024390247"/>
    <n v="10.486559139784946"/>
    <n v="8.3686440677966107"/>
    <n v="7.2886029411764701"/>
    <n v="9.5552016985138017"/>
    <n v="10.293650793650793"/>
    <n v="12.065817409766455"/>
    <n v="9.4224137931034484"/>
    <n v="10.422396856581532"/>
    <n v="7.7259615384615374"/>
    <n v="10.293650793650793"/>
    <n v="14.355243815363938"/>
    <n v="0.39457264513173196"/>
  </r>
  <r>
    <x v="17"/>
    <s v="FR0000120644"/>
    <s v=""/>
    <n v="19.80952380952381"/>
    <n v="18.972125435540072"/>
    <n v="18.820143884892087"/>
    <n v="20.621900826446282"/>
    <n v="17.534296028880867"/>
    <n v="16.974729241877256"/>
    <n v="14.088815789473683"/>
    <n v="16.801556420233464"/>
    <n v="22.408759124087588"/>
    <n v="31.366120218579233"/>
    <n v="15.929602888086643"/>
    <n v="11.556122448979593"/>
    <n v="18.177219956886475"/>
    <n v="21.36579798364086"/>
    <n v="0.17541615463295224"/>
  </r>
  <r>
    <x v="18"/>
    <s v="GB0000566504"/>
    <n v="11.739034146341465"/>
    <n v="14.854950617283951"/>
    <n v="20.899833116883119"/>
    <n v="9.8750934362934366"/>
    <n v="13.900888235294117"/>
    <n v="13.663940277777778"/>
    <n v="6.1382846604215464"/>
    <n v="9.8417385964912292"/>
    <n v="36.425142857142859"/>
    <n v="10.151549090909091"/>
    <n v="8.4707895196506549"/>
    <n v="7.4168046511627912"/>
    <n v="8.6972160000000009"/>
    <n v="10.151549090909091"/>
    <n v="15.090940635451503"/>
    <n v="0.4865653015425726"/>
  </r>
  <r>
    <x v="19"/>
    <s v="GB0002875804"/>
    <s v=""/>
    <n v="16.77801724137931"/>
    <n v="16.826923076923077"/>
    <n v="16.520408163265309"/>
    <n v="15.224390243902441"/>
    <n v="15.51015228426396"/>
    <n v="15.791666666666668"/>
    <n v="14.003472222222221"/>
    <n v="13.235294117647058"/>
    <n v="15.97560975609756"/>
    <n v="13.740384615384615"/>
    <s v=""/>
    <s v=""/>
    <n v="15.650909475465314"/>
    <n v="18.332025117739402"/>
    <n v="0.17130733817590982"/>
  </r>
  <r>
    <x v="20"/>
    <s v="GB0004544929"/>
    <n v="16.182266009852217"/>
    <n v="18.351955307262571"/>
    <n v="15.670588235294119"/>
    <n v="15.452702702702704"/>
    <n v="23.875000000000004"/>
    <n v="31.970588235294112"/>
    <n v="10.717514124293784"/>
    <n v="12.216216216216216"/>
    <n v="27.646153846153844"/>
    <n v="44.82"/>
    <n v="15.344827586206899"/>
    <s v=""/>
    <s v=""/>
    <n v="16.182266009852217"/>
    <n v="18.890166762507189"/>
    <n v="0.16733755031627373"/>
  </r>
  <r>
    <x v="21"/>
    <s v="GB0005405286"/>
    <s v=""/>
    <n v="8.8850571428571445"/>
    <n v="10.532837333333335"/>
    <n v="15.90912"/>
    <n v="12.524446071428573"/>
    <n v="10.316695067567567"/>
    <n v="11.158852307692307"/>
    <n v="15.91452888888889"/>
    <n v="23.158743708823526"/>
    <n v="29.068102800000005"/>
    <n v="9.1474850233128837"/>
    <n v="9.4466844258992815"/>
    <n v="10.220166488888889"/>
    <n v="10.84584482051282"/>
    <n v="9.5220174969623326"/>
    <n v="-0.1220584791188164"/>
  </r>
  <r>
    <x v="22"/>
    <s v="GB0007188757"/>
    <n v="8.0907815275310853"/>
    <n v="9.7123880597014924"/>
    <n v="11.711278195488722"/>
    <n v="16.097502564102566"/>
    <n v="28.988591116751273"/>
    <s v=""/>
    <n v="23.169355629139076"/>
    <n v="7.5485867768595041"/>
    <n v="6.5094150698181812"/>
    <n v="37.239617335897435"/>
    <n v="7.7682762720848046"/>
    <n v="6.7882031741007207"/>
    <n v="6.379284793700787"/>
    <n v="8.9015847936162888"/>
    <n v="11.065791213982052"/>
    <n v="0.2431259680768092"/>
  </r>
  <r>
    <x v="23"/>
    <s v="GB0007980591"/>
    <n v="9.8666800000000006"/>
    <n v="11.706230508474578"/>
    <n v="16.414707692307694"/>
    <n v="40.439822999999997"/>
    <n v="5.6166848780487815"/>
    <n v="11.932322500000001"/>
    <n v="5.4184461194029847"/>
    <s v=""/>
    <n v="8.6927477272727263"/>
    <n v="10.893736607142857"/>
    <n v="10.289615740740739"/>
    <n v="9.7722495412844044"/>
    <n v="9.3745538461538462"/>
    <n v="10.078147870370369"/>
    <n v="16.208626857887875"/>
    <n v="0.60829420905214526"/>
  </r>
  <r>
    <x v="24"/>
    <s v="GB00B03MLX29"/>
    <n v="8.4740711382113822"/>
    <n v="9.5624839449541295"/>
    <n v="12.03906474820144"/>
    <n v="14.997688865546218"/>
    <n v="13.172322115384615"/>
    <n v="8.6063313679245272"/>
    <n v="6.6636651911468805"/>
    <n v="9.2209573170731716"/>
    <n v="13.034007352941174"/>
    <n v="9.9045774647887335"/>
    <n v="7.0580424849699392"/>
    <n v="7.7235574683544304"/>
    <n v="7.6314027777777786"/>
    <n v="9.2209573170731716"/>
    <n v="10.901037234300103"/>
    <n v="0.18220233100050898"/>
  </r>
  <r>
    <x v="25"/>
    <s v="GB00BH4HKS39"/>
    <n v="39.762741652021091"/>
    <n v="73.220064724919098"/>
    <n v="11.297435897435896"/>
    <n v="4.4748201438848927"/>
    <n v="197.93103448275863"/>
    <n v="12.607142857142856"/>
    <n v="10.133333333333335"/>
    <n v="7.671875"/>
    <n v="25.15"/>
    <n v="10.423076923076923"/>
    <s v=""/>
    <s v=""/>
    <s v=""/>
    <n v="11.952289377289375"/>
    <n v="53.492266771746635"/>
    <n v="3.4754829040022779"/>
  </r>
  <r>
    <x v="26"/>
    <s v="NL0000009355"/>
    <n v="19.58578431372549"/>
    <n v="21.252659574468087"/>
    <n v="18.651428571428571"/>
    <n v="16.354748603351954"/>
    <n v="17.370481927710845"/>
    <n v="17.253246753246753"/>
    <n v="15.958904109589042"/>
    <n v="15.582191780821919"/>
    <n v="14.820512820512821"/>
    <n v="14.537572254335259"/>
    <n v="15.80152671755725"/>
    <n v="12.051875000000001"/>
    <n v="13.154400000000001"/>
    <n v="15.958904109589042"/>
    <n v="22.529250528624008"/>
    <n v="0.41170411037729826"/>
  </r>
  <r>
    <x v="27"/>
    <s v="US00206R1023"/>
    <n v="12.186379928315413"/>
    <n v="12.878787878787879"/>
    <n v="13.121093750000002"/>
    <n v="29.546218487394956"/>
    <n v="9.9439528023598811"/>
    <n v="12.342857142857142"/>
    <n v="14.913705583756345"/>
    <n v="7.3957783641160955"/>
    <n v="13.443396226415093"/>
    <n v="19.24074074074074"/>
    <n v="18.427835051546392"/>
    <n v="12.957671957671957"/>
    <n v="18.147887323943664"/>
    <n v="13.121093750000002"/>
    <n v="13.206732844195079"/>
    <n v="6.5268258749449082E-3"/>
  </r>
  <r>
    <x v="28"/>
    <s v="US1667641005"/>
    <n v="10.841614906832298"/>
    <n v="14.982832618025752"/>
    <n v="28.045000000000002"/>
    <n v="12.318540433925047"/>
    <n v="9.7511271415689809"/>
    <n v="7.9879879879879878"/>
    <n v="6.7894345238095237"/>
    <n v="8.1213080168776361"/>
    <n v="14.116412213740457"/>
    <n v="7.997429305912596"/>
    <n v="8.4082098061573536"/>
    <n v="7.2858974358974358"/>
    <n v="8.0290519877675841"/>
    <n v="8.4082098061573536"/>
    <n v="23.068987670939517"/>
    <n v="1.7436265510461024"/>
  </r>
  <r>
    <x v="29"/>
    <s v="US1912161007"/>
    <n v="18.197424892703861"/>
    <n v="19.629629629629626"/>
    <n v="21.00497512437811"/>
    <n v="25.818750000000001"/>
    <n v="19.078947368421055"/>
    <n v="17.758883248730964"/>
    <n v="17.775675675675675"/>
    <n v="17.701863354037265"/>
    <n v="15.397959183673471"/>
    <n v="20.32119205298013"/>
    <n v="18.759689922480618"/>
    <n v="18.662037037037038"/>
    <n v="20.411764705882351"/>
    <n v="18.759689922480618"/>
    <n v="20.814072407445288"/>
    <n v="0.10951047130596803"/>
  </r>
  <r>
    <x v="30"/>
    <s v="US1941621039"/>
    <n v="19.849999999999998"/>
    <n v="22.192546583850927"/>
    <n v="23.858620689655172"/>
    <n v="27.631355932203387"/>
    <n v="21.962184873949582"/>
    <n v="17.905038759689923"/>
    <n v="16.26923076923077"/>
    <n v="19.104651162790699"/>
    <n v="15.648401826484021"/>
    <n v="21.300546448087431"/>
    <n v="20.412499999999998"/>
    <n v="22.471544715447155"/>
    <n v="15.163934426229508"/>
    <n v="20.412499999999998"/>
    <n v="24.160030052592038"/>
    <n v="0.18358995971057146"/>
  </r>
  <r>
    <x v="31"/>
    <s v="US2605431038"/>
    <n v="11.396270396270396"/>
    <n v="13.107238605898123"/>
    <n v="15.152823920265782"/>
    <n v="15.470383275261323"/>
    <n v="8.7851630434782599"/>
    <n v="41.085714285714289"/>
    <n v="16.653658536585368"/>
    <n v="16.063953488372093"/>
    <n v="47.15625"/>
    <n v="63.580645161290327"/>
    <n v="13.361204013377927"/>
    <n v="11.560209424083769"/>
    <n v="7.9437229437229444"/>
    <n v="15.152823920265782"/>
    <n v="15.570063694267516"/>
    <n v="2.7535446606998804E-2"/>
  </r>
  <r>
    <x v="32"/>
    <s v="US30231G1022"/>
    <n v="12.985029940119761"/>
    <n v="15.461675579322636"/>
    <n v="25.054200542005422"/>
    <n v="13.315789473684212"/>
    <n v="11.743554952510175"/>
    <n v="8.7381443298969081"/>
    <n v="8.6840855106888366"/>
    <n v="10.963022508038586"/>
    <n v="20.057788944723619"/>
    <n v="10.781357882623706"/>
    <n v="10.575549450549449"/>
    <n v="8.4848942598187307"/>
    <n v="8.977232924693519"/>
    <n v="10.963022508038586"/>
    <n v="21.488026424442605"/>
    <n v="0.96004581844893666"/>
  </r>
  <r>
    <x v="33"/>
    <s v="US3696041033"/>
    <n v="14.032608695652174"/>
    <n v="14.924855491329479"/>
    <n v="15.793749999999999"/>
    <n v="18.686666666666667"/>
    <n v="16.527559055118108"/>
    <n v="13.883720930232558"/>
    <n v="14.869918699186991"/>
    <n v="14.273584905660377"/>
    <n v="16.03960396039604"/>
    <n v="21.552325581395348"/>
    <n v="17.208294930875574"/>
    <n v="17.524999999999999"/>
    <n v="23.7012987012987"/>
    <n v="16.03960396039604"/>
    <n v="15.904183420309693"/>
    <n v="-8.4428855239019329E-3"/>
  </r>
  <r>
    <x v="34"/>
    <s v="US38141G1040"/>
    <n v="9.227184466019418"/>
    <n v="10.057142857142859"/>
    <n v="11.139655172413795"/>
    <n v="10.384299941417691"/>
    <n v="8.2509702457956013"/>
    <n v="6.3998584571832984"/>
    <n v="37.286031042128606"/>
    <n v="12.8103186646434"/>
    <n v="3.7080885675553552"/>
    <n v="48.109619686800897"/>
    <n v="8.0837040032349368"/>
    <n v="6.5200609446419495"/>
    <n v="9.3595004460303297"/>
    <n v="9.3595004460303297"/>
    <n v="10.756708323508606"/>
    <n v="0.14928231325325458"/>
  </r>
  <r>
    <x v="35"/>
    <s v="US4592001014"/>
    <n v="8.9544444444444444"/>
    <n v="10.266242038216561"/>
    <n v="10.767785234899328"/>
    <n v="12.031430404105196"/>
    <n v="12.821285140562249"/>
    <n v="12.796102992345164"/>
    <n v="11.237366003062785"/>
    <n v="11.362847222222223"/>
    <n v="8.4075924075924071"/>
    <n v="12.105263157894736"/>
    <n v="13.555710306406686"/>
    <n v="13.453355155482814"/>
    <n v="20.200819672131146"/>
    <n v="12.031430404105196"/>
    <n v="10.713589364844903"/>
    <n v="-0.10953319721740129"/>
  </r>
  <r>
    <x v="36"/>
    <s v="US46625H1005"/>
    <n v="8.493150684931507"/>
    <n v="9.6273291925465827"/>
    <n v="10.883478260869564"/>
    <n v="11.054820415879016"/>
    <n v="10.107839080459771"/>
    <n v="6.3942307692307692"/>
    <n v="9.46875"/>
    <n v="10.522727272727273"/>
    <n v="13.95132743362832"/>
    <n v="31.861313868613134"/>
    <n v="11.038812785388128"/>
    <n v="9.824257425742573"/>
    <n v="16.390756302521009"/>
    <n v="10.522727272727273"/>
    <n v="10.553939995744379"/>
    <n v="2.9662198979538701E-3"/>
  </r>
  <r>
    <x v="37"/>
    <s v="US4781601046"/>
    <n v="14.043835616438356"/>
    <n v="15.723926380368098"/>
    <n v="17.199013157894736"/>
    <n v="16.061403508771928"/>
    <n v="12.341549295774648"/>
    <n v="14.770270270270268"/>
    <n v="13.867713004484305"/>
    <n v="13.474895397489538"/>
    <n v="13.597727272727271"/>
    <n v="14.595185995623632"/>
    <n v="18.203856749311296"/>
    <n v="16.112600536193028"/>
    <n v="18.329479768786129"/>
    <n v="14.770270270270268"/>
    <n v="16.644358257418595"/>
    <n v="0.12688244377765434"/>
  </r>
  <r>
    <x v="38"/>
    <s v="US50076Q1067"/>
    <n v="16.781914893617024"/>
    <n v="18.08022922636103"/>
    <n v="19.103658536585368"/>
    <n v="30.982758620689655"/>
    <n v="16.06713780918728"/>
    <s v=""/>
    <s v=""/>
    <s v=""/>
    <s v=""/>
    <s v=""/>
    <s v=""/>
    <s v=""/>
    <s v=""/>
    <n v="18.08022922636103"/>
    <n v="19.017958056009046"/>
    <n v="5.186487504709314E-2"/>
  </r>
  <r>
    <x v="39"/>
    <s v="US5801351017"/>
    <n v="16.274220032840724"/>
    <n v="18.31977818853974"/>
    <n v="18.481262327416172"/>
    <n v="20.130705394190869"/>
    <n v="15.893693693693693"/>
    <n v="18.718283582089551"/>
    <n v="14.565464895635676"/>
    <n v="13.633187772925764"/>
    <n v="15.131386861313867"/>
    <n v="15.667553191489361"/>
    <n v="13.454545454545455"/>
    <n v="11.915194346289752"/>
    <n v="15.715686274509805"/>
    <n v="15.715686274509805"/>
    <n v="19.314458940074701"/>
    <n v="0.22899239668597593"/>
  </r>
  <r>
    <x v="40"/>
    <s v="US58933Y1055"/>
    <n v="18.118749999999999"/>
    <n v="18.118749999999999"/>
    <n v="25.93150684931507"/>
    <n v="12.297297297297296"/>
    <n v="27.85034013605442"/>
    <n v="18.850000000000001"/>
    <n v="17.841584158415841"/>
    <n v="10.684210526315789"/>
    <n v="5.3805309734513269"/>
    <n v="15.964285714285714"/>
    <n v="29.255033557046982"/>
    <n v="15.669950738916256"/>
    <n v="15.304761904761904"/>
    <n v="17.841584158415841"/>
    <n v="24.439786897722612"/>
    <n v="0.36982157417868144"/>
  </r>
  <r>
    <x v="41"/>
    <s v="US5949181045"/>
    <n v="12.984939759036145"/>
    <n v="14.663265306122449"/>
    <n v="17.090163934426229"/>
    <n v="13.134980988593156"/>
    <n v="11.456928838951312"/>
    <n v="9.5238095238095237"/>
    <n v="8.5539033457249083"/>
    <n v="11.319047619047618"/>
    <n v="16.981481481481481"/>
    <n v="15.759358288770052"/>
    <n v="16.408450704225352"/>
    <n v="20.7"/>
    <n v="25.499999999999996"/>
    <n v="14.663265306122449"/>
    <n v="15.497902935889757"/>
    <n v="5.6920311563810833E-2"/>
  </r>
  <r>
    <x v="42"/>
    <s v="US6092071058"/>
    <n v="16.372197309417039"/>
    <n v="18.627551020408163"/>
    <n v="22.015151515151519"/>
    <n v="27.578124999999996"/>
    <n v="10"/>
    <n v="21.09186046511628"/>
    <n v="5.1319587628865975"/>
    <n v="19.95"/>
    <n v="2.1789473684210527"/>
    <s v=""/>
    <s v=""/>
    <s v=""/>
    <s v=""/>
    <n v="18.627551020408163"/>
    <n v="21.401286330700966"/>
    <n v="0.14890499063746621"/>
  </r>
  <r>
    <x v="43"/>
    <s v="US61166W1018"/>
    <n v="14.527405602923261"/>
    <n v="17.335755813953487"/>
    <n v="19.535472972972975"/>
    <n v="18.75287356321839"/>
    <n v="18.93695652173913"/>
    <n v="18.187335092348288"/>
    <n v="17.787162162162161"/>
    <n v="36.62882096069869"/>
    <n v="26.693925233644858"/>
    <n v="19.265193370165743"/>
    <n v="26.491620111731844"/>
    <n v="25.48"/>
    <n v="38.936170212765958"/>
    <n v="19.265193370165743"/>
    <n v="18.597193347193347"/>
    <n v="-3.4673932938917074E-2"/>
  </r>
  <r>
    <x v="44"/>
    <s v="US68389X1054"/>
    <n v="14.797297297297296"/>
    <n v="16.222222222222221"/>
    <n v="17.581589958158997"/>
    <n v="14.193277310924371"/>
    <n v="11.712389380530974"/>
    <n v="17.459183673469386"/>
    <n v="13.514970059880241"/>
    <n v="16.190082644628099"/>
    <n v="20.954128440366972"/>
    <n v="18.283018867924525"/>
    <n v="17.555555555555554"/>
    <n v="20"/>
    <n v="20.727272727272727"/>
    <n v="17.459183673469386"/>
    <n v="16.67424522814995"/>
    <n v="-4.4958484886794214E-2"/>
  </r>
  <r>
    <x v="45"/>
    <s v="US7134481081"/>
    <n v="17.710382513661202"/>
    <n v="19.215415019762847"/>
    <n v="20.076433121019107"/>
    <n v="19.423887587822016"/>
    <n v="15.840277777777779"/>
    <n v="16.926020408163264"/>
    <n v="16.210918114143919"/>
    <n v="15.549872122762148"/>
    <n v="14.527851458885943"/>
    <n v="23.644859813084114"/>
    <n v="18.375366568914956"/>
    <n v="17.766467065868266"/>
    <n v="21.84100418410042"/>
    <n v="17.766467065868266"/>
    <n v="20.370006110512989"/>
    <n v="0.14654230551252745"/>
  </r>
  <r>
    <x v="46"/>
    <s v="US7170811035"/>
    <n v="17.497461928934008"/>
    <n v="18.433155080213901"/>
    <n v="17.698863636363637"/>
    <n v="21.570422535211268"/>
    <n v="15.199575757575758"/>
    <n v="11.154639175257733"/>
    <n v="13.78740157480315"/>
    <n v="17.833333333333336"/>
    <n v="14.398373983739837"/>
    <n v="18.941666666666666"/>
    <n v="22.196581196581196"/>
    <n v="15.342105263157896"/>
    <n v="24.669724770642201"/>
    <n v="17.698863636363637"/>
    <n v="19.366679672259068"/>
    <n v="9.4232944564236254E-2"/>
  </r>
  <r>
    <x v="47"/>
    <s v="US7181721090"/>
    <n v="16.341999999999999"/>
    <n v="17.647948164146868"/>
    <n v="18.553530751708429"/>
    <n v="18.304621848739497"/>
    <n v="15.901140684410647"/>
    <n v="15.179883945841393"/>
    <n v="12.068041237113404"/>
    <n v="12.293367346938775"/>
    <n v="13.429012345679011"/>
    <s v=""/>
    <s v=""/>
    <s v=""/>
    <s v=""/>
    <n v="15.901140684410647"/>
    <n v="18.430827067669174"/>
    <n v="0.15908835934887433"/>
  </r>
  <r>
    <x v="48"/>
    <s v="US7427181091"/>
    <n v="17.854430379746834"/>
    <n v="19.63573085846868"/>
    <n v="21.24054054054054"/>
    <n v="19.199501246882793"/>
    <n v="15.867875647668395"/>
    <n v="17.368852459016392"/>
    <n v="15.262086513994909"/>
    <n v="14.475920679886686"/>
    <n v="17.938053097345133"/>
    <n v="17.997058823529411"/>
    <n v="18.63486842105263"/>
    <n v="19.981060606060606"/>
    <n v="20.466165413533833"/>
    <n v="17.997058823529411"/>
    <n v="20.557062467106594"/>
    <n v="0.14224566739928779"/>
  </r>
  <r>
    <x v="49"/>
    <s v="US92343V1044"/>
    <n v="12.10891089108911"/>
    <n v="12.479591836734695"/>
    <n v="12.609164420485175"/>
    <n v="20.305785123966942"/>
    <n v="10.817500000000001"/>
    <n v="17.910714285714281"/>
    <n v="16.641860465116281"/>
    <n v="15.059090909090909"/>
    <n v="14.125"/>
    <n v="19.331858407079647"/>
    <n v="19.631578947368421"/>
    <n v="14.009302325581396"/>
    <n v="15.286792452830188"/>
    <n v="15.059090909090909"/>
    <n v="13.052584769316287"/>
    <n v="-0.13324218253861053"/>
  </r>
  <r>
    <x v="50"/>
    <s v="US9311421039"/>
    <n v="15.166969147005444"/>
    <n v="16.405405405405407"/>
    <n v="14.788118811881191"/>
    <n v="14.334016393442624"/>
    <n v="12.223107569721117"/>
    <n v="12.40486725663717"/>
    <n v="11.953020134228188"/>
    <n v="12.735135135135133"/>
    <n v="14.976401179941004"/>
    <n v="15.230031948881789"/>
    <n v="17.014760147601475"/>
    <n v="19.552238805970148"/>
    <n v="22.344398340248961"/>
    <n v="14.976401179941004"/>
    <n v="16.033895595171476"/>
    <n v="7.0610716321278355E-2"/>
  </r>
  <r>
    <x v="51"/>
    <s v="z_BE0003793107"/>
    <s v=""/>
    <n v="21.037522988505749"/>
    <n v="20.316744186046513"/>
    <n v="19.569219485294116"/>
    <n v="17.653399185336045"/>
    <n v="13.780105955056179"/>
    <n v="15.790016528925618"/>
    <n v="20.867437200000001"/>
    <n v="8.1076199999999989"/>
    <s v=""/>
    <s v=""/>
    <s v=""/>
    <s v=""/>
    <n v="18.611309335315081"/>
    <n v="22.55497354393858"/>
    <n v="0.21189611851436863"/>
  </r>
  <r>
    <x v="52"/>
    <s v="z_CH0010570759"/>
    <s v=""/>
    <n v="35.415711009174309"/>
    <n v="36.664528543938424"/>
    <n v="33.356449375866852"/>
    <n v="26.267123287671232"/>
    <n v="26.444818871103621"/>
    <n v="27.922077922077921"/>
    <n v="24.080568720379148"/>
    <n v="26.560112821718182"/>
    <n v="34.885964912280699"/>
    <n v="28.139321723189735"/>
    <n v="23.827616152844115"/>
    <n v="21.674043217912001"/>
    <n v="27.241095371898052"/>
    <n v="38.787297323227477"/>
    <n v="0.42385233756938057"/>
  </r>
  <r>
    <x v="53"/>
    <s v="z_DE0006048432"/>
    <s v=""/>
    <n v="20.961923847695388"/>
    <n v="19.609649122807021"/>
    <n v="20.817283950617284"/>
    <n v="16.948228882833789"/>
    <n v="12.77650429799427"/>
    <n v="16.102076124567471"/>
    <n v="14.120155038759689"/>
    <n v="16.135714285714286"/>
    <n v="20.885869565217391"/>
    <n v="17.364485981308409"/>
    <n v="14.2378391959799"/>
    <n v="12.052711864406779"/>
    <n v="16.541971584274037"/>
    <n v="22.554580575604206"/>
    <n v="0.36347595936183197"/>
  </r>
  <r>
    <x v="54"/>
    <s v="z_FR0000120321"/>
    <s v=""/>
    <n v="25.944881889763781"/>
    <n v="23.490725126475549"/>
    <n v="23.913857677902623"/>
    <n v="20.448343079922029"/>
    <n v="16.435845213849287"/>
    <n v="19.231481481481481"/>
    <n v="19.451371571072322"/>
    <n v="18.216374269005847"/>
    <n v="28.074498567335244"/>
    <n v="22.589285714285715"/>
    <n v="21.073825503355703"/>
    <n v="21.48076923076923"/>
    <n v="21.277297367062467"/>
    <n v="27.431663660330234"/>
    <n v="0.28924567754525099"/>
  </r>
  <r>
    <x v="55"/>
    <s v="z_FR0000120578"/>
    <n v="17.853658536585368"/>
    <n v="18.76923076923077"/>
    <n v="17.195454545454542"/>
    <n v="23.08982035928144"/>
    <n v="25.679856115107917"/>
    <n v="15.173796791443849"/>
    <n v="11.153846153846153"/>
    <n v="13.172248803827753"/>
    <n v="11.265508684863523"/>
    <n v="21.421768707482993"/>
    <n v="17.982005141388175"/>
    <n v="25.084745762711862"/>
    <n v="35"/>
    <n v="17.982005141388175"/>
    <n v="19.736861815004367"/>
    <n v="9.758959914749088E-2"/>
  </r>
  <r>
    <x v="56"/>
    <s v="z_GB0002374006"/>
    <n v="17.953703703703702"/>
    <n v="19.39"/>
    <n v="20.779510022271715"/>
    <n v="21.05263157894737"/>
    <n v="16.585858585858588"/>
    <n v="16.532467532467532"/>
    <n v="13.94736842105263"/>
    <n v="13.204545454545453"/>
    <n v="14.215384615384615"/>
    <n v="17.576271186440678"/>
    <n v="16.536363636363635"/>
    <n v="12.283582089552239"/>
    <n v="16.163043478260867"/>
    <n v="16.536363636363635"/>
    <n v="20.037201612069858"/>
    <n v="0.21170543008668741"/>
  </r>
  <r>
    <x v="57"/>
    <s v="z_GB0004835483"/>
    <n v="22.548894117647059"/>
    <n v="24.46794893617021"/>
    <n v="21.481379310344828"/>
    <n v="25.18941244019139"/>
    <n v="19.695884558823526"/>
    <n v="13.406381628787877"/>
    <n v="19.297121052631578"/>
    <n v="12.18985"/>
    <n v="17.529753599999999"/>
    <n v="16.37469029850746"/>
    <n v="17.942603636363636"/>
    <s v=""/>
    <s v=""/>
    <n v="19.297121052631578"/>
    <n v="24.489659627329189"/>
    <n v="0.26908358819615197"/>
  </r>
  <r>
    <x v="58"/>
    <s v="z_GB0009252882"/>
    <n v="19.443069306930695"/>
    <n v="21.789181692094317"/>
    <n v="16.658595641646489"/>
    <n v="28.271929824561404"/>
    <n v="12.027027027027026"/>
    <n v="15.994565217391303"/>
    <n v="12.038834951456311"/>
    <n v="41.234375"/>
    <n v="11.893518518518519"/>
    <n v="14.534090909090908"/>
    <n v="14.297872340425533"/>
    <n v="15.463157894736842"/>
    <n v="14.902439024390246"/>
    <n v="15.463157894736842"/>
    <n v="19.466157261603595"/>
    <n v="0.25887334230928638"/>
  </r>
  <r>
    <x v="59"/>
    <s v="z_GB00B24CGK77"/>
    <n v="21.181818181818183"/>
    <n v="22.577519379844961"/>
    <n v="21.440329218106996"/>
    <n v="10.563748299319727"/>
    <n v="15.775062761506275"/>
    <n v="12.363356"/>
    <n v="14.456396624472573"/>
    <n v="15.242542056074765"/>
    <n v="12.849835897435897"/>
    <n v="18.272883870967743"/>
    <n v="17.723117187500002"/>
    <s v=""/>
    <s v=""/>
    <n v="15.775062761506275"/>
    <n v="23.7069696455825"/>
    <n v="0.50281301596031502"/>
  </r>
  <r>
    <x v="60"/>
    <s v="z_US02209S1033"/>
    <n v="17.61904761904762"/>
    <n v="18.561872909698995"/>
    <n v="18.047619047619047"/>
    <n v="14.99609375"/>
    <n v="13.911504424778762"/>
    <n v="14.393203883495145"/>
    <n v="15.012195121951221"/>
    <n v="10.497326203208555"/>
    <n v="6.0545454545454547"/>
    <n v="16.2"/>
    <n v="15.202027027027029"/>
    <n v="11.957615894039735"/>
    <n v="13.627049180327869"/>
    <n v="14.99609375"/>
    <n v="19.985995798739619"/>
    <n v="0.33274678939237878"/>
  </r>
  <r>
    <x v="61"/>
    <s v="z_US0268747849"/>
    <s v=""/>
    <n v="9.9303571428571438"/>
    <n v="11.113095238095237"/>
    <n v="9.8173076923076916"/>
    <n v="5.7585644371941269"/>
    <n v="11.372549019607842"/>
    <n v="6.1038135593220337"/>
    <n v="2.5844827586206898"/>
    <s v=""/>
    <s v=""/>
    <n v="30.01255230125523"/>
    <n v="12.729477611940297"/>
    <n v="16.458646616541355"/>
    <n v="10.521726190476191"/>
    <n v="10.816727901448022"/>
    <n v="2.803738717691151E-2"/>
  </r>
  <r>
    <x v="62"/>
    <s v="z_US09247X1019"/>
    <n v="14.119847328244274"/>
    <n v="15.945689655172414"/>
    <n v="17.789054726368157"/>
    <n v="16.440000000000001"/>
    <n v="12.25311203319502"/>
    <n v="12.925308194343728"/>
    <n v="15.406628940986259"/>
    <n v="22.009478672985779"/>
    <n v="21.955810147299509"/>
    <n v="37.508650519031143"/>
    <n v="24.493569131832796"/>
    <n v="20.413988657844989"/>
    <n v="19.315000000000001"/>
    <n v="17.789054726368157"/>
    <n v="17.906339495798317"/>
    <n v="6.5930860989658058E-3"/>
  </r>
  <r>
    <x v="63"/>
    <s v="z_US3703341046"/>
    <n v="16.546583850931675"/>
    <n v="17.642384105960264"/>
    <n v="20.269372693726936"/>
    <n v="16.636042402826853"/>
    <n v="13.736559139784948"/>
    <n v="16.923404255319149"/>
    <n v="13.19074074074074"/>
    <n v="11.424107142857142"/>
    <n v="16.631578947368421"/>
    <n v="16.451612903225808"/>
    <n v="16.317610062893081"/>
    <n v="17.068965517241381"/>
    <n v="14.9512987012987"/>
    <n v="16.546583850931675"/>
    <n v="18.080595748692087"/>
    <n v="9.2708677004289086E-2"/>
  </r>
  <r>
    <x v="64"/>
    <s v="z_US4943681035"/>
    <n v="16.408472012102873"/>
    <n v="17.550161812297734"/>
    <n v="20.485815602836883"/>
    <n v="18.958257713248639"/>
    <n v="15.267631103074141"/>
    <n v="16.642533936651585"/>
    <n v="15.799498746867167"/>
    <n v="14.316853932584269"/>
    <n v="11.668141592920355"/>
    <n v="17.163366336633665"/>
    <n v="16.613691931540345"/>
    <n v="18.661538461538463"/>
    <n v="20.064024390243905"/>
    <n v="16.642533936651585"/>
    <n v="18.903703703703702"/>
    <n v="0.1358669163998145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23.1"/>
    <n v="20.3"/>
    <n v="17.8"/>
    <n v="17.600000000000001"/>
    <n v="17.78"/>
    <n v="20.32"/>
    <n v="17.309999999999999"/>
    <n v="14.99"/>
    <n v="14.62"/>
    <n v="14.63"/>
    <n v="11.42"/>
    <n v="6.35"/>
    <n v="6.13"/>
  </r>
  <r>
    <x v="1"/>
    <s v="CH0012005267"/>
    <n v="31"/>
    <n v="12"/>
    <n v="2015"/>
    <n v="5.64"/>
    <n v="4.8099999999999996"/>
    <n v="4.8"/>
    <n v="4.3099999999999996"/>
    <n v="3.7"/>
    <n v="3.89"/>
    <n v="3.78"/>
    <n v="4.26"/>
    <n v="3.69"/>
    <n v="3.59"/>
    <n v="2.81"/>
    <n v="3.04"/>
    <n v="2.62"/>
  </r>
  <r>
    <x v="2"/>
    <s v="CH0012032048"/>
    <n v="31"/>
    <n v="12"/>
    <n v="2015"/>
    <n v="15.3"/>
    <n v="14.2"/>
    <n v="13.1"/>
    <n v="10.81"/>
    <n v="12.93"/>
    <n v="11.16"/>
    <n v="10.98"/>
    <n v="10.11"/>
    <n v="9.02"/>
    <n v="10.23"/>
    <n v="11.16"/>
    <n v="9.0500000000000007"/>
    <n v="6.71"/>
  </r>
  <r>
    <x v="3"/>
    <s v="CH0038863350"/>
    <n v="31"/>
    <n v="12"/>
    <n v="2015"/>
    <m/>
    <n v="3.6"/>
    <n v="3.31"/>
    <n v="4.5199999999999996"/>
    <n v="3.13"/>
    <n v="3.32"/>
    <n v="2.96"/>
    <n v="2.13"/>
    <n v="2.91"/>
    <n v="2.44"/>
    <n v="2.76"/>
    <n v="2.36"/>
    <n v="2.04"/>
  </r>
  <r>
    <x v="4"/>
    <s v="DE0005140008"/>
    <n v="31"/>
    <n v="12"/>
    <n v="2015"/>
    <n v="3.87"/>
    <n v="3.59"/>
    <n v="2.4"/>
    <n v="1.31"/>
    <n v="0.65"/>
    <n v="0.25"/>
    <n v="4.3"/>
    <n v="2.92"/>
    <n v="6.94"/>
    <n v="-7.61"/>
    <n v="13.05"/>
    <n v="11.55"/>
    <n v="6.95"/>
  </r>
  <r>
    <x v="5"/>
    <s v="DE0005200000"/>
    <n v="31"/>
    <n v="12"/>
    <n v="2015"/>
    <n v="3.37"/>
    <n v="2.98"/>
    <n v="2.75"/>
    <n v="2.31"/>
    <n v="2.33"/>
    <n v="2.08"/>
    <n v="1.87"/>
    <n v="1.84"/>
    <n v="1.65"/>
    <n v="2.19"/>
    <n v="2.12"/>
    <n v="1.69"/>
    <n v="1.45"/>
  </r>
  <r>
    <x v="6"/>
    <s v="DE0005552004"/>
    <n v="31"/>
    <n v="12"/>
    <n v="2015"/>
    <m/>
    <n v="2.04"/>
    <n v="1.82"/>
    <n v="1.73"/>
    <n v="1.66"/>
    <n v="1.32"/>
    <n v="0.96"/>
    <n v="2.1"/>
    <n v="0.53"/>
    <n v="-1.4"/>
    <n v="1.1499999999999999"/>
    <n v="1.6"/>
    <n v="1.99"/>
  </r>
  <r>
    <x v="7"/>
    <s v="DE0005557508"/>
    <n v="31"/>
    <n v="12"/>
    <n v="2015"/>
    <m/>
    <n v="0.72"/>
    <n v="0.61"/>
    <n v="0.53"/>
    <n v="0.63"/>
    <n v="0.57999999999999996"/>
    <n v="0.67"/>
    <n v="0.79"/>
    <n v="0.78"/>
    <n v="0.78"/>
    <n v="0.69"/>
    <n v="0.9"/>
    <n v="1.08"/>
  </r>
  <r>
    <x v="8"/>
    <s v="DE0007164600"/>
    <n v="31"/>
    <n v="12"/>
    <n v="2015"/>
    <n v="3.73"/>
    <n v="3.45"/>
    <n v="3.19"/>
    <n v="2.74"/>
    <n v="2.78"/>
    <n v="2.37"/>
    <n v="2.4700000000000002"/>
    <n v="2.1"/>
    <n v="1.47"/>
    <n v="1.55"/>
    <n v="1.59"/>
    <n v="1.52"/>
    <n v="1.2"/>
  </r>
  <r>
    <x v="9"/>
    <s v="DE0007236101"/>
    <n v="30"/>
    <n v="9"/>
    <n v="2015"/>
    <n v="7.71"/>
    <n v="7.15"/>
    <n v="7.72"/>
    <n v="6.31"/>
    <n v="5.03"/>
    <n v="5.04"/>
    <n v="6.96"/>
    <n v="4.4400000000000004"/>
    <n v="2.63"/>
    <n v="2.02"/>
    <n v="3.86"/>
    <n v="3.26"/>
    <n v="2.42"/>
  </r>
  <r>
    <x v="10"/>
    <s v="DE0008404005"/>
    <n v="31"/>
    <n v="12"/>
    <n v="2015"/>
    <m/>
    <n v="14.2"/>
    <n v="14"/>
    <n v="13.64"/>
    <n v="13.05"/>
    <n v="11.34"/>
    <n v="5.48"/>
    <n v="11.12"/>
    <n v="9.5"/>
    <n v="-5.47"/>
    <n v="17.71"/>
    <n v="16.78"/>
    <n v="11.24"/>
  </r>
  <r>
    <x v="11"/>
    <s v="DE0008430026"/>
    <n v="31"/>
    <n v="12"/>
    <n v="2015"/>
    <n v="17.2"/>
    <n v="17.2"/>
    <n v="17.2"/>
    <n v="18.2"/>
    <n v="18.5"/>
    <n v="17.98"/>
    <n v="3.94"/>
    <n v="13.06"/>
    <n v="12.95"/>
    <n v="7.48"/>
    <n v="17.899999999999999"/>
    <n v="15.12"/>
    <n v="11.7"/>
  </r>
  <r>
    <x v="12"/>
    <s v="DE000BASF111"/>
    <n v="31"/>
    <n v="12"/>
    <n v="2015"/>
    <m/>
    <n v="5.71"/>
    <n v="5.2"/>
    <n v="5.6"/>
    <n v="5.27"/>
    <n v="5.31"/>
    <n v="6.73"/>
    <n v="4.96"/>
    <n v="1.54"/>
    <n v="3.13"/>
    <n v="4.16"/>
    <n v="3.19"/>
    <n v="2.87"/>
  </r>
  <r>
    <x v="13"/>
    <s v="DE000BAY0017"/>
    <n v="31"/>
    <n v="12"/>
    <n v="2015"/>
    <m/>
    <n v="6.32"/>
    <n v="5.33"/>
    <n v="4.1399999999999997"/>
    <n v="3.86"/>
    <n v="2.96"/>
    <n v="2.99"/>
    <n v="1.57"/>
    <n v="1.7"/>
    <n v="2.2200000000000002"/>
    <n v="3.8"/>
    <n v="2.2200000000000002"/>
    <n v="2.19"/>
  </r>
  <r>
    <x v="14"/>
    <s v="ES0113900J37"/>
    <n v="31"/>
    <n v="12"/>
    <n v="2015"/>
    <n v="0.66"/>
    <n v="0.61"/>
    <n v="0.55000000000000004"/>
    <n v="0.48"/>
    <n v="0.4"/>
    <n v="0.22"/>
    <n v="0.6"/>
    <n v="0.94"/>
    <n v="1.04"/>
    <n v="1.21"/>
    <n v="1.41"/>
    <n v="1.21"/>
    <n v="1"/>
  </r>
  <r>
    <x v="15"/>
    <s v="ES0178430E18"/>
    <n v="31"/>
    <n v="12"/>
    <n v="2015"/>
    <m/>
    <n v="1"/>
    <n v="0.91"/>
    <n v="0.61"/>
    <n v="1.01"/>
    <n v="0.87"/>
    <n v="1.2"/>
    <n v="2.25"/>
    <n v="1.71"/>
    <n v="1.63"/>
    <n v="1.87"/>
    <n v="1.3"/>
    <n v="0.91"/>
  </r>
  <r>
    <x v="16"/>
    <s v="FR0000120271"/>
    <n v="31"/>
    <n v="12"/>
    <n v="2015"/>
    <n v="5.04"/>
    <n v="4.2"/>
    <n v="3.11"/>
    <n v="1.64"/>
    <n v="3.72"/>
    <n v="4.72"/>
    <n v="5.44"/>
    <n v="4.71"/>
    <n v="3.78"/>
    <n v="4.71"/>
    <n v="5.8"/>
    <n v="5.09"/>
    <n v="5.2"/>
  </r>
  <r>
    <x v="17"/>
    <s v="FR0000120644"/>
    <n v="31"/>
    <n v="12"/>
    <n v="2015"/>
    <m/>
    <n v="3.15"/>
    <n v="2.87"/>
    <n v="2.78"/>
    <n v="2.42"/>
    <n v="2.77"/>
    <n v="2.77"/>
    <n v="3.04"/>
    <n v="2.57"/>
    <n v="2.74"/>
    <n v="1.83"/>
    <n v="2.77"/>
    <n v="2.94"/>
  </r>
  <r>
    <x v="18"/>
    <s v="GB0000566504"/>
    <n v="30"/>
    <n v="6"/>
    <n v="2015"/>
    <n v="2.0499999999999998"/>
    <n v="1.62"/>
    <n v="1.54"/>
    <n v="2.59"/>
    <n v="2.04"/>
    <n v="2.88"/>
    <n v="4.2699999999999996"/>
    <n v="2.2799999999999998"/>
    <n v="1.05"/>
    <n v="2.75"/>
    <n v="2.29"/>
    <n v="1.72"/>
    <n v="1"/>
  </r>
  <r>
    <x v="19"/>
    <s v="GB0002875804"/>
    <n v="31"/>
    <n v="12"/>
    <n v="2015"/>
    <m/>
    <n v="2.3199999999999998"/>
    <n v="2.08"/>
    <n v="1.96"/>
    <n v="2.0499999999999998"/>
    <n v="1.97"/>
    <n v="1.56"/>
    <n v="1.44"/>
    <n v="1.36"/>
    <n v="1.23"/>
    <n v="1.04"/>
    <m/>
    <m/>
  </r>
  <r>
    <x v="20"/>
    <s v="GB0004544929"/>
    <n v="30"/>
    <n v="9"/>
    <n v="2015"/>
    <n v="2.0300000000000002"/>
    <n v="1.79"/>
    <n v="1.7"/>
    <n v="1.48"/>
    <n v="0.96"/>
    <n v="0.68"/>
    <n v="1.77"/>
    <n v="1.48"/>
    <n v="0.65"/>
    <n v="0.5"/>
    <n v="1.1599999999999999"/>
    <m/>
    <m/>
  </r>
  <r>
    <x v="21"/>
    <s v="GB0005405286"/>
    <n v="31"/>
    <n v="12"/>
    <n v="2015"/>
    <m/>
    <n v="0.98"/>
    <n v="0.9"/>
    <n v="0.69"/>
    <n v="0.84"/>
    <n v="0.74"/>
    <n v="0.91"/>
    <n v="0.72"/>
    <n v="0.34"/>
    <n v="0.47"/>
    <n v="1.63"/>
    <n v="1.39"/>
    <n v="1.35"/>
  </r>
  <r>
    <x v="22"/>
    <s v="GB0007188757"/>
    <n v="31"/>
    <n v="12"/>
    <n v="2015"/>
    <n v="5.63"/>
    <n v="4.6900000000000004"/>
    <n v="3.99"/>
    <n v="3.51"/>
    <n v="1.97"/>
    <n v="-1.61"/>
    <n v="3.02"/>
    <n v="7.26"/>
    <n v="2.75"/>
    <n v="2.34"/>
    <n v="5.66"/>
    <n v="5.56"/>
    <n v="3.81"/>
  </r>
  <r>
    <x v="23"/>
    <s v="GB0007980591"/>
    <n v="31"/>
    <n v="12"/>
    <n v="2015"/>
    <n v="0.7"/>
    <n v="0.59"/>
    <n v="0.39"/>
    <n v="0.2"/>
    <n v="1.23"/>
    <n v="0.6"/>
    <n v="1.34"/>
    <n v="-0.2"/>
    <n v="0.88"/>
    <n v="1.1200000000000001"/>
    <n v="1.08"/>
    <n v="1.0900000000000001"/>
    <n v="1.04"/>
  </r>
  <r>
    <x v="24"/>
    <s v="GB00B03MLX29"/>
    <n v="31"/>
    <n v="12"/>
    <n v="2015"/>
    <n v="3.69"/>
    <n v="3.27"/>
    <n v="2.78"/>
    <n v="2.38"/>
    <n v="2.6"/>
    <n v="4.24"/>
    <n v="4.97"/>
    <n v="3.28"/>
    <n v="2.04"/>
    <n v="4.26"/>
    <n v="4.99"/>
    <n v="3.95"/>
    <n v="3.78"/>
  </r>
  <r>
    <x v="25"/>
    <s v="GB00BH4HKS39"/>
    <n v="31"/>
    <n v="3"/>
    <n v="2015"/>
    <n v="5.6900000000000006E-2"/>
    <n v="3.09E-2"/>
    <n v="0.19500000000000001"/>
    <n v="0.41699999999999998"/>
    <n v="8.6999999999999994E-3"/>
    <n v="0.14000000000000001"/>
    <n v="0.15"/>
    <n v="0.16"/>
    <n v="0.06"/>
    <n v="0.13"/>
    <n v="-0.1"/>
    <n v="-0.28000000000000003"/>
    <n v="-0.11"/>
  </r>
  <r>
    <x v="26"/>
    <s v="NL0000009355"/>
    <n v="31"/>
    <n v="12"/>
    <n v="2015"/>
    <n v="2.04"/>
    <n v="1.88"/>
    <n v="1.75"/>
    <n v="1.79"/>
    <n v="1.66"/>
    <n v="1.54"/>
    <n v="1.46"/>
    <n v="1.46"/>
    <n v="1.17"/>
    <n v="1.73"/>
    <n v="1.31"/>
    <n v="1.6"/>
    <n v="1.25"/>
  </r>
  <r>
    <x v="27"/>
    <s v="US00206R1023"/>
    <n v="31"/>
    <n v="12"/>
    <n v="2015"/>
    <n v="2.79"/>
    <n v="2.64"/>
    <n v="2.56"/>
    <n v="1.19"/>
    <n v="3.39"/>
    <n v="2.4500000000000002"/>
    <n v="1.97"/>
    <n v="3.79"/>
    <n v="2.12"/>
    <n v="2.16"/>
    <n v="1.94"/>
    <n v="1.89"/>
    <n v="1.42"/>
  </r>
  <r>
    <x v="28"/>
    <s v="US1667641005"/>
    <n v="31"/>
    <n v="12"/>
    <n v="2015"/>
    <n v="9.66"/>
    <n v="6.99"/>
    <n v="4"/>
    <n v="10.14"/>
    <n v="11.09"/>
    <n v="13.32"/>
    <n v="13.44"/>
    <n v="9.48"/>
    <n v="5.24"/>
    <n v="11.67"/>
    <n v="8.77"/>
    <n v="7.8"/>
    <n v="6.54"/>
  </r>
  <r>
    <x v="29"/>
    <s v="US1912161007"/>
    <n v="31"/>
    <n v="12"/>
    <n v="2015"/>
    <n v="2.33"/>
    <n v="2.16"/>
    <n v="2.0099999999999998"/>
    <n v="1.6"/>
    <n v="1.9"/>
    <n v="1.97"/>
    <n v="1.85"/>
    <n v="1.61"/>
    <n v="1.47"/>
    <n v="1.51"/>
    <n v="1.29"/>
    <n v="1.08"/>
    <n v="1.02"/>
  </r>
  <r>
    <x v="30"/>
    <s v="US1941621039"/>
    <n v="31"/>
    <n v="12"/>
    <n v="2015"/>
    <n v="3.6"/>
    <n v="3.22"/>
    <n v="2.9"/>
    <n v="2.36"/>
    <n v="2.38"/>
    <n v="2.58"/>
    <n v="2.4700000000000002"/>
    <n v="2.15"/>
    <n v="2.19"/>
    <n v="1.83"/>
    <n v="1.6"/>
    <n v="1.23"/>
    <n v="1.22"/>
  </r>
  <r>
    <x v="31"/>
    <s v="US2605431038"/>
    <n v="31"/>
    <n v="12"/>
    <n v="2015"/>
    <n v="4.29"/>
    <n v="3.73"/>
    <n v="3.01"/>
    <n v="2.87"/>
    <n v="3.68"/>
    <n v="0.7"/>
    <n v="2.0499999999999998"/>
    <n v="1.72"/>
    <n v="0.32"/>
    <n v="0.62"/>
    <n v="2.99"/>
    <n v="3.82"/>
    <n v="4.62"/>
  </r>
  <r>
    <x v="32"/>
    <s v="US30231G1022"/>
    <n v="31"/>
    <n v="12"/>
    <n v="2015"/>
    <n v="6.68"/>
    <n v="5.61"/>
    <n v="3.69"/>
    <n v="7.6"/>
    <n v="7.37"/>
    <n v="9.6999999999999993"/>
    <n v="8.42"/>
    <n v="6.22"/>
    <n v="3.98"/>
    <n v="8.69"/>
    <n v="7.28"/>
    <n v="6.62"/>
    <n v="5.71"/>
  </r>
  <r>
    <x v="33"/>
    <s v="US3696041033"/>
    <n v="31"/>
    <n v="12"/>
    <n v="2015"/>
    <n v="1.84"/>
    <n v="1.73"/>
    <n v="1.6"/>
    <n v="1.5"/>
    <n v="1.27"/>
    <n v="1.29"/>
    <n v="1.23"/>
    <n v="1.06"/>
    <n v="1.01"/>
    <n v="1.72"/>
    <n v="2.17"/>
    <n v="2"/>
    <n v="1.54"/>
  </r>
  <r>
    <x v="34"/>
    <s v="US38141G1040"/>
    <n v="31"/>
    <n v="12"/>
    <n v="2015"/>
    <n v="20.6"/>
    <n v="18.899999999999999"/>
    <n v="17.399999999999999"/>
    <n v="17.07"/>
    <n v="15.46"/>
    <n v="14.13"/>
    <n v="4.51"/>
    <n v="13.18"/>
    <n v="22.13"/>
    <n v="4.47"/>
    <n v="24.73"/>
    <n v="19.690000000000001"/>
    <n v="11.21"/>
  </r>
  <r>
    <x v="35"/>
    <s v="US4592001014"/>
    <n v="31"/>
    <n v="12"/>
    <n v="2015"/>
    <n v="18"/>
    <n v="15.7"/>
    <n v="14.9"/>
    <n v="15.59"/>
    <n v="14.94"/>
    <n v="14.37"/>
    <n v="13.06"/>
    <n v="11.52"/>
    <n v="10.01"/>
    <n v="8.93"/>
    <n v="7.18"/>
    <n v="6.11"/>
    <n v="4.88"/>
  </r>
  <r>
    <x v="36"/>
    <s v="US46625H1005"/>
    <n v="31"/>
    <n v="12"/>
    <n v="2015"/>
    <n v="7.3"/>
    <n v="6.44"/>
    <n v="5.75"/>
    <n v="5.29"/>
    <n v="4.3499999999999996"/>
    <n v="5.2"/>
    <n v="4.4800000000000004"/>
    <n v="3.96"/>
    <n v="2.2599999999999998"/>
    <n v="1.37"/>
    <n v="4.38"/>
    <n v="4.04"/>
    <n v="2.38"/>
  </r>
  <r>
    <x v="37"/>
    <s v="US4781601046"/>
    <n v="31"/>
    <n v="12"/>
    <n v="2015"/>
    <n v="7.3"/>
    <n v="6.52"/>
    <n v="6.08"/>
    <n v="5.7"/>
    <n v="5.68"/>
    <n v="4.4400000000000004"/>
    <n v="4.46"/>
    <n v="4.78"/>
    <n v="4.4000000000000004"/>
    <n v="4.57"/>
    <n v="3.63"/>
    <n v="3.73"/>
    <n v="3.46"/>
  </r>
  <r>
    <x v="38"/>
    <s v="US50076Q1067"/>
    <n v="31"/>
    <n v="12"/>
    <n v="2015"/>
    <n v="3.76"/>
    <n v="3.49"/>
    <n v="3.28"/>
    <n v="1.74"/>
    <n v="2.83"/>
    <n v="2.75"/>
    <n v="3"/>
    <n v="3.2"/>
    <n v="3.21"/>
    <n v="2.38"/>
    <m/>
    <m/>
    <m/>
  </r>
  <r>
    <x v="39"/>
    <s v="US5801351017"/>
    <n v="31"/>
    <n v="12"/>
    <n v="2015"/>
    <n v="6.09"/>
    <n v="5.41"/>
    <n v="5.07"/>
    <n v="4.82"/>
    <n v="5.55"/>
    <n v="5.36"/>
    <n v="5.27"/>
    <n v="4.58"/>
    <n v="4.1100000000000003"/>
    <n v="3.76"/>
    <n v="3.3"/>
    <n v="2.83"/>
    <n v="2.04"/>
  </r>
  <r>
    <x v="40"/>
    <s v="US58933Y1055"/>
    <n v="31"/>
    <n v="12"/>
    <n v="2015"/>
    <n v="3.2"/>
    <n v="3.2"/>
    <n v="2.19"/>
    <n v="4.07"/>
    <n v="1.47"/>
    <n v="2"/>
    <n v="2.02"/>
    <n v="3.42"/>
    <n v="5.65"/>
    <n v="3.64"/>
    <n v="1.49"/>
    <n v="2.0299999999999998"/>
    <n v="2.1"/>
  </r>
  <r>
    <x v="41"/>
    <s v="US5949181045"/>
    <n v="30"/>
    <n v="6"/>
    <n v="2015"/>
    <n v="3.32"/>
    <n v="2.94"/>
    <n v="2.44"/>
    <n v="2.63"/>
    <n v="2.67"/>
    <n v="2.73"/>
    <n v="2.69"/>
    <n v="2.1"/>
    <n v="1.62"/>
    <n v="1.87"/>
    <n v="1.42"/>
    <n v="1.2"/>
    <n v="1.1200000000000001"/>
  </r>
  <r>
    <x v="42"/>
    <s v="US6092071058"/>
    <n v="31"/>
    <n v="12"/>
    <n v="2015"/>
    <n v="2.23"/>
    <n v="1.96"/>
    <n v="1.65"/>
    <n v="1.28"/>
    <n v="1.29"/>
    <n v="0.86"/>
    <n v="0.97"/>
    <n v="0.38"/>
    <n v="0.56999999999999995"/>
    <n v="0.09"/>
    <m/>
    <m/>
    <m/>
  </r>
  <r>
    <x v="43"/>
    <s v="US61166W1018"/>
    <n v="31"/>
    <n v="8"/>
    <n v="2015"/>
    <n v="8.2100000000000009"/>
    <n v="6.88"/>
    <n v="5.92"/>
    <n v="5.22"/>
    <n v="4.5999999999999996"/>
    <n v="3.79"/>
    <n v="2.96"/>
    <n v="2.29"/>
    <n v="4.28"/>
    <n v="3.62"/>
    <n v="1.79"/>
    <n v="1.25"/>
    <n v="0.47"/>
  </r>
  <r>
    <x v="44"/>
    <s v="US68389X1054"/>
    <n v="31"/>
    <n v="5"/>
    <n v="2015"/>
    <n v="2.96"/>
    <n v="2.7"/>
    <n v="2.39"/>
    <n v="2.38"/>
    <n v="2.2599999999999998"/>
    <n v="1.96"/>
    <n v="1.67"/>
    <n v="1.21"/>
    <n v="1.0900000000000001"/>
    <n v="1.06"/>
    <n v="0.81"/>
    <n v="0.64"/>
    <n v="0.55000000000000004"/>
  </r>
  <r>
    <x v="45"/>
    <s v="US7134481081"/>
    <n v="31"/>
    <n v="12"/>
    <n v="2015"/>
    <n v="5.49"/>
    <n v="5.0599999999999996"/>
    <n v="4.71"/>
    <n v="4.2699999999999996"/>
    <n v="4.32"/>
    <n v="3.92"/>
    <n v="4.03"/>
    <n v="3.91"/>
    <n v="3.77"/>
    <n v="3.21"/>
    <n v="3.41"/>
    <n v="3.34"/>
    <n v="2.39"/>
  </r>
  <r>
    <x v="46"/>
    <s v="US7170811035"/>
    <n v="31"/>
    <n v="12"/>
    <n v="2015"/>
    <n v="1.97"/>
    <n v="1.87"/>
    <n v="1.76"/>
    <n v="1.42"/>
    <n v="1.65"/>
    <n v="1.94"/>
    <n v="1.27"/>
    <n v="1.02"/>
    <n v="1.23"/>
    <n v="1.2"/>
    <n v="1.17"/>
    <n v="1.52"/>
    <n v="1.0900000000000001"/>
  </r>
  <r>
    <x v="47"/>
    <s v="US7181721090"/>
    <n v="31"/>
    <n v="12"/>
    <n v="2015"/>
    <n v="5"/>
    <n v="4.63"/>
    <n v="4.3899999999999997"/>
    <n v="4.76"/>
    <n v="5.26"/>
    <n v="5.17"/>
    <n v="4.8499999999999996"/>
    <n v="3.92"/>
    <n v="3.24"/>
    <n v="3.31"/>
    <m/>
    <m/>
    <m/>
  </r>
  <r>
    <x v="48"/>
    <s v="US7427181091"/>
    <n v="30"/>
    <n v="6"/>
    <n v="2015"/>
    <n v="4.74"/>
    <n v="4.3099999999999996"/>
    <n v="3.7"/>
    <n v="4.01"/>
    <n v="3.86"/>
    <n v="3.66"/>
    <n v="3.93"/>
    <n v="3.53"/>
    <n v="3.39"/>
    <n v="3.4"/>
    <n v="3.04"/>
    <n v="2.64"/>
    <n v="2.66"/>
  </r>
  <r>
    <x v="49"/>
    <s v="US92343V1044"/>
    <n v="31"/>
    <n v="12"/>
    <n v="2015"/>
    <n v="4.04"/>
    <n v="3.92"/>
    <n v="3.71"/>
    <n v="2.42"/>
    <n v="4"/>
    <n v="2.2400000000000002"/>
    <n v="2.15"/>
    <n v="2.2000000000000002"/>
    <n v="2.4"/>
    <n v="2.2599999999999998"/>
    <n v="1.9"/>
    <n v="2.15"/>
    <n v="2.65"/>
  </r>
  <r>
    <x v="50"/>
    <s v="US9311421039"/>
    <n v="31"/>
    <n v="1"/>
    <n v="2015"/>
    <n v="5.51"/>
    <n v="5.18"/>
    <n v="5.05"/>
    <n v="4.88"/>
    <n v="5.0199999999999996"/>
    <n v="4.5199999999999996"/>
    <n v="4.47"/>
    <n v="3.7"/>
    <n v="3.39"/>
    <n v="3.13"/>
    <n v="2.71"/>
    <n v="2.68"/>
    <n v="2.41"/>
  </r>
  <r>
    <x v="51"/>
    <s v="z_BE0003793107"/>
    <n v="31"/>
    <n v="12"/>
    <n v="2015"/>
    <m/>
    <n v="6.09"/>
    <n v="5.59"/>
    <n v="5.44"/>
    <n v="4.91"/>
    <n v="4.45"/>
    <n v="3.63"/>
    <n v="2.5"/>
    <n v="2.9"/>
    <n v="1.93"/>
    <m/>
    <m/>
    <m/>
  </r>
  <r>
    <x v="52"/>
    <s v="z_CH0010570759"/>
    <n v="31"/>
    <n v="12"/>
    <n v="2015"/>
    <m/>
    <n v="1744"/>
    <n v="1559"/>
    <n v="1442"/>
    <n v="1314"/>
    <n v="1187"/>
    <n v="1078"/>
    <n v="1055"/>
    <n v="850.9"/>
    <n v="1140"/>
    <n v="1091"/>
    <n v="921.2"/>
    <n v="768.2"/>
  </r>
  <r>
    <x v="53"/>
    <s v="z_DE0006048432"/>
    <n v="31"/>
    <n v="12"/>
    <n v="2015"/>
    <m/>
    <n v="4.99"/>
    <n v="4.5599999999999996"/>
    <n v="4.05"/>
    <n v="3.67"/>
    <n v="3.49"/>
    <n v="2.89"/>
    <n v="2.58"/>
    <n v="1.4"/>
    <n v="1.84"/>
    <n v="2.14"/>
    <n v="1.99"/>
    <n v="1.77"/>
  </r>
  <r>
    <x v="54"/>
    <s v="z_FR0000120321"/>
    <n v="31"/>
    <n v="12"/>
    <n v="2015"/>
    <m/>
    <n v="6.35"/>
    <n v="5.93"/>
    <n v="5.34"/>
    <n v="5.13"/>
    <n v="4.91"/>
    <n v="4.32"/>
    <n v="4.01"/>
    <n v="3.42"/>
    <n v="3.49"/>
    <n v="3.36"/>
    <n v="2.98"/>
    <n v="2.6"/>
  </r>
  <r>
    <x v="55"/>
    <s v="z_FR0000120578"/>
    <n v="31"/>
    <n v="12"/>
    <n v="2015"/>
    <n v="4.92"/>
    <n v="4.68"/>
    <n v="4.4000000000000004"/>
    <n v="3.34"/>
    <n v="2.78"/>
    <n v="3.74"/>
    <n v="4.29"/>
    <n v="4.18"/>
    <n v="4.03"/>
    <n v="2.94"/>
    <n v="3.89"/>
    <n v="2.95"/>
    <n v="1.68"/>
  </r>
  <r>
    <x v="56"/>
    <s v="z_GB0002374006"/>
    <n v="30"/>
    <n v="6"/>
    <n v="2015"/>
    <n v="1.08"/>
    <n v="1"/>
    <n v="0.89800000000000002"/>
    <n v="0.89300000000000002"/>
    <n v="0.99"/>
    <n v="0.77"/>
    <n v="0.76"/>
    <n v="0.66"/>
    <n v="0.65"/>
    <n v="0.59"/>
    <n v="0.55000000000000004"/>
    <n v="0.67"/>
    <n v="0.46"/>
  </r>
  <r>
    <x v="57"/>
    <s v="z_GB0004835483"/>
    <n v="31"/>
    <n v="3"/>
    <n v="2015"/>
    <n v="2.5499999999999998"/>
    <n v="2.35"/>
    <n v="2.3199999999999998"/>
    <n v="2.09"/>
    <n v="2.04"/>
    <n v="2.64"/>
    <n v="1.52"/>
    <n v="1.22"/>
    <n v="1.25"/>
    <n v="1.34"/>
    <n v="1.1000000000000001"/>
    <m/>
    <m/>
  </r>
  <r>
    <x v="58"/>
    <s v="z_GB0009252882"/>
    <n v="31"/>
    <n v="12"/>
    <n v="2015"/>
    <n v="0.80799999999999994"/>
    <n v="0.72099999999999997"/>
    <n v="0.82599999999999996"/>
    <n v="0.56999999999999995"/>
    <n v="1.1100000000000001"/>
    <n v="0.92"/>
    <n v="1.03"/>
    <n v="0.32"/>
    <n v="1.08"/>
    <n v="0.88"/>
    <n v="0.94"/>
    <n v="0.95"/>
    <n v="0.82"/>
  </r>
  <r>
    <x v="59"/>
    <s v="z_GB00B24CGK77"/>
    <n v="31"/>
    <n v="12"/>
    <n v="2015"/>
    <n v="2.75"/>
    <n v="2.58"/>
    <n v="2.4300000000000002"/>
    <n v="4.41"/>
    <n v="2.39"/>
    <n v="2.5"/>
    <n v="2.37"/>
    <n v="2.14"/>
    <n v="1.95"/>
    <n v="1.55"/>
    <n v="1.28"/>
    <m/>
    <m/>
  </r>
  <r>
    <x v="60"/>
    <s v="z_US02209S1033"/>
    <n v="31"/>
    <n v="12"/>
    <n v="2015"/>
    <n v="3.15"/>
    <n v="2.99"/>
    <n v="2.73"/>
    <n v="2.56"/>
    <n v="2.2599999999999998"/>
    <n v="2.06"/>
    <n v="1.64"/>
    <n v="1.87"/>
    <n v="1.54"/>
    <n v="1.48"/>
    <n v="1.48"/>
    <n v="1.51"/>
    <n v="1.22"/>
  </r>
  <r>
    <x v="61"/>
    <s v="z_US0268747849"/>
    <n v="31"/>
    <n v="12"/>
    <n v="2015"/>
    <m/>
    <n v="5.6"/>
    <n v="5.04"/>
    <n v="5.2"/>
    <n v="6.13"/>
    <n v="2.04"/>
    <n v="9.44"/>
    <n v="11.6"/>
    <n v="-90.48"/>
    <n v="-756.8"/>
    <n v="47.8"/>
    <n v="107.2"/>
    <n v="79.8"/>
  </r>
  <r>
    <x v="62"/>
    <s v="z_US09247X1019"/>
    <n v="31"/>
    <n v="12"/>
    <n v="2015"/>
    <n v="26.2"/>
    <n v="23.2"/>
    <n v="20.100000000000001"/>
    <n v="19.25"/>
    <n v="16.87"/>
    <n v="13.79"/>
    <n v="12.37"/>
    <n v="10.55"/>
    <n v="6.11"/>
    <n v="5.78"/>
    <n v="6.22"/>
    <n v="5.29"/>
    <n v="4"/>
  </r>
  <r>
    <x v="63"/>
    <s v="z_US3703341046"/>
    <n v="31"/>
    <n v="5"/>
    <n v="2015"/>
    <n v="3.22"/>
    <n v="3.02"/>
    <n v="2.71"/>
    <n v="2.83"/>
    <n v="2.79"/>
    <n v="2.35"/>
    <n v="2.7"/>
    <n v="2.2400000000000002"/>
    <n v="1.9"/>
    <n v="1.86"/>
    <n v="1.59"/>
    <n v="1.45"/>
    <n v="1.54"/>
  </r>
  <r>
    <x v="64"/>
    <s v="z_US4943681035"/>
    <n v="31"/>
    <n v="12"/>
    <n v="2015"/>
    <n v="6.61"/>
    <n v="6.18"/>
    <n v="5.64"/>
    <n v="5.51"/>
    <n v="5.53"/>
    <n v="4.42"/>
    <n v="3.99"/>
    <n v="4.45"/>
    <n v="4.5199999999999996"/>
    <n v="4.04"/>
    <n v="4.09"/>
    <n v="3.25"/>
    <n v="3.2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119"/>
    <n v="109"/>
    <n v="103"/>
    <n v="96.98"/>
    <n v="103.44"/>
    <n v="95.32"/>
    <n v="82.12"/>
    <n v="80.680000000000007"/>
    <n v="75.489999999999995"/>
    <n v="60.72"/>
    <n v="59.74"/>
    <n v="54.48"/>
    <n v="50.78"/>
  </r>
  <r>
    <x v="1"/>
    <s v="CH0012005267"/>
    <n v="31"/>
    <n v="12"/>
    <n v="2015"/>
    <n v="31.1"/>
    <n v="32.4"/>
    <n v="31.6"/>
    <n v="27.7"/>
    <n v="30.64"/>
    <n v="25.53"/>
    <n v="23.98"/>
    <n v="23.96"/>
    <n v="21.76"/>
    <n v="19.02"/>
    <n v="18.04"/>
    <n v="15.06"/>
    <n v="12.04"/>
  </r>
  <r>
    <x v="2"/>
    <s v="CH0012032048"/>
    <n v="31"/>
    <n v="12"/>
    <n v="2015"/>
    <n v="36.799999999999997"/>
    <n v="33"/>
    <n v="28"/>
    <n v="23.1"/>
    <n v="22.37"/>
    <n v="16.8"/>
    <n v="14.02"/>
    <n v="10.98"/>
    <n v="8.5399999999999991"/>
    <m/>
    <m/>
    <m/>
    <m/>
  </r>
  <r>
    <x v="3"/>
    <s v="CH0038863350"/>
    <n v="31"/>
    <n v="12"/>
    <n v="2015"/>
    <m/>
    <n v="21.7"/>
    <n v="19.5"/>
    <n v="22"/>
    <n v="19.399999999999999"/>
    <n v="18.899999999999999"/>
    <n v="17.21"/>
    <n v="17.850000000000001"/>
    <m/>
    <m/>
    <m/>
    <m/>
    <m/>
  </r>
  <r>
    <x v="4"/>
    <s v="DE0005140008"/>
    <n v="31"/>
    <n v="12"/>
    <n v="2015"/>
    <n v="54.3"/>
    <n v="51.8"/>
    <n v="49.4"/>
    <n v="49.3"/>
    <n v="53.67"/>
    <n v="58.1"/>
    <n v="57.44"/>
    <n v="52.55"/>
    <n v="59.02"/>
    <n v="53.78"/>
    <n v="69.84"/>
    <n v="62.52"/>
    <n v="59.21"/>
  </r>
  <r>
    <x v="5"/>
    <s v="DE0005200000"/>
    <n v="31"/>
    <n v="12"/>
    <n v="2015"/>
    <n v="23.1"/>
    <n v="21.6"/>
    <n v="19.600000000000001"/>
    <n v="16"/>
    <n v="13.51"/>
    <n v="13.04"/>
    <n v="11.97"/>
    <n v="11.59"/>
    <n v="10.46"/>
    <n v="9.76"/>
    <n v="8.2100000000000009"/>
    <n v="7.1"/>
    <n v="5.13"/>
  </r>
  <r>
    <x v="6"/>
    <s v="DE0005552004"/>
    <n v="31"/>
    <n v="12"/>
    <n v="2015"/>
    <m/>
    <n v="10.199999999999999"/>
    <n v="9.19"/>
    <n v="8.2799999999999994"/>
    <n v="8.15"/>
    <n v="9.89"/>
    <n v="9.11"/>
    <n v="8.69"/>
    <n v="6.76"/>
    <n v="6.47"/>
    <n v="9.16"/>
    <n v="9.33"/>
    <n v="8.98"/>
  </r>
  <r>
    <x v="7"/>
    <s v="DE0005557508"/>
    <n v="31"/>
    <n v="12"/>
    <n v="2015"/>
    <m/>
    <n v="6.51"/>
    <n v="6.34"/>
    <n v="7.51"/>
    <n v="7.2"/>
    <n v="7.07"/>
    <n v="9.24"/>
    <n v="9.9600000000000009"/>
    <n v="9.6199999999999992"/>
    <n v="9.89"/>
    <n v="10.37"/>
    <n v="11.39"/>
    <n v="11.81"/>
  </r>
  <r>
    <x v="8"/>
    <s v="DE0007164600"/>
    <n v="31"/>
    <n v="12"/>
    <n v="2015"/>
    <n v="22.6"/>
    <n v="19.600000000000001"/>
    <n v="17.600000000000001"/>
    <n v="16.3"/>
    <n v="13.06"/>
    <n v="11.53"/>
    <n v="10.34"/>
    <n v="7.99"/>
    <n v="6.91"/>
    <n v="5.86"/>
    <n v="5.22"/>
    <n v="4.84"/>
    <n v="4.57"/>
  </r>
  <r>
    <x v="9"/>
    <s v="DE0007236101"/>
    <n v="30"/>
    <n v="9"/>
    <n v="2015"/>
    <n v="46.3"/>
    <n v="42.4"/>
    <n v="39"/>
    <n v="37.1"/>
    <n v="31.91"/>
    <n v="34.880000000000003"/>
    <n v="34.49"/>
    <n v="31.01"/>
    <n v="29.15"/>
    <n v="29.29"/>
    <n v="31.72"/>
    <n v="32.89"/>
    <n v="30.6"/>
  </r>
  <r>
    <x v="10"/>
    <s v="DE0008404005"/>
    <n v="31"/>
    <n v="12"/>
    <n v="2015"/>
    <m/>
    <n v="138"/>
    <n v="133"/>
    <n v="132.82"/>
    <n v="109.71"/>
    <n v="117.45"/>
    <n v="98.65"/>
    <n v="97.89"/>
    <n v="88.49"/>
    <n v="74.349999999999994"/>
    <n v="106.07"/>
    <n v="116.8"/>
    <n v="97.26"/>
  </r>
  <r>
    <x v="11"/>
    <s v="DE0008430026"/>
    <n v="31"/>
    <n v="12"/>
    <n v="2015"/>
    <n v="197"/>
    <n v="188"/>
    <n v="181"/>
    <n v="164"/>
    <n v="144.88"/>
    <n v="151.56"/>
    <n v="128.62"/>
    <n v="120.86"/>
    <n v="111.7"/>
    <n v="101.58"/>
    <n v="114.53"/>
    <n v="113.01"/>
    <n v="105.36"/>
  </r>
  <r>
    <x v="12"/>
    <s v="DE000BASF111"/>
    <n v="31"/>
    <n v="12"/>
    <n v="2015"/>
    <m/>
    <n v="35.299999999999997"/>
    <n v="32.4"/>
    <n v="30.7"/>
    <n v="30.25"/>
    <n v="28.09"/>
    <n v="27.64"/>
    <n v="24.67"/>
    <n v="20.260000000000002"/>
    <n v="20.38"/>
    <n v="21.01"/>
    <n v="18.59"/>
    <n v="17.03"/>
  </r>
  <r>
    <x v="13"/>
    <s v="DE000BAY0017"/>
    <n v="31"/>
    <n v="12"/>
    <n v="2015"/>
    <m/>
    <n v="31.8"/>
    <n v="28.7"/>
    <n v="24.45"/>
    <n v="25.16"/>
    <n v="22.45"/>
    <n v="23.3"/>
    <n v="22.85"/>
    <n v="22.92"/>
    <n v="21.38"/>
    <n v="22.01"/>
    <m/>
    <m/>
  </r>
  <r>
    <x v="14"/>
    <s v="ES0113900J37"/>
    <n v="31"/>
    <n v="12"/>
    <n v="2015"/>
    <n v="7.48"/>
    <n v="7.15"/>
    <n v="6.8"/>
    <n v="6.42"/>
    <n v="6.23"/>
    <n v="7.23"/>
    <n v="8.58"/>
    <n v="9.01"/>
    <n v="8.42"/>
    <n v="7.2"/>
    <n v="8.83"/>
    <n v="6.71"/>
    <n v="6.36"/>
  </r>
  <r>
    <x v="15"/>
    <s v="ES0178430E18"/>
    <n v="31"/>
    <n v="12"/>
    <n v="2015"/>
    <m/>
    <n v="5.85"/>
    <n v="5.44"/>
    <n v="4.53"/>
    <n v="4.6500000000000004"/>
    <n v="4.5"/>
    <n v="4.8"/>
    <n v="5.41"/>
    <n v="4.7699999999999996"/>
    <n v="3.66"/>
    <n v="4.22"/>
    <n v="3.49"/>
    <n v="2.59"/>
  </r>
  <r>
    <x v="16"/>
    <s v="FR0000120271"/>
    <n v="31"/>
    <n v="12"/>
    <n v="2015"/>
    <n v="40.700000000000003"/>
    <n v="39.299999999999997"/>
    <n v="37.5"/>
    <n v="35.700000000000003"/>
    <n v="30.55"/>
    <n v="30.82"/>
    <n v="28.78"/>
    <n v="25.71"/>
    <n v="22.38"/>
    <n v="20.66"/>
    <n v="18.73"/>
    <n v="16.62"/>
    <n v="16.52"/>
  </r>
  <r>
    <x v="17"/>
    <s v="FR0000120644"/>
    <n v="31"/>
    <n v="12"/>
    <n v="2015"/>
    <m/>
    <n v="22.2"/>
    <n v="25.3"/>
    <n v="14.4"/>
    <n v="16.95"/>
    <n v="18.95"/>
    <n v="18.84"/>
    <n v="18.43"/>
    <n v="20.49"/>
    <n v="16.82"/>
    <n v="17.59"/>
    <m/>
    <m/>
  </r>
  <r>
    <x v="18"/>
    <s v="GB0000566504"/>
    <n v="30"/>
    <n v="6"/>
    <n v="2015"/>
    <n v="16.3"/>
    <n v="15.5"/>
    <n v="15.4"/>
    <n v="14.8"/>
    <n v="13.21"/>
    <n v="12.32"/>
    <n v="10.61"/>
    <n v="8.68"/>
    <n v="7.15"/>
    <n v="6.86"/>
    <n v="5.18"/>
    <n v="4.0599999999999996"/>
    <n v="2.9"/>
  </r>
  <r>
    <x v="19"/>
    <s v="GB0002875804"/>
    <n v="31"/>
    <n v="12"/>
    <n v="2015"/>
    <m/>
    <n v="4.2"/>
    <n v="4.2700000000000005"/>
    <n v="4.05"/>
    <n v="3.27"/>
    <n v="3.69"/>
    <n v="4.03"/>
    <n v="4.54"/>
    <n v="3.76"/>
    <n v="3.43"/>
    <n v="3.39"/>
    <m/>
    <m/>
  </r>
  <r>
    <x v="20"/>
    <s v="GB0004544929"/>
    <n v="30"/>
    <n v="9"/>
    <n v="2015"/>
    <n v="5.83"/>
    <n v="6.33"/>
    <n v="6.08"/>
    <n v="4.8899999999999997"/>
    <n v="5.24"/>
    <n v="5.65"/>
    <n v="7.17"/>
    <n v="6.58"/>
    <n v="6.12"/>
    <n v="5.91"/>
    <n v="5.5"/>
    <m/>
    <m/>
  </r>
  <r>
    <x v="21"/>
    <s v="GB0005405286"/>
    <n v="31"/>
    <n v="12"/>
    <n v="2015"/>
    <m/>
    <n v="10.4"/>
    <n v="10.1"/>
    <n v="9.91"/>
    <n v="9.66"/>
    <n v="9.48"/>
    <n v="8.8800000000000008"/>
    <n v="8.35"/>
    <n v="7.37"/>
    <n v="7.73"/>
    <n v="10.83"/>
    <n v="9.36"/>
    <n v="8.16"/>
  </r>
  <r>
    <x v="22"/>
    <s v="GB0007188757"/>
    <n v="31"/>
    <n v="12"/>
    <n v="2015"/>
    <n v="32.700000000000003"/>
    <n v="31.2"/>
    <n v="29.1"/>
    <n v="32.700000000000003"/>
    <n v="28.96"/>
    <n v="31.32"/>
    <n v="30.23"/>
    <n v="33.29"/>
    <n v="29.24"/>
    <m/>
    <m/>
    <m/>
    <m/>
  </r>
  <r>
    <x v="23"/>
    <s v="GB0007980591"/>
    <n v="31"/>
    <n v="12"/>
    <n v="2015"/>
    <n v="6.16"/>
    <n v="6.2"/>
    <n v="6.15"/>
    <n v="6.12"/>
    <n v="6.95"/>
    <n v="6.19"/>
    <n v="5.93"/>
    <n v="5.05"/>
    <n v="5.42"/>
    <n v="4.8600000000000003"/>
    <n v="4.8899999999999997"/>
    <n v="4.2300000000000004"/>
    <n v="3.79"/>
  </r>
  <r>
    <x v="24"/>
    <s v="GB00B03MLX29"/>
    <n v="31"/>
    <n v="12"/>
    <n v="2015"/>
    <n v="31.6"/>
    <n v="32.4"/>
    <n v="29.3"/>
    <n v="27.4"/>
    <n v="28.77"/>
    <n v="30.12"/>
    <n v="27.49"/>
    <n v="24.34"/>
    <n v="22.54"/>
    <n v="21.05"/>
    <n v="18.43"/>
    <n v="16.809999999999999"/>
    <n v="14.63"/>
  </r>
  <r>
    <x v="25"/>
    <s v="GB00BH4HKS39"/>
    <n v="31"/>
    <n v="3"/>
    <n v="2015"/>
    <n v="2.64"/>
    <n v="2.5100000000000002"/>
    <n v="2.58"/>
    <n v="2.67"/>
    <n v="1.46"/>
    <n v="1.55"/>
    <n v="1.54"/>
    <n v="1.56"/>
    <n v="1.64"/>
    <n v="1.34"/>
    <n v="1.22"/>
    <n v="1.36"/>
    <n v="1.5"/>
  </r>
  <r>
    <x v="26"/>
    <s v="NL0000009355"/>
    <n v="31"/>
    <n v="12"/>
    <n v="2015"/>
    <n v="6.69"/>
    <n v="6.05"/>
    <n v="5.5"/>
    <n v="4.8099999999999996"/>
    <n v="4.78"/>
    <n v="5.05"/>
    <n v="4.76"/>
    <n v="4.83"/>
    <n v="4.0199999999999996"/>
    <n v="3.32"/>
    <n v="4.13"/>
    <n v="3.74"/>
    <n v="2.79"/>
  </r>
  <r>
    <x v="27"/>
    <s v="US00206R1023"/>
    <n v="31"/>
    <n v="12"/>
    <n v="2015"/>
    <n v="19.2"/>
    <n v="17.600000000000001"/>
    <n v="17"/>
    <n v="16.760000000000002"/>
    <n v="17.5"/>
    <n v="16.61"/>
    <n v="17.850000000000001"/>
    <n v="18.940000000000001"/>
    <n v="17.34"/>
    <n v="16.350000000000001"/>
    <n v="19.09"/>
    <n v="18.52"/>
    <n v="14.11"/>
  </r>
  <r>
    <x v="28"/>
    <s v="US1667641005"/>
    <n v="31"/>
    <n v="12"/>
    <n v="2015"/>
    <n v="90"/>
    <n v="82.9"/>
    <n v="81.599999999999994"/>
    <n v="82.48"/>
    <n v="77.92"/>
    <n v="70.13"/>
    <n v="61.27"/>
    <n v="52.34"/>
    <n v="45.76"/>
    <n v="43.23"/>
    <n v="36.880000000000003"/>
    <n v="31.85"/>
    <n v="28.07"/>
  </r>
  <r>
    <x v="29"/>
    <s v="US1912161007"/>
    <n v="31"/>
    <n v="12"/>
    <n v="2015"/>
    <n v="6.94"/>
    <n v="7.1"/>
    <n v="7.02"/>
    <n v="6.94"/>
    <n v="7.54"/>
    <n v="7.34"/>
    <n v="6.99"/>
    <n v="6.76"/>
    <n v="5.38"/>
    <n v="4.43"/>
    <n v="4.6900000000000004"/>
    <n v="3.65"/>
    <n v="3.45"/>
  </r>
  <r>
    <x v="30"/>
    <s v="US1941621039"/>
    <n v="31"/>
    <n v="12"/>
    <n v="2015"/>
    <n v="2.42"/>
    <n v="1.93"/>
    <n v="1.73"/>
    <n v="1.26"/>
    <n v="2.76"/>
    <n v="2.56"/>
    <n v="2.65"/>
    <n v="2.85"/>
    <n v="3.3"/>
    <n v="1.92"/>
    <n v="2.25"/>
    <n v="1.38"/>
    <n v="1.31"/>
  </r>
  <r>
    <x v="31"/>
    <s v="US2605431038"/>
    <n v="31"/>
    <n v="12"/>
    <n v="2015"/>
    <n v="28.3"/>
    <n v="22.7"/>
    <n v="21.1"/>
    <n v="19"/>
    <n v="22.32"/>
    <n v="17.350000000000001"/>
    <n v="18.809999999999999"/>
    <n v="18.63"/>
    <n v="17.87"/>
    <n v="14.62"/>
    <n v="20.62"/>
    <n v="17.809999999999999"/>
    <n v="15.84"/>
  </r>
  <r>
    <x v="32"/>
    <s v="US30231G1022"/>
    <n v="31"/>
    <n v="12"/>
    <n v="2015"/>
    <m/>
    <n v="44.8"/>
    <n v="43.5"/>
    <n v="42.7"/>
    <n v="40.14"/>
    <n v="36.840000000000003"/>
    <n v="32.61"/>
    <n v="29.49"/>
    <n v="23.39"/>
    <n v="22.7"/>
    <n v="22.62"/>
    <n v="19.87"/>
    <n v="18.13"/>
  </r>
  <r>
    <x v="33"/>
    <s v="US3696041033"/>
    <n v="31"/>
    <n v="12"/>
    <n v="2015"/>
    <n v="14.3"/>
    <n v="26.4"/>
    <n v="25.8"/>
    <n v="12.74"/>
    <n v="12.98"/>
    <n v="11.82"/>
    <n v="11.01"/>
    <n v="11.2"/>
    <n v="11"/>
    <n v="9.93"/>
    <n v="11.57"/>
    <n v="10.93"/>
    <n v="10.43"/>
  </r>
  <r>
    <x v="34"/>
    <s v="US38141G1040"/>
    <n v="31"/>
    <n v="12"/>
    <n v="2015"/>
    <n v="198"/>
    <n v="189"/>
    <n v="174"/>
    <n v="192.44"/>
    <n v="175.79"/>
    <n v="162.78"/>
    <n v="144.97"/>
    <n v="152.43"/>
    <n v="137.28"/>
    <n v="145.47"/>
    <n v="109.52"/>
    <n v="84.04"/>
    <n v="64.05"/>
  </r>
  <r>
    <x v="35"/>
    <s v="US4592001014"/>
    <n v="31"/>
    <n v="12"/>
    <n v="2015"/>
    <n v="33.200000000000003"/>
    <n v="25.9"/>
    <n v="19.5"/>
    <n v="12"/>
    <n v="21.75"/>
    <n v="16.989999999999998"/>
    <n v="17.399999999999999"/>
    <n v="19"/>
    <n v="17.43"/>
    <n v="18.989999999999998"/>
    <n v="20.55"/>
    <n v="18.920000000000002"/>
    <n v="21.03"/>
  </r>
  <r>
    <x v="36"/>
    <s v="US46625H1005"/>
    <n v="31"/>
    <n v="12"/>
    <n v="2015"/>
    <n v="70.8"/>
    <n v="65.900000000000006"/>
    <n v="61.4"/>
    <n v="62.47"/>
    <n v="56.22"/>
    <n v="53.65"/>
    <n v="48.66"/>
    <n v="45.04"/>
    <n v="41.95"/>
    <n v="44.71"/>
    <n v="36.590000000000003"/>
    <n v="33.450000000000003"/>
    <n v="30.75"/>
  </r>
  <r>
    <x v="37"/>
    <s v="US4781601046"/>
    <n v="31"/>
    <n v="12"/>
    <n v="2015"/>
    <n v="37.200000000000003"/>
    <n v="31.6"/>
    <n v="28.3"/>
    <n v="25.06"/>
    <n v="26.25"/>
    <n v="23.33"/>
    <n v="20.95"/>
    <n v="20.66"/>
    <n v="18.37"/>
    <n v="15.35"/>
    <n v="15.25"/>
    <n v="13.59"/>
    <n v="12.73"/>
  </r>
  <r>
    <x v="38"/>
    <s v="US50076Q1067"/>
    <n v="31"/>
    <n v="12"/>
    <n v="2015"/>
    <n v="9.6300000000000008"/>
    <n v="8.5500000000000007"/>
    <n v="7.8"/>
    <n v="7.43"/>
    <n v="8.6999999999999993"/>
    <n v="6.02"/>
    <n v="4.9800000000000004"/>
    <n v="5.125"/>
    <n v="4.3775000000000004"/>
    <n v="3.7949999999999999"/>
    <m/>
    <m/>
    <m/>
  </r>
  <r>
    <x v="39"/>
    <s v="US5801351017"/>
    <n v="31"/>
    <n v="12"/>
    <n v="2015"/>
    <n v="13.9"/>
    <n v="13.1"/>
    <n v="14.2"/>
    <n v="13.35"/>
    <n v="16.16"/>
    <n v="15.25"/>
    <n v="14.09"/>
    <n v="13.89"/>
    <n v="12.67"/>
    <n v="12"/>
    <n v="13.11"/>
    <n v="12.84"/>
    <n v="11.99"/>
  </r>
  <r>
    <x v="40"/>
    <s v="US58933Y1055"/>
    <n v="31"/>
    <n v="12"/>
    <n v="2015"/>
    <n v="18.2"/>
    <n v="17.7"/>
    <n v="17.5"/>
    <n v="17.14"/>
    <n v="17"/>
    <n v="17.52"/>
    <n v="17.93"/>
    <n v="17.64"/>
    <n v="19"/>
    <m/>
    <m/>
    <m/>
    <m/>
  </r>
  <r>
    <x v="41"/>
    <s v="US5949181045"/>
    <n v="30"/>
    <n v="6"/>
    <n v="2015"/>
    <n v="14.2"/>
    <n v="13.5"/>
    <n v="12"/>
    <n v="10.9"/>
    <n v="9.48"/>
    <n v="7.92"/>
    <n v="6.82"/>
    <n v="5.33"/>
    <n v="4.4400000000000004"/>
    <n v="3.97"/>
    <n v="3.32"/>
    <n v="3.99"/>
    <n v="4.49"/>
  </r>
  <r>
    <x v="42"/>
    <s v="US6092071058"/>
    <n v="31"/>
    <n v="12"/>
    <n v="2015"/>
    <n v="17.8"/>
    <n v="17.3"/>
    <n v="16.3"/>
    <n v="16.68"/>
    <n v="18.98"/>
    <n v="18.12"/>
    <n v="14.940000000000001"/>
    <n v="15.375"/>
    <n v="13.1325"/>
    <n v="11.385"/>
    <m/>
    <m/>
    <m/>
  </r>
  <r>
    <x v="43"/>
    <s v="US61166W1018"/>
    <n v="31"/>
    <n v="8"/>
    <n v="2015"/>
    <n v="22.4"/>
    <n v="18.3"/>
    <n v="16.2"/>
    <n v="15"/>
    <n v="23.74"/>
    <n v="22.14"/>
    <n v="21.57"/>
    <n v="18.690000000000001"/>
    <n v="18.420000000000002"/>
    <n v="17.09"/>
    <n v="13.75"/>
    <n v="12.01"/>
    <n v="10.46"/>
  </r>
  <r>
    <x v="44"/>
    <s v="US68389X1054"/>
    <n v="31"/>
    <n v="5"/>
    <n v="2015"/>
    <n v="14.3"/>
    <n v="12.5"/>
    <n v="11.1"/>
    <n v="10.5"/>
    <n v="9.61"/>
    <n v="8.91"/>
    <n v="7.85"/>
    <n v="6.13"/>
    <n v="5.01"/>
    <n v="4.47"/>
    <n v="3.31"/>
    <n v="2.87"/>
    <n v="2.11"/>
  </r>
  <r>
    <x v="45"/>
    <s v="US7134481081"/>
    <n v="31"/>
    <n v="12"/>
    <n v="2015"/>
    <n v="12.1"/>
    <n v="12.5"/>
    <n v="12.2"/>
    <n v="11.7"/>
    <n v="16.100000000000001"/>
    <n v="14.6"/>
    <n v="13.44"/>
    <n v="13.65"/>
    <n v="11.21"/>
    <n v="7.86"/>
    <n v="10.79"/>
    <n v="9.43"/>
    <n v="8.65"/>
  </r>
  <r>
    <x v="46"/>
    <s v="US7170811035"/>
    <n v="31"/>
    <n v="12"/>
    <n v="2015"/>
    <n v="11.6"/>
    <n v="11.4"/>
    <n v="11.5"/>
    <n v="11.33"/>
    <n v="11.92"/>
    <n v="11.17"/>
    <n v="10.85"/>
    <n v="10.96"/>
    <n v="11.15"/>
    <n v="8.5299999999999994"/>
    <n v="9.6199999999999992"/>
    <n v="10.02"/>
    <n v="8.92"/>
  </r>
  <r>
    <x v="47"/>
    <s v="US7181721090"/>
    <n v="31"/>
    <n v="12"/>
    <n v="2015"/>
    <n v="-2.88"/>
    <n v="-2.34"/>
    <n v="-2.11"/>
    <n v="-8.16"/>
    <n v="-4.8899999999999997"/>
    <n v="-2.2200000000000002"/>
    <n v="0.13"/>
    <n v="1.95"/>
    <n v="3.03"/>
    <m/>
    <m/>
    <m/>
    <m/>
  </r>
  <r>
    <x v="48"/>
    <s v="US7427181091"/>
    <n v="30"/>
    <n v="6"/>
    <n v="2015"/>
    <n v="24"/>
    <n v="23.2"/>
    <n v="23.4"/>
    <n v="25.5"/>
    <n v="25.06"/>
    <n v="23.3"/>
    <n v="24.59"/>
    <n v="21.61"/>
    <n v="21.65"/>
    <n v="22.91"/>
    <n v="21.32"/>
    <n v="19.79"/>
    <m/>
  </r>
  <r>
    <x v="49"/>
    <s v="US92343V1044"/>
    <n v="31"/>
    <n v="12"/>
    <n v="2015"/>
    <n v="5.47"/>
    <n v="5.76"/>
    <n v="4.13"/>
    <n v="2.96"/>
    <n v="13.57"/>
    <n v="11.6"/>
    <n v="12.69"/>
    <n v="13.64"/>
    <n v="14.67"/>
    <n v="14.05"/>
    <n v="17.04"/>
    <n v="16.670000000000002"/>
    <n v="14.36"/>
  </r>
  <r>
    <x v="50"/>
    <s v="US9311421039"/>
    <n v="31"/>
    <n v="1"/>
    <n v="2015"/>
    <n v="30.2"/>
    <n v="28"/>
    <n v="26.4"/>
    <n v="25.1"/>
    <n v="23.04"/>
    <n v="20.86"/>
    <n v="19.489999999999998"/>
    <n v="18.82"/>
    <n v="16.63"/>
    <n v="16.260000000000002"/>
    <n v="14.91"/>
    <n v="12.77"/>
    <n v="11.67"/>
  </r>
  <r>
    <x v="51"/>
    <s v="z_BE0003793107"/>
    <n v="31"/>
    <n v="12"/>
    <n v="2015"/>
    <m/>
    <n v="38"/>
    <n v="35.700000000000003"/>
    <n v="33.6"/>
    <n v="31.32"/>
    <n v="25.6"/>
    <n v="23.34"/>
    <n v="21.97"/>
    <n v="18.899999999999999"/>
    <m/>
    <m/>
    <m/>
    <m/>
  </r>
  <r>
    <x v="52"/>
    <s v="z_CH0010570759"/>
    <n v="31"/>
    <n v="12"/>
    <n v="2015"/>
    <m/>
    <n v="14242"/>
    <n v="13416"/>
    <n v="12555"/>
    <n v="19373"/>
    <n v="12607"/>
    <n v="11565"/>
    <n v="11946"/>
    <n v="16177"/>
    <n v="14790"/>
    <n v="13894"/>
    <n v="11558"/>
    <n v="9711"/>
  </r>
  <r>
    <x v="53"/>
    <s v="z_DE0006048432"/>
    <n v="31"/>
    <n v="12"/>
    <n v="2015"/>
    <m/>
    <n v="32.299999999999997"/>
    <n v="29.8"/>
    <n v="27.6"/>
    <n v="23.19"/>
    <n v="21.72"/>
    <n v="20"/>
    <n v="18.149999999999999"/>
    <n v="14.94"/>
    <n v="14.92"/>
    <n v="13.03"/>
    <n v="12.66"/>
    <n v="12.33"/>
  </r>
  <r>
    <x v="54"/>
    <s v="z_FR0000120321"/>
    <n v="31"/>
    <n v="12"/>
    <n v="2015"/>
    <m/>
    <n v="43"/>
    <n v="39.700000000000003"/>
    <n v="33.6"/>
    <n v="37.36"/>
    <n v="34.380000000000003"/>
    <n v="29.25"/>
    <n v="24.73"/>
    <n v="22.7"/>
    <n v="19.63"/>
    <n v="22.04"/>
    <n v="22.86"/>
    <n v="22.25"/>
  </r>
  <r>
    <x v="55"/>
    <s v="z_FR0000120578"/>
    <n v="31"/>
    <n v="12"/>
    <n v="2015"/>
    <n v="45"/>
    <n v="44.2"/>
    <n v="43.7"/>
    <n v="42.8"/>
    <n v="42.95"/>
    <n v="43.23"/>
    <n v="41.93"/>
    <n v="40.5"/>
    <n v="36.65"/>
    <n v="34.11"/>
    <n v="32.61"/>
    <n v="33.54"/>
    <n v="33.42"/>
  </r>
  <r>
    <x v="56"/>
    <s v="z_GB0002374006"/>
    <n v="30"/>
    <n v="6"/>
    <n v="2015"/>
    <n v="3.7600000000000002"/>
    <n v="3.38"/>
    <n v="2.98"/>
    <n v="2.48"/>
    <n v="2.5499999999999998"/>
    <n v="2.0299999999999998"/>
    <n v="1.9"/>
    <n v="1.45"/>
    <n v="1.1399999999999999"/>
    <n v="1.25"/>
    <n v="1.36"/>
    <n v="1.48"/>
    <n v="1.19"/>
  </r>
  <r>
    <x v="57"/>
    <s v="z_GB0004835483"/>
    <n v="31"/>
    <n v="3"/>
    <n v="2015"/>
    <n v="20.399999999999999"/>
    <n v="19"/>
    <n v="17.7"/>
    <n v="15.7"/>
    <n v="15.79"/>
    <n v="15.07"/>
    <n v="13.27"/>
    <n v="12.13"/>
    <n v="9.6999999999999993"/>
    <n v="11.65"/>
    <n v="9.57"/>
    <m/>
    <m/>
  </r>
  <r>
    <x v="58"/>
    <s v="z_GB0009252882"/>
    <n v="31"/>
    <n v="12"/>
    <n v="2015"/>
    <n v="0.63600000000000001"/>
    <n v="0.68200000000000005"/>
    <n v="1.1400000000000001"/>
    <n v="0.8"/>
    <n v="1.31"/>
    <n v="1.08"/>
    <n v="1.45"/>
    <n v="1.57"/>
    <n v="1.77"/>
    <n v="1.4"/>
    <n v="1.6"/>
    <n v="1.57"/>
    <n v="1.23"/>
  </r>
  <r>
    <x v="59"/>
    <s v="z_GB00B24CGK77"/>
    <n v="31"/>
    <n v="12"/>
    <n v="2015"/>
    <n v="12.84"/>
    <n v="10.89"/>
    <n v="9.5400000000000009"/>
    <n v="9.51"/>
    <n v="8.6"/>
    <n v="8.06"/>
    <n v="7.84"/>
    <n v="6.97"/>
    <n v="5.55"/>
    <n v="4.5599999999999996"/>
    <n v="3.3"/>
    <m/>
    <m/>
  </r>
  <r>
    <x v="60"/>
    <s v="z_US02209S1033"/>
    <n v="31"/>
    <n v="12"/>
    <n v="2015"/>
    <n v="1.59"/>
    <n v="2.02"/>
    <n v="2.4300000000000002"/>
    <n v="1.53"/>
    <n v="2.0699999999999998"/>
    <n v="1.58"/>
    <n v="1.8"/>
    <n v="2.4900000000000002"/>
    <n v="1.96"/>
    <m/>
    <m/>
    <m/>
    <m/>
  </r>
  <r>
    <x v="61"/>
    <s v="z_US0268747849"/>
    <n v="31"/>
    <n v="12"/>
    <n v="2015"/>
    <n v="93.1"/>
    <n v="91"/>
    <n v="84.5"/>
    <n v="77.69"/>
    <n v="68.62"/>
    <n v="51.4"/>
    <n v="55.05"/>
    <n v="604.66999999999996"/>
    <n v="492.76"/>
    <n v="391.75"/>
    <n v="757.32"/>
    <n v="781.53"/>
    <n v="665"/>
  </r>
  <r>
    <x v="62"/>
    <s v="z_US09247X1019"/>
    <n v="31"/>
    <n v="12"/>
    <n v="2015"/>
    <n v="186"/>
    <n v="180"/>
    <n v="172"/>
    <n v="166.79"/>
    <n v="158.83000000000001"/>
    <n v="147.43"/>
    <n v="140.47999999999999"/>
    <n v="136.47999999999999"/>
    <n v="128.85"/>
    <n v="102.13"/>
    <n v="98.87"/>
    <n v="92.6"/>
    <n v="14.41"/>
  </r>
  <r>
    <x v="63"/>
    <s v="z_US3703341046"/>
    <n v="31"/>
    <n v="5"/>
    <n v="2015"/>
    <n v="10.4"/>
    <n v="10.5"/>
    <n v="10.4"/>
    <n v="10.7"/>
    <n v="10.41"/>
    <n v="9.9"/>
    <n v="9.8699999999999992"/>
    <n v="8.3000000000000007"/>
    <n v="7.95"/>
    <n v="10.45"/>
    <n v="7.82"/>
    <n v="8.11"/>
    <n v="7.69"/>
  </r>
  <r>
    <x v="64"/>
    <s v="z_US4943681035"/>
    <n v="31"/>
    <n v="12"/>
    <n v="2015"/>
    <n v="3.55"/>
    <n v="2.48"/>
    <n v="2.2599999999999998"/>
    <n v="2"/>
    <n v="12.75"/>
    <n v="12.81"/>
    <n v="13.27"/>
    <n v="14.54"/>
    <n v="12.99"/>
    <n v="9.3800000000000008"/>
    <n v="12.41"/>
    <n v="13.38"/>
    <n v="12.0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5">
  <r>
    <x v="0"/>
    <s v="CH0011037469"/>
    <m/>
    <n v="91.66"/>
    <n v="91.75"/>
    <n v="91.74"/>
    <n v="91.25"/>
    <n v="92.2"/>
    <n v="94.6"/>
    <n v="96.9"/>
    <n v="100.8"/>
    <n v="104"/>
    <n v="106.4"/>
  </r>
  <r>
    <x v="1"/>
    <s v="CH0012005267"/>
    <m/>
    <n v="2399"/>
    <n v="2426"/>
    <n v="2706"/>
    <n v="2746"/>
    <n v="2638"/>
    <n v="2638"/>
    <n v="2644"/>
    <n v="2729"/>
    <n v="2729"/>
    <n v="2739"/>
  </r>
  <r>
    <x v="2"/>
    <s v="CH0012032048"/>
    <m/>
    <n v="862.56"/>
    <n v="862.56"/>
    <n v="862.56"/>
    <n v="862.56"/>
    <n v="862.56"/>
    <n v="862.56"/>
    <n v="862.56"/>
    <n v="862.6"/>
    <n v="862.6"/>
    <n v="862.6"/>
  </r>
  <r>
    <x v="3"/>
    <s v="CH0038863350"/>
    <m/>
    <n v="3225"/>
    <n v="3225"/>
    <n v="3225"/>
    <n v="3300"/>
    <n v="3465"/>
    <n v="3650"/>
    <n v="3830"/>
    <n v="3931"/>
    <n v="4007"/>
    <n v="4035"/>
  </r>
  <r>
    <x v="4"/>
    <s v="DE0005140008"/>
    <m/>
    <n v="1379"/>
    <n v="1020"/>
    <n v="929.5"/>
    <n v="929.5"/>
    <n v="929.5"/>
    <n v="620.9"/>
    <n v="570.9"/>
    <n v="530.4"/>
    <n v="524.79999999999995"/>
    <n v="505.6"/>
  </r>
  <r>
    <x v="5"/>
    <s v="DE0005200000"/>
    <m/>
    <n v="252"/>
    <n v="252"/>
    <n v="252"/>
    <n v="252"/>
    <n v="252"/>
    <n v="252"/>
    <n v="252"/>
    <n v="252"/>
    <n v="252"/>
    <n v="252"/>
  </r>
  <r>
    <x v="6"/>
    <s v="DE0005552004"/>
    <m/>
    <n v="1211"/>
    <n v="1209"/>
    <n v="1209"/>
    <n v="1209"/>
    <n v="1209"/>
    <n v="1209"/>
    <n v="1209"/>
    <n v="1208"/>
    <n v="1202"/>
    <n v="1193"/>
  </r>
  <r>
    <x v="7"/>
    <s v="DE0005557508"/>
    <m/>
    <n v="4536"/>
    <n v="4451"/>
    <n v="4321"/>
    <n v="4321"/>
    <n v="4321"/>
    <n v="4361"/>
    <n v="4361"/>
    <n v="4361"/>
    <n v="4361"/>
    <n v="4198"/>
  </r>
  <r>
    <x v="8"/>
    <s v="DE0007164600"/>
    <m/>
    <n v="1229"/>
    <n v="1229"/>
    <n v="1229"/>
    <n v="1228"/>
    <n v="1227"/>
    <n v="1226"/>
    <n v="1226"/>
    <n v="1246"/>
    <n v="1268"/>
    <n v="1266"/>
  </r>
  <r>
    <x v="9"/>
    <s v="DE0007236101"/>
    <m/>
    <n v="881"/>
    <n v="881"/>
    <n v="881"/>
    <n v="914.2"/>
    <n v="914.2"/>
    <n v="914.2"/>
    <n v="914.2"/>
    <n v="914.2"/>
    <n v="891"/>
    <n v="891"/>
  </r>
  <r>
    <x v="10"/>
    <s v="DE0008404005"/>
    <m/>
    <n v="457"/>
    <n v="456.5"/>
    <n v="455.95"/>
    <n v="455.3"/>
    <n v="454.5"/>
    <n v="453.9"/>
    <n v="453.05"/>
    <n v="450.2"/>
    <n v="432.2"/>
    <n v="406"/>
  </r>
  <r>
    <x v="11"/>
    <s v="DE0008430026"/>
    <m/>
    <n v="172.94"/>
    <n v="179.34"/>
    <n v="179.34"/>
    <n v="179.3"/>
    <n v="188.5"/>
    <n v="197.4"/>
    <n v="206.4"/>
    <n v="217.9"/>
    <n v="229.6"/>
    <n v="229.6"/>
  </r>
  <r>
    <x v="12"/>
    <s v="DE000BASF111"/>
    <m/>
    <n v="918.5"/>
    <n v="918.5"/>
    <n v="918.5"/>
    <n v="918.5"/>
    <n v="918.5"/>
    <n v="918.5"/>
    <n v="918.5"/>
    <n v="956.4"/>
    <n v="999.4"/>
    <n v="1029"/>
  </r>
  <r>
    <x v="13"/>
    <s v="DE000BAY0017"/>
    <m/>
    <n v="826.95"/>
    <n v="826.95"/>
    <n v="826.95"/>
    <n v="826.95"/>
    <n v="826.9"/>
    <n v="826.9"/>
    <n v="764.3"/>
    <n v="764.3"/>
    <n v="764.3"/>
    <n v="730.3"/>
  </r>
  <r>
    <x v="14"/>
    <s v="ES0113900J37"/>
    <m/>
    <n v="12584"/>
    <n v="11333"/>
    <n v="10321"/>
    <n v="8909"/>
    <n v="8329"/>
    <n v="8156"/>
    <n v="7994"/>
    <n v="6254"/>
    <n v="6254"/>
    <n v="6254"/>
  </r>
  <r>
    <x v="15"/>
    <s v="ES0178430E18"/>
    <m/>
    <n v="4657"/>
    <n v="4551"/>
    <n v="4551"/>
    <n v="4511"/>
    <n v="4522"/>
    <n v="4553"/>
    <n v="4705"/>
    <n v="4774"/>
    <n v="4921"/>
    <n v="4921"/>
  </r>
  <r>
    <x v="16"/>
    <s v="FR0000120271"/>
    <m/>
    <n v="2378"/>
    <n v="2378"/>
    <n v="2366"/>
    <n v="2364"/>
    <n v="2350"/>
    <n v="2348"/>
    <n v="2372"/>
    <n v="2396"/>
    <n v="2426"/>
    <n v="2460"/>
  </r>
  <r>
    <x v="17"/>
    <s v="FR0000120644"/>
    <m/>
    <n v="631.03"/>
    <n v="631.03"/>
    <n v="643.16"/>
    <n v="642.25"/>
    <n v="647.9"/>
    <n v="647"/>
    <n v="513.79999999999995"/>
    <n v="512.79999999999995"/>
    <n v="521.79999999999995"/>
    <n v="528.4"/>
  </r>
  <r>
    <x v="18"/>
    <s v="GB0000566504"/>
    <m/>
    <n v="5348"/>
    <n v="5348"/>
    <n v="5348"/>
    <n v="5350"/>
    <n v="5590"/>
    <n v="5589"/>
    <n v="5589"/>
    <n v="5724"/>
    <n v="5964"/>
    <n v="6056"/>
  </r>
  <r>
    <x v="19"/>
    <s v="GB0002875804"/>
    <m/>
    <n v="2027"/>
    <n v="2027"/>
    <n v="2026"/>
    <n v="2026"/>
    <n v="2026"/>
    <n v="2025"/>
    <n v="2025"/>
    <n v="2025"/>
    <m/>
    <m/>
  </r>
  <r>
    <x v="20"/>
    <s v="GB0004544929"/>
    <m/>
    <n v="1068"/>
    <n v="1068"/>
    <n v="1068"/>
    <n v="1068"/>
    <n v="1068"/>
    <n v="1068"/>
    <n v="1068"/>
    <n v="729.2"/>
    <m/>
    <m/>
  </r>
  <r>
    <x v="21"/>
    <s v="GB0005405286"/>
    <m/>
    <n v="19218"/>
    <n v="18830"/>
    <n v="18476"/>
    <n v="17868"/>
    <n v="17686"/>
    <n v="17408"/>
    <n v="12105"/>
    <n v="11829"/>
    <n v="11572"/>
    <n v="11334"/>
  </r>
  <r>
    <x v="22"/>
    <s v="GB0007188757"/>
    <m/>
    <n v="1847"/>
    <n v="1847"/>
    <n v="1853"/>
    <n v="1958"/>
    <n v="1961"/>
    <n v="1571"/>
    <n v="1570"/>
    <n v="1421"/>
    <n v="1421"/>
    <n v="1421"/>
  </r>
  <r>
    <x v="23"/>
    <s v="GB0007980591"/>
    <m/>
    <n v="18611"/>
    <n v="18611"/>
    <n v="19136"/>
    <n v="18805"/>
    <n v="18798"/>
    <n v="18755"/>
    <n v="18790"/>
    <n v="19163"/>
    <n v="20028"/>
    <n v="21126"/>
  </r>
  <r>
    <x v="24"/>
    <s v="GB00B03MLX29"/>
    <m/>
    <n v="6374"/>
    <n v="6295"/>
    <n v="6306"/>
    <n v="6220"/>
    <n v="6154"/>
    <n v="6129"/>
    <n v="6122"/>
    <n v="6837"/>
    <n v="6837"/>
    <n v="6695"/>
  </r>
  <r>
    <x v="25"/>
    <s v="GB00BH4HKS39"/>
    <m/>
    <n v="28812"/>
    <n v="48919"/>
    <n v="49659"/>
    <n v="56811"/>
    <n v="57809"/>
    <n v="52473"/>
    <n v="55144"/>
    <n v="62607"/>
    <n v="66196"/>
    <n v="68096"/>
  </r>
  <r>
    <x v="26"/>
    <s v="NL0000009355"/>
    <m/>
    <n v="3000"/>
    <n v="3000"/>
    <n v="3000"/>
    <n v="3000"/>
    <n v="3000"/>
    <n v="3000"/>
    <n v="3000"/>
    <n v="3000"/>
    <n v="3000"/>
    <n v="3000"/>
  </r>
  <r>
    <x v="27"/>
    <s v="US00206R1023"/>
    <m/>
    <n v="5187"/>
    <n v="5226"/>
    <n v="5581"/>
    <n v="5927"/>
    <n v="5911"/>
    <n v="5902"/>
    <n v="5893"/>
    <n v="6044"/>
    <n v="6239"/>
    <n v="3877"/>
  </r>
  <r>
    <x v="28"/>
    <s v="US1667641005"/>
    <m/>
    <n v="1880"/>
    <n v="1914"/>
    <n v="1947"/>
    <n v="1981"/>
    <n v="2007"/>
    <n v="2008"/>
    <n v="2004"/>
    <n v="2090"/>
    <n v="2165"/>
    <n v="2233"/>
  </r>
  <r>
    <x v="29"/>
    <s v="US1912161007"/>
    <m/>
    <n v="4366"/>
    <n v="4402"/>
    <n v="4469"/>
    <n v="4526"/>
    <n v="4584"/>
    <n v="4606"/>
    <n v="4624"/>
    <n v="4636"/>
    <n v="4636"/>
    <n v="4738"/>
  </r>
  <r>
    <x v="30"/>
    <s v="US1941621039"/>
    <m/>
    <n v="907.08"/>
    <n v="918.94"/>
    <n v="935.39"/>
    <n v="959.2"/>
    <n v="987.8"/>
    <n v="987.4"/>
    <n v="1003"/>
    <n v="1018"/>
    <n v="1025"/>
    <n v="1032"/>
  </r>
  <r>
    <x v="31"/>
    <s v="US2605431038"/>
    <m/>
    <n v="1158"/>
    <n v="1205"/>
    <n v="1203"/>
    <n v="1185"/>
    <n v="1172"/>
    <n v="1150"/>
    <n v="924.4"/>
    <n v="940.4"/>
    <n v="958.1"/>
    <n v="967.2"/>
  </r>
  <r>
    <x v="32"/>
    <s v="US30231G1022"/>
    <m/>
    <n v="4335"/>
    <n v="4335"/>
    <n v="4502"/>
    <n v="4734"/>
    <n v="4979"/>
    <n v="4727"/>
    <n v="4976"/>
    <n v="5382"/>
    <n v="5729"/>
    <n v="6133"/>
  </r>
  <r>
    <x v="33"/>
    <s v="US3696041033"/>
    <m/>
    <n v="10057"/>
    <n v="10061"/>
    <n v="10406"/>
    <n v="10573"/>
    <n v="10615"/>
    <n v="10663"/>
    <n v="10537"/>
    <n v="9988"/>
    <n v="10277"/>
    <n v="10484"/>
  </r>
  <r>
    <x v="34"/>
    <s v="US38141G1040"/>
    <m/>
    <n v="430.26"/>
    <n v="446.36"/>
    <n v="465.15"/>
    <n v="485.47"/>
    <n v="507.5"/>
    <n v="515.1"/>
    <n v="442.5"/>
    <n v="390.8"/>
    <n v="425.8"/>
    <n v="437.2"/>
  </r>
  <r>
    <x v="35"/>
    <s v="US4592001014"/>
    <m/>
    <n v="991"/>
    <n v="1054"/>
    <n v="1117"/>
    <n v="1163"/>
    <n v="1220"/>
    <n v="1305"/>
    <n v="1339"/>
    <n v="1385"/>
    <n v="1507"/>
    <n v="1574"/>
  </r>
  <r>
    <x v="36"/>
    <s v="US46625H1005"/>
    <m/>
    <n v="3715"/>
    <n v="3756"/>
    <n v="3804"/>
    <n v="3773"/>
    <n v="3910"/>
    <n v="3942"/>
    <n v="3733"/>
    <n v="3367"/>
    <n v="3462"/>
    <n v="3487"/>
  </r>
  <r>
    <x v="37"/>
    <s v="US4781601046"/>
    <m/>
    <n v="2783"/>
    <n v="2821"/>
    <n v="2778"/>
    <n v="2724"/>
    <n v="2738"/>
    <n v="2754"/>
    <n v="2769"/>
    <n v="2840"/>
    <n v="2893"/>
    <n v="2975"/>
  </r>
  <r>
    <x v="38"/>
    <s v="US50076Q1067"/>
    <m/>
    <n v="587.33000000000004"/>
    <n v="596.30999999999995"/>
    <n v="593.37"/>
    <m/>
    <m/>
    <m/>
    <m/>
    <m/>
    <m/>
    <m/>
  </r>
  <r>
    <x v="39"/>
    <s v="US5801351017"/>
    <m/>
    <n v="962.9"/>
    <n v="990.4"/>
    <n v="1003"/>
    <n v="1021"/>
    <n v="1054"/>
    <n v="1107"/>
    <n v="1115"/>
    <n v="1165"/>
    <n v="1204"/>
    <n v="1263"/>
  </r>
  <r>
    <x v="40"/>
    <s v="US58933Y1055"/>
    <m/>
    <n v="2838"/>
    <n v="2928"/>
    <n v="3027"/>
    <n v="3041"/>
    <n v="3082"/>
    <n v="3108"/>
    <n v="2108"/>
    <n v="2173"/>
    <n v="2168"/>
    <n v="2182"/>
  </r>
  <r>
    <x v="41"/>
    <s v="US5949181045"/>
    <m/>
    <n v="8239"/>
    <n v="8328"/>
    <n v="8381"/>
    <n v="8376"/>
    <n v="8668"/>
    <n v="8908"/>
    <n v="9151"/>
    <n v="9380"/>
    <n v="10062"/>
    <n v="10710"/>
  </r>
  <r>
    <x v="42"/>
    <s v="US6092071058"/>
    <m/>
    <n v="1664"/>
    <n v="1705"/>
    <n v="1778"/>
    <n v="1768"/>
    <n v="1749"/>
    <n v="1478"/>
    <n v="1469"/>
    <n v="1534"/>
    <n v="1636"/>
    <n v="1670"/>
  </r>
  <r>
    <x v="43"/>
    <s v="US61166W1018"/>
    <m/>
    <n v="485.26"/>
    <n v="529.03"/>
    <n v="534.37"/>
    <n v="535.29999999999995"/>
    <n v="540.4"/>
    <n v="545.9"/>
    <n v="548.6"/>
    <n v="545.6"/>
    <n v="543.20000000000005"/>
    <n v="536.4"/>
  </r>
  <r>
    <x v="44"/>
    <s v="US68389X1054"/>
    <m/>
    <n v="4464"/>
    <n v="4646"/>
    <n v="4905"/>
    <n v="5068"/>
    <n v="5026"/>
    <n v="5007"/>
    <n v="5150"/>
    <n v="5107"/>
    <n v="5232"/>
    <n v="5145"/>
  </r>
  <r>
    <x v="45"/>
    <s v="US7134481081"/>
    <m/>
    <n v="1482"/>
    <n v="1522"/>
    <n v="1543"/>
    <n v="1564"/>
    <n v="1581"/>
    <n v="1565"/>
    <n v="1553"/>
    <n v="1605"/>
    <n v="1638"/>
    <n v="1656"/>
  </r>
  <r>
    <x v="46"/>
    <s v="US7170811035"/>
    <m/>
    <n v="6291"/>
    <n v="6399"/>
    <n v="7276"/>
    <n v="7575"/>
    <n v="8012"/>
    <n v="8070"/>
    <n v="6746"/>
    <n v="6761"/>
    <n v="7124"/>
    <n v="7361"/>
  </r>
  <r>
    <x v="47"/>
    <s v="US7181721090"/>
    <m/>
    <n v="1547"/>
    <n v="1589"/>
    <n v="1564"/>
    <n v="1726"/>
    <n v="1802"/>
    <n v="1887"/>
    <n v="2007"/>
    <m/>
    <m/>
    <m/>
  </r>
  <r>
    <x v="48"/>
    <s v="US7427181091"/>
    <m/>
    <n v="2711"/>
    <n v="2742"/>
    <n v="2748"/>
    <n v="2766"/>
    <n v="2844"/>
    <n v="2915"/>
    <n v="3033"/>
    <n v="3132"/>
    <n v="3179"/>
    <n v="2473"/>
  </r>
  <r>
    <x v="49"/>
    <s v="US92343V1044"/>
    <m/>
    <n v="4155"/>
    <n v="2862"/>
    <n v="2858"/>
    <n v="2836"/>
    <n v="2828"/>
    <n v="2836"/>
    <n v="2968"/>
    <n v="2968"/>
    <n v="2912"/>
    <n v="2763"/>
  </r>
  <r>
    <x v="50"/>
    <s v="US9311421039"/>
    <m/>
    <n v="3233"/>
    <n v="3314"/>
    <n v="3418"/>
    <n v="3516"/>
    <n v="3759"/>
    <n v="3925"/>
    <n v="3973"/>
    <n v="4131"/>
    <n v="4165"/>
    <n v="4234"/>
  </r>
  <r>
    <x v="51"/>
    <s v="z_BE0003793107"/>
    <m/>
    <n v="1608"/>
    <n v="1608"/>
    <n v="1607"/>
    <n v="1606"/>
    <n v="1605"/>
    <n v="1604"/>
    <m/>
    <m/>
    <m/>
    <m/>
  </r>
  <r>
    <x v="52"/>
    <s v="z_CH0010570759"/>
    <m/>
    <n v="0.14000000000000001"/>
    <n v="0.14000000000000001"/>
    <n v="0.14000000000000001"/>
    <n v="0.14000000000000001"/>
    <n v="0.14000000000000001"/>
    <n v="0.1"/>
    <n v="0.1"/>
    <n v="0.1"/>
    <n v="0.1"/>
    <n v="0.1"/>
  </r>
  <r>
    <x v="53"/>
    <s v="z_DE0006048432"/>
    <m/>
    <n v="437.96"/>
    <n v="437.96"/>
    <n v="437.96"/>
    <n v="438"/>
    <n v="438"/>
    <n v="438"/>
    <n v="438"/>
    <n v="438"/>
    <n v="438"/>
    <n v="438"/>
  </r>
  <r>
    <x v="54"/>
    <s v="z_FR0000120321"/>
    <m/>
    <n v="605.9"/>
    <n v="605.9"/>
    <n v="608.80999999999995"/>
    <n v="602.98"/>
    <n v="601"/>
    <n v="599"/>
    <n v="602.4"/>
    <n v="618"/>
    <n v="639.6"/>
    <n v="658.8"/>
  </r>
  <r>
    <x v="55"/>
    <s v="z_FR0000120578"/>
    <m/>
    <n v="1324"/>
    <n v="1324"/>
    <n v="1326"/>
    <n v="1341"/>
    <n v="1311"/>
    <n v="1319"/>
    <n v="1316"/>
    <n v="1366"/>
    <n v="1359"/>
    <n v="1396"/>
  </r>
  <r>
    <x v="56"/>
    <s v="z_GB0002374006"/>
    <m/>
    <n v="2754"/>
    <n v="2754"/>
    <n v="2754"/>
    <n v="2754"/>
    <n v="2754"/>
    <n v="2822"/>
    <n v="2803"/>
    <n v="2931"/>
    <n v="3051"/>
    <n v="3060"/>
  </r>
  <r>
    <x v="57"/>
    <s v="z_GB0004835483"/>
    <m/>
    <n v="1673"/>
    <n v="1670"/>
    <n v="1664"/>
    <n v="1659"/>
    <n v="1641"/>
    <n v="1585"/>
    <n v="1506"/>
    <n v="1506"/>
    <m/>
    <m/>
  </r>
  <r>
    <x v="58"/>
    <s v="z_GB0009252882"/>
    <m/>
    <n v="5355"/>
    <n v="5342"/>
    <n v="5398"/>
    <n v="5550"/>
    <n v="5668"/>
    <n v="5665"/>
    <n v="5661"/>
    <n v="6013"/>
    <n v="5992"/>
    <n v="5963"/>
  </r>
  <r>
    <x v="59"/>
    <s v="z_GB00B24CGK77"/>
    <m/>
    <n v="736.5"/>
    <n v="736.5"/>
    <n v="734.2"/>
    <n v="728.6"/>
    <n v="725.9"/>
    <n v="722.6"/>
    <n v="722.6"/>
    <n v="722.4"/>
    <m/>
    <m/>
  </r>
  <r>
    <x v="60"/>
    <s v="z_US02209S1033"/>
    <m/>
    <n v="1972"/>
    <n v="1993"/>
    <n v="2010"/>
    <n v="2046"/>
    <n v="2089"/>
    <n v="2081"/>
    <n v="2061"/>
    <n v="2108"/>
    <n v="2097"/>
    <n v="2084"/>
  </r>
  <r>
    <x v="61"/>
    <s v="z_US0268747849"/>
    <m/>
    <n v="1376"/>
    <n v="1464"/>
    <n v="1907"/>
    <n v="1907"/>
    <n v="141.1"/>
    <n v="141.69999999999999"/>
    <n v="134.5"/>
    <n v="126.5"/>
    <n v="130.1"/>
    <n v="129.80000000000001"/>
  </r>
  <r>
    <x v="62"/>
    <s v="z_US09247X1019"/>
    <m/>
    <n v="164.79"/>
    <n v="166.59"/>
    <n v="168.88"/>
    <n v="138.46"/>
    <n v="131.19999999999999"/>
    <m/>
    <m/>
    <m/>
    <m/>
    <m/>
  </r>
  <r>
    <x v="63"/>
    <s v="z_US3703341046"/>
    <m/>
    <n v="612.5"/>
    <n v="640.79999999999995"/>
    <n v="648.5"/>
    <n v="644.79999999999995"/>
    <n v="651.20000000000005"/>
    <n v="650.79999999999995"/>
    <n v="595"/>
    <n v="680"/>
    <n v="712"/>
    <n v="738"/>
  </r>
  <r>
    <x v="64"/>
    <s v="z_US4943681035"/>
    <m/>
    <n v="365.3"/>
    <n v="380.8"/>
    <n v="389.3"/>
    <n v="395.7"/>
    <n v="406.9"/>
    <n v="416.3"/>
    <n v="413.6"/>
    <n v="420.9"/>
    <n v="455.6"/>
    <n v="461.5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14.4"/>
    <n v="12.8"/>
    <n v="12.1"/>
    <n v="11.12"/>
    <n v="11.25"/>
    <n v="10.38"/>
    <n v="8.82"/>
    <n v="7.64"/>
    <n v="5.61"/>
    <n v="5.27"/>
    <n v="4.76"/>
    <n v="2.64"/>
    <n v="0"/>
    <n v="0"/>
  </r>
  <r>
    <x v="1"/>
    <s v="CH0012005267"/>
    <n v="31"/>
    <n v="12"/>
    <n v="2015"/>
    <n v="3.57"/>
    <n v="3.1"/>
    <n v="2.88"/>
    <n v="2.63"/>
    <n v="2.44"/>
    <n v="2.4700000000000002"/>
    <n v="2.42"/>
    <n v="2.34"/>
    <n v="2.02"/>
    <n v="1.89"/>
    <n v="1.42"/>
    <n v="1.1100000000000001"/>
    <n v="0.88"/>
    <n v="0.92"/>
  </r>
  <r>
    <x v="2"/>
    <s v="CH0012032048"/>
    <n v="31"/>
    <n v="12"/>
    <n v="2015"/>
    <n v="9.4700000000000006"/>
    <n v="8.7899999999999991"/>
    <n v="8.24"/>
    <n v="8"/>
    <n v="7.8"/>
    <n v="7.35"/>
    <n v="6.8"/>
    <n v="6.6"/>
    <n v="6"/>
    <n v="5"/>
    <n v="4.5999999999999996"/>
    <n v="3.4"/>
    <n v="2.5"/>
    <n v="2"/>
  </r>
  <r>
    <x v="3"/>
    <s v="CH0038863350"/>
    <n v="31"/>
    <n v="12"/>
    <n v="2015"/>
    <m/>
    <n v="2.35"/>
    <n v="2.2599999999999998"/>
    <n v="2.2000000000000002"/>
    <n v="2.15"/>
    <n v="2.0499999999999998"/>
    <n v="1.95"/>
    <n v="1.85"/>
    <n v="1.6"/>
    <n v="1.4"/>
    <n v="1.22"/>
    <n v="1.04"/>
    <n v="0.9"/>
    <n v="0.8"/>
  </r>
  <r>
    <x v="4"/>
    <s v="DE0005140008"/>
    <n v="31"/>
    <n v="12"/>
    <n v="2015"/>
    <n v="1.25"/>
    <n v="1.1000000000000001"/>
    <n v="0.81"/>
    <n v="0.75"/>
    <n v="0.75"/>
    <n v="0.75"/>
    <n v="0.75"/>
    <n v="0.75"/>
    <n v="0.75"/>
    <n v="0.5"/>
    <n v="4.5"/>
    <n v="4"/>
    <n v="2.5"/>
    <n v="1.7"/>
  </r>
  <r>
    <x v="5"/>
    <s v="DE0005200000"/>
    <n v="31"/>
    <n v="12"/>
    <n v="2015"/>
    <n v="1.02"/>
    <n v="0.86"/>
    <n v="0.8"/>
    <n v="0.7"/>
    <n v="0.7"/>
    <n v="0.7"/>
    <n v="0.7"/>
    <n v="0.7"/>
    <n v="0.7"/>
    <n v="0.9"/>
    <n v="0.7"/>
    <n v="0.6"/>
    <n v="0.56999999999999995"/>
    <n v="0.53"/>
  </r>
  <r>
    <x v="6"/>
    <s v="DE0005552004"/>
    <n v="31"/>
    <n v="12"/>
    <n v="2015"/>
    <m/>
    <n v="1.05"/>
    <n v="0.94"/>
    <n v="0.85"/>
    <n v="0.8"/>
    <n v="0.7"/>
    <n v="0.7"/>
    <n v="0.65"/>
    <n v="0.6"/>
    <n v="0.6"/>
    <n v="0.9"/>
    <n v="0.75"/>
    <n v="0.7"/>
    <n v="0.5"/>
  </r>
  <r>
    <x v="7"/>
    <s v="DE0005557508"/>
    <n v="31"/>
    <n v="12"/>
    <n v="2015"/>
    <m/>
    <n v="0.56000000000000005"/>
    <n v="0.53"/>
    <n v="0.5"/>
    <n v="0.5"/>
    <n v="0.7"/>
    <n v="0.7"/>
    <n v="0.7"/>
    <n v="0.78"/>
    <n v="0.78"/>
    <n v="0.78"/>
    <n v="0.72"/>
    <n v="0.72"/>
    <n v="0.62"/>
  </r>
  <r>
    <x v="8"/>
    <s v="DE0007164600"/>
    <n v="31"/>
    <n v="12"/>
    <n v="2015"/>
    <n v="1.21"/>
    <n v="1.19"/>
    <n v="1.0900000000000001"/>
    <n v="1.02"/>
    <n v="1"/>
    <n v="0.85"/>
    <n v="1.1000000000000001"/>
    <n v="0.6"/>
    <n v="0.5"/>
    <n v="0.5"/>
    <n v="0.5"/>
    <n v="0.46"/>
    <n v="0.36"/>
    <n v="0.28000000000000003"/>
  </r>
  <r>
    <x v="9"/>
    <s v="DE0007236101"/>
    <n v="30"/>
    <n v="9"/>
    <n v="2015"/>
    <n v="4.04"/>
    <n v="3.69"/>
    <n v="3.51"/>
    <n v="3.3"/>
    <n v="3"/>
    <n v="3"/>
    <n v="3"/>
    <n v="2.7"/>
    <n v="1.6"/>
    <n v="1.6"/>
    <n v="1.6"/>
    <n v="1.45"/>
    <n v="1.35"/>
    <n v="1.25"/>
  </r>
  <r>
    <x v="10"/>
    <s v="DE0008404005"/>
    <n v="31"/>
    <n v="12"/>
    <n v="2015"/>
    <m/>
    <n v="7.1"/>
    <n v="6.95"/>
    <n v="6.85"/>
    <n v="5.3"/>
    <n v="4.5"/>
    <n v="4.5"/>
    <n v="4.5"/>
    <n v="4.0999999999999996"/>
    <n v="3.5"/>
    <n v="5.5"/>
    <n v="3.8"/>
    <n v="2"/>
    <n v="1.75"/>
  </r>
  <r>
    <x v="11"/>
    <s v="DE0008430026"/>
    <n v="31"/>
    <n v="12"/>
    <n v="2015"/>
    <n v="8.44"/>
    <n v="8.08"/>
    <n v="7.82"/>
    <n v="7.75"/>
    <n v="7.25"/>
    <n v="7"/>
    <n v="6.25"/>
    <n v="6.25"/>
    <n v="5.75"/>
    <n v="5.5"/>
    <n v="5.5"/>
    <n v="4.5"/>
    <n v="3.1"/>
    <n v="2"/>
  </r>
  <r>
    <x v="12"/>
    <s v="DE000BASF111"/>
    <n v="31"/>
    <n v="12"/>
    <n v="2015"/>
    <m/>
    <n v="3.07"/>
    <n v="2.91"/>
    <n v="2.8"/>
    <n v="2.7"/>
    <n v="2.6"/>
    <n v="2.5"/>
    <n v="2.2000000000000002"/>
    <n v="1.7"/>
    <n v="1.95"/>
    <n v="1.95"/>
    <n v="1.5"/>
    <n v="1"/>
    <n v="0.85"/>
  </r>
  <r>
    <x v="13"/>
    <s v="DE000BAY0017"/>
    <n v="31"/>
    <n v="12"/>
    <n v="2015"/>
    <m/>
    <n v="2.79"/>
    <n v="2.52"/>
    <n v="2.25"/>
    <n v="2.1"/>
    <n v="1.9"/>
    <n v="1.65"/>
    <n v="1.5"/>
    <n v="1.4"/>
    <n v="1.4"/>
    <n v="1.35"/>
    <n v="1"/>
    <n v="0.95"/>
    <n v="0.55000000000000004"/>
  </r>
  <r>
    <x v="14"/>
    <s v="ES0113900J37"/>
    <n v="31"/>
    <n v="12"/>
    <n v="2015"/>
    <n v="0.26"/>
    <n v="0.24"/>
    <n v="0.22"/>
    <n v="0.4"/>
    <n v="0.6"/>
    <n v="0.6"/>
    <n v="0.78"/>
    <n v="0.6"/>
    <n v="0.6"/>
    <n v="0.65"/>
    <n v="0.65"/>
    <n v="0.52"/>
    <n v="0.42"/>
    <n v="0.33"/>
  </r>
  <r>
    <x v="15"/>
    <s v="ES0178430E18"/>
    <n v="31"/>
    <n v="12"/>
    <n v="2015"/>
    <m/>
    <n v="0.7"/>
    <n v="0.71"/>
    <n v="0.4"/>
    <n v="0.75"/>
    <n v="0.82"/>
    <n v="1.52"/>
    <n v="1.3"/>
    <n v="1"/>
    <n v="0.9"/>
    <n v="0.65"/>
    <n v="0.55000000000000004"/>
    <n v="0.5"/>
    <n v="0.4"/>
  </r>
  <r>
    <x v="16"/>
    <s v="FR0000120271"/>
    <n v="31"/>
    <n v="12"/>
    <n v="2015"/>
    <n v="2.64"/>
    <n v="2.54"/>
    <n v="2.5099999999999998"/>
    <n v="2.15"/>
    <n v="2.38"/>
    <n v="2.34"/>
    <n v="2.2799999999999998"/>
    <n v="2.2799999999999998"/>
    <n v="2.2799999999999998"/>
    <n v="2.2799999999999998"/>
    <n v="2.0699999999999998"/>
    <n v="1.87"/>
    <n v="1.62"/>
    <n v="1.35"/>
  </r>
  <r>
    <x v="17"/>
    <s v="FR0000120644"/>
    <n v="31"/>
    <n v="12"/>
    <n v="2015"/>
    <m/>
    <n v="1.69"/>
    <n v="1.57"/>
    <n v="1.5"/>
    <n v="1.45"/>
    <n v="1.45"/>
    <n v="1.39"/>
    <n v="1.3"/>
    <n v="1.2"/>
    <n v="1.2"/>
    <n v="1.1000000000000001"/>
    <n v="1"/>
    <n v="0.85"/>
    <n v="0.68"/>
  </r>
  <r>
    <x v="18"/>
    <s v="GB0000566504"/>
    <n v="30"/>
    <n v="6"/>
    <n v="2015"/>
    <n v="1.34"/>
    <n v="1.29"/>
    <n v="1.26"/>
    <n v="1.18"/>
    <n v="1.1599999999999999"/>
    <n v="1.1200000000000001"/>
    <n v="1.01"/>
    <n v="0.87"/>
    <n v="0.82"/>
    <n v="0.56000000000000005"/>
    <n v="0.39"/>
    <n v="0.32"/>
    <n v="0.23"/>
    <m/>
  </r>
  <r>
    <x v="19"/>
    <s v="GB0002875804"/>
    <n v="31"/>
    <n v="12"/>
    <n v="2015"/>
    <m/>
    <n v="1.61"/>
    <n v="1.51"/>
    <n v="1.44"/>
    <n v="1.42"/>
    <n v="1.35"/>
    <n v="1.27"/>
    <n v="1.1399999999999999"/>
    <n v="1"/>
    <n v="0.84"/>
    <n v="0.66"/>
    <m/>
    <m/>
    <m/>
  </r>
  <r>
    <x v="20"/>
    <s v="GB0004544929"/>
    <n v="30"/>
    <n v="9"/>
    <n v="2015"/>
    <n v="1.68"/>
    <n v="1.53"/>
    <n v="1.41"/>
    <n v="1.28"/>
    <n v="1.1599999999999999"/>
    <n v="1.06"/>
    <n v="0.95"/>
    <n v="0.84"/>
    <n v="0.73"/>
    <n v="0.63"/>
    <n v="0.6"/>
    <m/>
    <m/>
    <m/>
  </r>
  <r>
    <x v="21"/>
    <s v="GB0005405286"/>
    <n v="31"/>
    <n v="12"/>
    <n v="2015"/>
    <m/>
    <n v="0.59"/>
    <n v="0.54"/>
    <n v="0.5"/>
    <n v="0.49"/>
    <n v="0.45"/>
    <n v="0.41"/>
    <n v="0.36"/>
    <n v="0.32"/>
    <n v="0.93"/>
    <n v="0.87"/>
    <n v="0.76"/>
    <n v="0.69"/>
    <n v="0.66"/>
  </r>
  <r>
    <x v="22"/>
    <s v="GB0007188757"/>
    <n v="31"/>
    <n v="12"/>
    <n v="2015"/>
    <n v="2.73"/>
    <n v="2.5"/>
    <n v="2.33"/>
    <n v="2.15"/>
    <n v="2.87"/>
    <n v="2.58"/>
    <n v="2.08"/>
    <n v="1.53"/>
    <n v="1.01"/>
    <n v="1.36"/>
    <n v="1.36"/>
    <n v="1.04"/>
    <n v="0.8"/>
    <n v="0.77"/>
  </r>
  <r>
    <x v="23"/>
    <s v="GB0007980591"/>
    <n v="31"/>
    <n v="12"/>
    <n v="2015"/>
    <n v="0.43"/>
    <n v="0.41"/>
    <n v="0.4"/>
    <n v="0.39"/>
    <n v="0.37"/>
    <n v="0.33"/>
    <n v="0.28000000000000003"/>
    <n v="0.14000000000000001"/>
    <n v="0.56000000000000005"/>
    <n v="0.55000000000000004"/>
    <n v="0.42"/>
    <n v="0.38"/>
    <n v="0.35"/>
    <n v="0.28000000000000003"/>
  </r>
  <r>
    <x v="24"/>
    <s v="GB00B03MLX29"/>
    <n v="31"/>
    <n v="12"/>
    <n v="2015"/>
    <n v="1.87"/>
    <n v="1.93"/>
    <n v="1.98"/>
    <n v="1.88"/>
    <n v="1.8"/>
    <n v="1.72"/>
    <n v="1.68"/>
    <n v="1.68"/>
    <n v="1.66"/>
    <n v="1.6"/>
    <n v="1.44"/>
    <n v="1.27"/>
    <n v="1.1299999999999999"/>
    <m/>
  </r>
  <r>
    <x v="25"/>
    <s v="GB00BH4HKS39"/>
    <n v="31"/>
    <n v="3"/>
    <n v="2015"/>
    <n v="0.11599999999999999"/>
    <n v="0.115"/>
    <n v="0.113"/>
    <n v="0.11"/>
    <n v="0.1"/>
    <n v="9.5000000000000001E-2"/>
    <n v="8.8999999999999996E-2"/>
    <n v="8.3000000000000004E-2"/>
    <n v="5.6000000000000001E-2"/>
    <n v="7.4999999999999997E-2"/>
    <n v="6.8000000000000005E-2"/>
    <n v="6.0999999999999999E-2"/>
    <n v="0.04"/>
    <n v="0.02"/>
  </r>
  <r>
    <x v="26"/>
    <s v="NL0000009355"/>
    <n v="31"/>
    <n v="12"/>
    <n v="2015"/>
    <n v="1.37"/>
    <n v="1.25"/>
    <n v="1.17"/>
    <n v="1.1399999999999999"/>
    <n v="1.05"/>
    <n v="0.97"/>
    <n v="0.9"/>
    <n v="0.83"/>
    <n v="0.46"/>
    <n v="0.77"/>
    <n v="0.75"/>
    <n v="0.96"/>
    <n v="0.66"/>
    <n v="0.63"/>
  </r>
  <r>
    <x v="27"/>
    <s v="US00206R1023"/>
    <n v="31"/>
    <n v="12"/>
    <n v="2015"/>
    <n v="1.96"/>
    <n v="1.93"/>
    <n v="1.88"/>
    <n v="1.85"/>
    <n v="1.81"/>
    <n v="1.77"/>
    <n v="1.72"/>
    <n v="1.68"/>
    <n v="1.65"/>
    <n v="1.61"/>
    <n v="1.47"/>
    <n v="1.35"/>
    <n v="1.3"/>
    <n v="1.26"/>
  </r>
  <r>
    <x v="28"/>
    <s v="US1667641005"/>
    <n v="31"/>
    <n v="12"/>
    <n v="2015"/>
    <n v="4.6399999999999997"/>
    <n v="4.55"/>
    <n v="4.3899999999999997"/>
    <n v="4.21"/>
    <n v="3.9"/>
    <n v="3.51"/>
    <n v="3.09"/>
    <n v="2.84"/>
    <n v="2.66"/>
    <n v="2.5299999999999998"/>
    <n v="2.2599999999999998"/>
    <n v="2.0099999999999998"/>
    <n v="1.75"/>
    <n v="1.53"/>
  </r>
  <r>
    <x v="29"/>
    <s v="US1912161007"/>
    <n v="31"/>
    <n v="12"/>
    <n v="2015"/>
    <n v="1.51"/>
    <n v="1.43"/>
    <n v="1.32"/>
    <n v="1.22"/>
    <n v="1.1200000000000001"/>
    <n v="1.02"/>
    <n v="0.94"/>
    <n v="0.88"/>
    <n v="0.82"/>
    <n v="0.76"/>
    <n v="0.68"/>
    <n v="0.62"/>
    <n v="0.56000000000000005"/>
    <n v="0.5"/>
  </r>
  <r>
    <x v="30"/>
    <s v="US1941621039"/>
    <n v="31"/>
    <n v="12"/>
    <n v="2015"/>
    <n v="1.76"/>
    <n v="1.65"/>
    <n v="1.53"/>
    <n v="1.42"/>
    <n v="1.33"/>
    <n v="1.22"/>
    <n v="1.1399999999999999"/>
    <n v="1.01"/>
    <n v="0.86"/>
    <n v="0.78"/>
    <n v="0.7"/>
    <n v="0.63"/>
    <n v="0.56000000000000005"/>
    <n v="0.48"/>
  </r>
  <r>
    <x v="31"/>
    <s v="US2605431038"/>
    <n v="31"/>
    <n v="12"/>
    <n v="2015"/>
    <n v="1.96"/>
    <n v="1.72"/>
    <n v="1.61"/>
    <n v="1.53"/>
    <n v="1.28"/>
    <n v="1.21"/>
    <n v="0.9"/>
    <n v="0.6"/>
    <n v="0.6"/>
    <n v="1.68"/>
    <n v="1.59"/>
    <n v="1.46"/>
    <n v="1.34"/>
    <n v="1.34"/>
  </r>
  <r>
    <x v="32"/>
    <s v="US30231G1022"/>
    <n v="31"/>
    <n v="12"/>
    <n v="2015"/>
    <n v="3.08"/>
    <n v="2.97"/>
    <n v="2.86"/>
    <n v="2.7"/>
    <n v="2.46"/>
    <n v="2.1800000000000002"/>
    <n v="1.85"/>
    <n v="1.74"/>
    <n v="1.66"/>
    <n v="1.55"/>
    <n v="1.37"/>
    <n v="1.28"/>
    <n v="1.1399999999999999"/>
    <n v="1.06"/>
  </r>
  <r>
    <x v="33"/>
    <s v="US3696041033"/>
    <n v="31"/>
    <n v="12"/>
    <n v="2015"/>
    <n v="1.02"/>
    <n v="1"/>
    <n v="0.93"/>
    <n v="0.89"/>
    <n v="0.79"/>
    <n v="0.7"/>
    <n v="0.61"/>
    <n v="0.46"/>
    <n v="0.61"/>
    <n v="1.24"/>
    <n v="1.1499999999999999"/>
    <n v="1.03"/>
    <n v="0.91"/>
    <n v="0.82"/>
  </r>
  <r>
    <x v="34"/>
    <s v="US38141G1040"/>
    <n v="31"/>
    <n v="12"/>
    <n v="2015"/>
    <n v="3.21"/>
    <n v="2.76"/>
    <n v="2.4700000000000002"/>
    <n v="2.25"/>
    <n v="2.0499999999999998"/>
    <n v="1.77"/>
    <n v="1.4"/>
    <n v="1.4"/>
    <n v="1.05"/>
    <n v="1.4"/>
    <n v="1.4"/>
    <n v="1.3"/>
    <n v="1"/>
    <n v="1"/>
  </r>
  <r>
    <x v="35"/>
    <s v="US4592001014"/>
    <n v="31"/>
    <n v="12"/>
    <n v="2015"/>
    <n v="4.74"/>
    <n v="4.8600000000000003"/>
    <n v="4.58"/>
    <n v="4.22"/>
    <n v="3.7"/>
    <n v="3.3"/>
    <n v="2.9"/>
    <n v="2.5"/>
    <n v="2.15"/>
    <n v="1.9"/>
    <n v="1.5"/>
    <n v="1.1000000000000001"/>
    <n v="0.78"/>
    <n v="0.7"/>
  </r>
  <r>
    <x v="36"/>
    <s v="US46625H1005"/>
    <n v="31"/>
    <n v="12"/>
    <n v="2015"/>
    <n v="2.2599999999999998"/>
    <n v="1.89"/>
    <n v="1.68"/>
    <n v="1.58"/>
    <n v="1.44"/>
    <n v="1.2"/>
    <n v="1"/>
    <n v="0.2"/>
    <n v="0.2"/>
    <n v="1.52"/>
    <n v="1.48"/>
    <n v="1.36"/>
    <n v="1.36"/>
    <n v="1.36"/>
  </r>
  <r>
    <x v="37"/>
    <s v="US4781601046"/>
    <n v="31"/>
    <n v="12"/>
    <n v="2015"/>
    <n v="3.37"/>
    <n v="3.1"/>
    <n v="2.92"/>
    <n v="2.76"/>
    <n v="2.59"/>
    <n v="2.4"/>
    <n v="2.25"/>
    <n v="2.11"/>
    <n v="1.93"/>
    <n v="1.79"/>
    <n v="1.62"/>
    <n v="1.46"/>
    <n v="1.27"/>
    <n v="1.0900000000000001"/>
  </r>
  <r>
    <x v="38"/>
    <s v="US50076Q1067"/>
    <n v="31"/>
    <n v="12"/>
    <n v="2015"/>
    <n v="2.5099999999999998"/>
    <n v="2.36"/>
    <n v="2.2400000000000002"/>
    <n v="2.15"/>
    <n v="2.0499999999999998"/>
    <n v="1.1426592797783934"/>
    <n v="0.8765743073047858"/>
    <n v="1.0368715083798883"/>
    <n v="0.985079365079365"/>
    <n v="1.07919028340081"/>
    <m/>
    <m/>
    <m/>
    <m/>
  </r>
  <r>
    <x v="39"/>
    <s v="US5801351017"/>
    <n v="31"/>
    <n v="12"/>
    <n v="2015"/>
    <n v="4"/>
    <n v="3.68"/>
    <n v="3.47"/>
    <n v="3.28"/>
    <n v="3.12"/>
    <n v="2.87"/>
    <n v="2.5299999999999998"/>
    <n v="2.2599999999999998"/>
    <n v="2.0499999999999998"/>
    <n v="1.63"/>
    <n v="1.5"/>
    <n v="1"/>
    <n v="0.67"/>
    <n v="0.55000000000000004"/>
  </r>
  <r>
    <x v="40"/>
    <s v="US58933Y1055"/>
    <n v="31"/>
    <n v="12"/>
    <n v="2015"/>
    <n v="1.87"/>
    <n v="1.83"/>
    <n v="1.79"/>
    <n v="1.77"/>
    <n v="1.73"/>
    <n v="1.68"/>
    <n v="1.52"/>
    <n v="1.52"/>
    <n v="1.52"/>
    <n v="1.52"/>
    <n v="1.52"/>
    <n v="1.52"/>
    <n v="1.52"/>
    <n v="1.49"/>
  </r>
  <r>
    <x v="41"/>
    <s v="US5949181045"/>
    <n v="30"/>
    <n v="6"/>
    <n v="2015"/>
    <n v="1.35"/>
    <n v="1.29"/>
    <n v="1.19"/>
    <n v="1.1200000000000001"/>
    <n v="0.92"/>
    <n v="0.8"/>
    <n v="0.64"/>
    <n v="0.52"/>
    <n v="0.52"/>
    <n v="0.44"/>
    <n v="0.4"/>
    <n v="0.35"/>
    <n v="3.4"/>
    <n v="0.16"/>
  </r>
  <r>
    <x v="42"/>
    <s v="US6092071058"/>
    <n v="31"/>
    <n v="12"/>
    <n v="2015"/>
    <n v="0.71"/>
    <n v="0.67"/>
    <n v="0.62"/>
    <n v="0.57999999999999996"/>
    <n v="0.54"/>
    <n v="0.35734072022160668"/>
    <n v="0.28342569269521412"/>
    <n v="0.12312849162011172"/>
    <n v="0.17492063492063489"/>
    <n v="4.080971659919029E-2"/>
    <m/>
    <m/>
    <m/>
    <m/>
  </r>
  <r>
    <x v="43"/>
    <s v="US61166W1018"/>
    <n v="31"/>
    <n v="8"/>
    <n v="2015"/>
    <n v="2.14"/>
    <n v="2.1"/>
    <n v="1.91"/>
    <n v="1.78"/>
    <n v="1.56"/>
    <n v="1.28"/>
    <n v="1.1399999999999999"/>
    <n v="1.08"/>
    <n v="1.04"/>
    <n v="0.83"/>
    <n v="0.55000000000000004"/>
    <n v="0.4"/>
    <n v="0.34"/>
    <n v="0.34"/>
  </r>
  <r>
    <x v="44"/>
    <s v="US68389X1054"/>
    <n v="31"/>
    <n v="5"/>
    <n v="2015"/>
    <n v="0.5"/>
    <n v="0.49"/>
    <n v="0.48"/>
    <n v="0.48"/>
    <n v="0.3"/>
    <n v="0.24"/>
    <n v="0.21"/>
    <n v="0.2"/>
    <n v="0.05"/>
    <n v="0"/>
    <n v="0"/>
    <n v="0"/>
    <n v="0"/>
    <n v="0"/>
  </r>
  <r>
    <x v="45"/>
    <s v="US7134481081"/>
    <n v="31"/>
    <n v="12"/>
    <n v="2015"/>
    <n v="3.24"/>
    <n v="2.99"/>
    <n v="2.76"/>
    <n v="2.5299999999999998"/>
    <n v="2.2400000000000002"/>
    <n v="2.13"/>
    <n v="2.0299999999999998"/>
    <n v="1.89"/>
    <n v="1.78"/>
    <n v="1.65"/>
    <n v="1.43"/>
    <n v="1.1599999999999999"/>
    <n v="1.01"/>
    <n v="0.85"/>
  </r>
  <r>
    <x v="46"/>
    <s v="US7170811035"/>
    <n v="31"/>
    <n v="12"/>
    <n v="2015"/>
    <n v="1.23"/>
    <n v="1.1499999999999999"/>
    <n v="1.03"/>
    <n v="1.04"/>
    <n v="0.96"/>
    <n v="0.88"/>
    <n v="0.8"/>
    <n v="0.72"/>
    <n v="0.8"/>
    <n v="1.28"/>
    <n v="1.1599999999999999"/>
    <n v="0.96"/>
    <n v="0.76"/>
    <n v="0.68"/>
  </r>
  <r>
    <x v="47"/>
    <s v="US7181721090"/>
    <n v="31"/>
    <n v="12"/>
    <n v="2015"/>
    <n v="4.42"/>
    <n v="4.28"/>
    <n v="4.05"/>
    <n v="3.88"/>
    <n v="3.58"/>
    <n v="3.24"/>
    <n v="2.82"/>
    <n v="2.44"/>
    <n v="2.2400000000000002"/>
    <n v="1.54"/>
    <m/>
    <m/>
    <m/>
    <m/>
  </r>
  <r>
    <x v="48"/>
    <s v="US7427181091"/>
    <n v="30"/>
    <n v="6"/>
    <n v="2015"/>
    <n v="3.01"/>
    <n v="2.8"/>
    <n v="2.6"/>
    <n v="2.4500000000000002"/>
    <n v="2.29"/>
    <n v="2.14"/>
    <n v="1.97"/>
    <n v="1.8"/>
    <n v="1.64"/>
    <n v="1.45"/>
    <n v="1.28"/>
    <n v="1.1499999999999999"/>
    <n v="1.03"/>
    <n v="0.93"/>
  </r>
  <r>
    <x v="49"/>
    <s v="US92343V1044"/>
    <n v="31"/>
    <n v="12"/>
    <n v="2015"/>
    <n v="2.34"/>
    <n v="2.25"/>
    <n v="2.2000000000000002"/>
    <n v="2.16"/>
    <n v="2.09"/>
    <n v="2.0299999999999998"/>
    <n v="1.98"/>
    <n v="1.93"/>
    <n v="1.87"/>
    <n v="1.78"/>
    <n v="1.67"/>
    <n v="1.62"/>
    <n v="1.62"/>
    <n v="1.54"/>
  </r>
  <r>
    <x v="50"/>
    <s v="US9311421039"/>
    <n v="31"/>
    <n v="1"/>
    <n v="2015"/>
    <n v="2.15"/>
    <n v="2.02"/>
    <n v="1.93"/>
    <n v="1.88"/>
    <n v="1.59"/>
    <n v="1.46"/>
    <n v="1.21"/>
    <n v="1.0900000000000001"/>
    <n v="0.95"/>
    <n v="0.88"/>
    <n v="0.67"/>
    <n v="0.6"/>
    <n v="0.52"/>
    <n v="0.36"/>
  </r>
  <r>
    <x v="51"/>
    <s v="z_BE0003793107"/>
    <n v="31"/>
    <n v="12"/>
    <n v="2015"/>
    <m/>
    <n v="3.7"/>
    <n v="3.34"/>
    <n v="3.01"/>
    <n v="2.0499999999999998"/>
    <n v="2.23"/>
    <n v="1.55"/>
    <n v="1.07"/>
    <n v="0.55000000000000004"/>
    <n v="0.35"/>
    <m/>
    <m/>
    <m/>
    <m/>
  </r>
  <r>
    <x v="52"/>
    <s v="z_CH0010570759"/>
    <n v="31"/>
    <n v="12"/>
    <n v="2015"/>
    <m/>
    <n v="901"/>
    <n v="817"/>
    <n v="728"/>
    <n v="650"/>
    <n v="575"/>
    <n v="500"/>
    <n v="450"/>
    <n v="400"/>
    <n v="360"/>
    <n v="330"/>
    <n v="275"/>
    <n v="225"/>
    <n v="180"/>
  </r>
  <r>
    <x v="53"/>
    <s v="z_DE0006048432"/>
    <n v="31"/>
    <n v="12"/>
    <n v="2015"/>
    <m/>
    <n v="1.59"/>
    <n v="1.46"/>
    <n v="1.32"/>
    <n v="1.22"/>
    <n v="0.95"/>
    <n v="0.8"/>
    <n v="0.72"/>
    <n v="0.53"/>
    <n v="0.53"/>
    <n v="0.53"/>
    <n v="0.5"/>
    <n v="0.45"/>
    <n v="0.43"/>
  </r>
  <r>
    <x v="54"/>
    <s v="z_FR0000120321"/>
    <n v="31"/>
    <n v="12"/>
    <n v="2015"/>
    <m/>
    <n v="3.27"/>
    <n v="2.99"/>
    <n v="2.7"/>
    <n v="2.5"/>
    <n v="2.2999999999999998"/>
    <n v="2"/>
    <n v="1.8"/>
    <n v="1.5"/>
    <n v="1.44"/>
    <n v="1.38"/>
    <n v="1.18"/>
    <n v="1"/>
    <n v="0.82"/>
  </r>
  <r>
    <x v="55"/>
    <s v="z_FR0000120578"/>
    <n v="31"/>
    <n v="12"/>
    <n v="2015"/>
    <n v="3.27"/>
    <n v="3.17"/>
    <n v="3.03"/>
    <n v="2.85"/>
    <n v="2.8"/>
    <n v="2.77"/>
    <n v="2.65"/>
    <n v="2.5"/>
    <n v="2.4"/>
    <n v="2.2000000000000002"/>
    <n v="2.0699999999999998"/>
    <n v="1.75"/>
    <n v="1.52"/>
    <n v="1.2"/>
  </r>
  <r>
    <x v="56"/>
    <s v="z_GB0002374006"/>
    <n v="30"/>
    <n v="6"/>
    <n v="2015"/>
    <n v="0.61499999999999999"/>
    <n v="0.57999999999999996"/>
    <n v="0.54100000000000004"/>
    <n v="0.52"/>
    <n v="0.47"/>
    <n v="0.44"/>
    <n v="0.4"/>
    <n v="0.38"/>
    <n v="0.36"/>
    <n v="0.34"/>
    <n v="0.33"/>
    <n v="0.31"/>
    <n v="0.3"/>
    <n v="0.28000000000000003"/>
  </r>
  <r>
    <x v="57"/>
    <s v="z_GB0004835483"/>
    <n v="31"/>
    <n v="3"/>
    <n v="2015"/>
    <n v="1.27"/>
    <n v="1.17"/>
    <n v="1.1000000000000001"/>
    <n v="1.05"/>
    <n v="1.01"/>
    <n v="0.91"/>
    <n v="0.81"/>
    <n v="0.68"/>
    <n v="0.57999999999999996"/>
    <n v="0.57999999999999996"/>
    <n v="0.5"/>
    <m/>
    <m/>
    <m/>
  </r>
  <r>
    <x v="58"/>
    <s v="z_GB0009252882"/>
    <n v="31"/>
    <n v="12"/>
    <n v="2015"/>
    <n v="0.80799999999999994"/>
    <n v="0.80599999999999994"/>
    <n v="0.80700000000000005"/>
    <n v="0.8"/>
    <n v="0.78"/>
    <n v="0.74"/>
    <n v="0.7"/>
    <n v="0.65"/>
    <n v="0.61"/>
    <n v="0.56999999999999995"/>
    <n v="0.53"/>
    <n v="0.48"/>
    <n v="0.44"/>
    <n v="0.42"/>
  </r>
  <r>
    <x v="59"/>
    <s v="z_GB00B24CGK77"/>
    <n v="31"/>
    <n v="12"/>
    <n v="2015"/>
    <n v="1.45"/>
    <n v="1.36"/>
    <n v="1.28"/>
    <n v="1.36"/>
    <n v="1.37"/>
    <n v="1.34"/>
    <n v="1.25"/>
    <n v="1.1499999999999999"/>
    <n v="1"/>
    <n v="0.62"/>
    <n v="0.5"/>
    <m/>
    <m/>
    <m/>
  </r>
  <r>
    <x v="60"/>
    <s v="z_US02209S1033"/>
    <n v="31"/>
    <n v="12"/>
    <n v="2015"/>
    <n v="2.5"/>
    <n v="2.33"/>
    <n v="2.15"/>
    <n v="1.7"/>
    <n v="1.84"/>
    <n v="1.7"/>
    <n v="1.58"/>
    <n v="1.46"/>
    <n v="1.32"/>
    <n v="1.04"/>
    <n v="0.94199999999999995"/>
    <n v="0.83499999999999996"/>
    <n v="0.70899999999999996"/>
    <n v="0.77300000000000002"/>
  </r>
  <r>
    <x v="61"/>
    <s v="z_US0268747849"/>
    <n v="31"/>
    <n v="12"/>
    <n v="2015"/>
    <n v="0.76"/>
    <n v="0.74"/>
    <n v="0.63"/>
    <n v="0.5"/>
    <n v="0.2"/>
    <n v="0"/>
    <n v="0"/>
    <n v="0"/>
    <n v="0"/>
    <n v="8.4"/>
    <n v="15.4"/>
    <n v="13"/>
    <n v="12.6"/>
    <n v="5.6"/>
  </r>
  <r>
    <x v="62"/>
    <s v="z_US09247X1019"/>
    <n v="31"/>
    <n v="12"/>
    <n v="2015"/>
    <n v="10.6"/>
    <n v="9.61"/>
    <n v="8.68"/>
    <n v="7.72"/>
    <n v="6.72"/>
    <n v="6"/>
    <n v="5.5"/>
    <n v="4"/>
    <n v="3.12"/>
    <n v="3.12"/>
    <m/>
    <m/>
    <m/>
    <m/>
  </r>
  <r>
    <x v="63"/>
    <s v="z_US3703341046"/>
    <n v="31"/>
    <n v="5"/>
    <n v="2015"/>
    <n v="1.86"/>
    <n v="1.75"/>
    <n v="1.63"/>
    <n v="1.55"/>
    <n v="1.32"/>
    <n v="1.22"/>
    <n v="1.1200000000000001"/>
    <n v="0.96"/>
    <n v="0.86"/>
    <n v="0.79"/>
    <n v="0.72"/>
    <n v="0.67"/>
    <n v="0.62"/>
    <n v="0.55000000000000004"/>
  </r>
  <r>
    <x v="64"/>
    <s v="z_US4943681035"/>
    <n v="31"/>
    <n v="12"/>
    <n v="2015"/>
    <n v="3.98"/>
    <n v="3.74"/>
    <n v="3.52"/>
    <n v="3.36"/>
    <n v="3.24"/>
    <n v="2.96"/>
    <n v="2.8"/>
    <n v="2.64"/>
    <n v="2.4"/>
    <n v="2.3199999999999998"/>
    <n v="2.12"/>
    <n v="1.96"/>
    <n v="1.8"/>
    <n v="1.6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65">
  <r>
    <x v="0"/>
    <s v="CH0011037469"/>
    <n v="31"/>
    <n v="12"/>
    <n v="2015"/>
    <n v="0.62337662337662336"/>
    <n v="0.63054187192118227"/>
    <n v="0.6797752808988764"/>
    <n v="0.63181818181818172"/>
    <n v="0.63273340832395941"/>
    <n v="0.51082677165354329"/>
    <n v="0.50953206239168114"/>
    <n v="0.50967311541027349"/>
    <n v="0.38372093023255816"/>
    <n v="0.36021872863978122"/>
    <n v="0.41681260945709281"/>
    <n v="0.41574803149606304"/>
    <n v="0"/>
  </r>
  <r>
    <x v="1"/>
    <s v="CH0012005267"/>
    <n v="31"/>
    <n v="12"/>
    <n v="2015"/>
    <n v="0.63297872340425532"/>
    <n v="0.64449064449064453"/>
    <n v="0.6"/>
    <n v="0.61020881670533644"/>
    <n v="0.65945945945945939"/>
    <n v="0.634961439588689"/>
    <n v="0.64021164021164023"/>
    <n v="0.54929577464788737"/>
    <n v="0.54742547425474253"/>
    <n v="0.52646239554317553"/>
    <n v="0.50533807829181487"/>
    <n v="0.36513157894736847"/>
    <n v="0.33587786259541985"/>
  </r>
  <r>
    <x v="2"/>
    <s v="CH0012032048"/>
    <n v="31"/>
    <n v="12"/>
    <n v="2015"/>
    <n v="0.61895424836601309"/>
    <n v="0.61901408450704221"/>
    <n v="0.62900763358778633"/>
    <n v="0.74005550416281218"/>
    <n v="0.60324825986078889"/>
    <n v="0.65860215053763438"/>
    <n v="0.61930783242258647"/>
    <n v="0.65281899109792285"/>
    <n v="0.66518847006651893"/>
    <n v="0.48875855327468226"/>
    <n v="0.41218637992831536"/>
    <n v="0.37569060773480661"/>
    <n v="0.37257824143070045"/>
  </r>
  <r>
    <x v="3"/>
    <s v="CH0038863350"/>
    <n v="31"/>
    <n v="12"/>
    <n v="2015"/>
    <e v="#DIV/0!"/>
    <n v="0.65277777777777779"/>
    <n v="0.68277945619335345"/>
    <n v="0.48672566371681425"/>
    <n v="0.68690095846645371"/>
    <n v="0.61746987951807231"/>
    <n v="0.65878378378378377"/>
    <n v="0.86854460093896724"/>
    <n v="0.54982817869415812"/>
    <n v="0.57377049180327866"/>
    <n v="0.4420289855072464"/>
    <n v="0.44067796610169496"/>
    <n v="0.44117647058823528"/>
  </r>
  <r>
    <x v="4"/>
    <s v="DE0005140008"/>
    <n v="31"/>
    <n v="12"/>
    <n v="2015"/>
    <n v="0.32299741602067183"/>
    <n v="0.30640668523676884"/>
    <n v="0.33750000000000002"/>
    <n v="0.5725190839694656"/>
    <n v="1.1538461538461537"/>
    <n v="3"/>
    <n v="0.1744186046511628"/>
    <n v="0.25684931506849318"/>
    <n v="0.10806916426512968"/>
    <n v="-6.5703022339027597E-2"/>
    <n v="0.34482758620689652"/>
    <n v="0.34632034632034631"/>
    <n v="0.35971223021582732"/>
  </r>
  <r>
    <x v="5"/>
    <s v="DE0005200000"/>
    <n v="31"/>
    <n v="12"/>
    <n v="2015"/>
    <n v="0.30267062314540061"/>
    <n v="0.28859060402684561"/>
    <n v="0.29090909090909095"/>
    <n v="0.30303030303030298"/>
    <n v="0.30042918454935619"/>
    <n v="0.33653846153846151"/>
    <n v="0.37433155080213898"/>
    <n v="0.38043478260869562"/>
    <n v="0.42424242424242425"/>
    <n v="0.41095890410958907"/>
    <n v="0.330188679245283"/>
    <n v="0.35502958579881655"/>
    <n v="0.39310344827586202"/>
  </r>
  <r>
    <x v="6"/>
    <s v="DE0005552004"/>
    <n v="31"/>
    <n v="12"/>
    <n v="2015"/>
    <e v="#DIV/0!"/>
    <n v="0.51470588235294124"/>
    <n v="0.51648351648351642"/>
    <n v="0.4913294797687861"/>
    <n v="0.48192771084337355"/>
    <n v="0.53030303030303028"/>
    <n v="0.72916666666666663"/>
    <n v="0.30952380952380953"/>
    <n v="1.1320754716981132"/>
    <n v="-0.4285714285714286"/>
    <n v="0.78260869565217395"/>
    <n v="0.46875"/>
    <n v="0.35175879396984921"/>
  </r>
  <r>
    <x v="7"/>
    <s v="DE0005557508"/>
    <n v="31"/>
    <n v="12"/>
    <n v="2015"/>
    <e v="#DIV/0!"/>
    <n v="0.7777777777777779"/>
    <n v="0.86885245901639352"/>
    <n v="0.94339622641509424"/>
    <n v="0.79365079365079361"/>
    <n v="1.2068965517241379"/>
    <n v="1.044776119402985"/>
    <n v="0.88607594936708856"/>
    <n v="1"/>
    <n v="1"/>
    <n v="1.1304347826086958"/>
    <n v="0.79999999999999993"/>
    <n v="0.66666666666666663"/>
  </r>
  <r>
    <x v="8"/>
    <s v="DE0007164600"/>
    <n v="31"/>
    <n v="12"/>
    <n v="2015"/>
    <n v="0.32439678284182305"/>
    <n v="0.34492753623188405"/>
    <n v="0.34169278996865204"/>
    <n v="0.37226277372262773"/>
    <n v="0.35971223021582738"/>
    <n v="0.35864978902953581"/>
    <n v="0.44534412955465585"/>
    <n v="0.2857142857142857"/>
    <n v="0.3401360544217687"/>
    <n v="0.32258064516129031"/>
    <n v="0.31446540880503143"/>
    <n v="0.30263157894736842"/>
    <n v="0.3"/>
  </r>
  <r>
    <x v="9"/>
    <s v="DE0007236101"/>
    <n v="30"/>
    <n v="9"/>
    <n v="2015"/>
    <n v="0.52399481193255515"/>
    <n v="0.51608391608391602"/>
    <n v="0.45466321243523317"/>
    <n v="0.52297939778129954"/>
    <n v="0.59642147117296218"/>
    <n v="0.59523809523809523"/>
    <n v="0.43103448275862072"/>
    <n v="0.60810810810810811"/>
    <n v="0.60836501901140694"/>
    <n v="0.79207920792079212"/>
    <n v="0.41450777202072542"/>
    <n v="0.44478527607361967"/>
    <n v="0.55785123966942152"/>
  </r>
  <r>
    <x v="10"/>
    <s v="DE0008404005"/>
    <n v="31"/>
    <n v="12"/>
    <n v="2015"/>
    <e v="#DIV/0!"/>
    <n v="0.5"/>
    <n v="0.49642857142857144"/>
    <n v="0.50219941348973607"/>
    <n v="0.4061302681992337"/>
    <n v="0.3968253968253968"/>
    <n v="0.82116788321167877"/>
    <n v="0.40467625899280579"/>
    <n v="0.43157894736842101"/>
    <n v="-0.63985374771480807"/>
    <n v="0.3105590062111801"/>
    <n v="0.22646007151370676"/>
    <n v="0.17793594306049823"/>
  </r>
  <r>
    <x v="11"/>
    <s v="DE0008430026"/>
    <n v="31"/>
    <n v="12"/>
    <n v="2015"/>
    <n v="0.49069767441860462"/>
    <n v="0.46976744186046515"/>
    <n v="0.45465116279069773"/>
    <n v="0.42582417582417587"/>
    <n v="0.39189189189189189"/>
    <n v="0.38932146829810899"/>
    <n v="1.5862944162436547"/>
    <n v="0.47856049004594181"/>
    <n v="0.44401544401544402"/>
    <n v="0.73529411764705876"/>
    <n v="0.30726256983240224"/>
    <n v="0.29761904761904762"/>
    <n v="0.26495726495726496"/>
  </r>
  <r>
    <x v="12"/>
    <s v="DE000BASF111"/>
    <n v="31"/>
    <n v="12"/>
    <n v="2015"/>
    <e v="#DIV/0!"/>
    <n v="0.5376532399299474"/>
    <n v="0.55961538461538463"/>
    <n v="0.5"/>
    <n v="0.51233396584440238"/>
    <n v="0.48964218455743885"/>
    <n v="0.37147102526002967"/>
    <n v="0.44354838709677424"/>
    <n v="1.1038961038961039"/>
    <n v="0.6230031948881789"/>
    <n v="0.46875"/>
    <n v="0.47021943573667713"/>
    <n v="0.34843205574912889"/>
  </r>
  <r>
    <x v="13"/>
    <s v="DE000BAY0017"/>
    <n v="31"/>
    <n v="12"/>
    <n v="2015"/>
    <e v="#DIV/0!"/>
    <n v="0.44145569620253161"/>
    <n v="0.4727954971857411"/>
    <n v="0.5434782608695653"/>
    <n v="0.54404145077720212"/>
    <n v="0.64189189189189189"/>
    <n v="0.55183946488294311"/>
    <n v="0.95541401273885351"/>
    <n v="0.82352941176470584"/>
    <n v="0.63063063063063052"/>
    <n v="0.35526315789473689"/>
    <n v="0.4504504504504504"/>
    <n v="0.43378995433789952"/>
  </r>
  <r>
    <x v="14"/>
    <s v="ES0113900J37"/>
    <n v="31"/>
    <n v="12"/>
    <n v="2015"/>
    <n v="0.39393939393939392"/>
    <n v="0.39344262295081966"/>
    <n v="0.39999999999999997"/>
    <n v="0.83333333333333337"/>
    <n v="1.4999999999999998"/>
    <n v="2.7272727272727271"/>
    <n v="1.3"/>
    <n v="0.63829787234042556"/>
    <n v="0.57692307692307687"/>
    <n v="0.53719008264462809"/>
    <n v="0.46099290780141849"/>
    <n v="0.42975206611570249"/>
    <n v="0.42"/>
  </r>
  <r>
    <x v="15"/>
    <s v="ES0178430E18"/>
    <n v="31"/>
    <n v="12"/>
    <n v="2015"/>
    <e v="#DIV/0!"/>
    <n v="0.7"/>
    <n v="0.78021978021978011"/>
    <n v="0.65573770491803285"/>
    <n v="0.74257425742574257"/>
    <n v="0.94252873563218387"/>
    <n v="1.2666666666666668"/>
    <n v="0.57777777777777783"/>
    <n v="0.58479532163742687"/>
    <n v="0.55214723926380371"/>
    <n v="0.34759358288770054"/>
    <n v="0.42307692307692307"/>
    <n v="0.54945054945054939"/>
  </r>
  <r>
    <x v="16"/>
    <s v="FR0000120271"/>
    <n v="31"/>
    <n v="12"/>
    <n v="2015"/>
    <n v="0.52380952380952384"/>
    <n v="0.60476190476190472"/>
    <n v="0.80707395498392276"/>
    <n v="1.3109756097560976"/>
    <n v="0.63978494623655913"/>
    <n v="0.49576271186440679"/>
    <n v="0.41911764705882348"/>
    <n v="0.48407643312101906"/>
    <n v="0.60317460317460314"/>
    <n v="0.48407643312101906"/>
    <n v="0.35689655172413792"/>
    <n v="0.36738703339882123"/>
    <n v="0.31153846153846154"/>
  </r>
  <r>
    <x v="17"/>
    <s v="FR0000120644"/>
    <n v="31"/>
    <n v="12"/>
    <n v="2015"/>
    <e v="#DIV/0!"/>
    <n v="0.53650793650793649"/>
    <n v="0.54703832752613235"/>
    <n v="0.53956834532374109"/>
    <n v="0.59917355371900827"/>
    <n v="0.52346570397111913"/>
    <n v="0.50180505415162446"/>
    <n v="0.42763157894736842"/>
    <n v="0.46692607003891051"/>
    <n v="0.43795620437956201"/>
    <n v="0.60109289617486339"/>
    <n v="0.36101083032490977"/>
    <n v="0.28911564625850339"/>
  </r>
  <r>
    <x v="18"/>
    <s v="GB0000566504"/>
    <n v="30"/>
    <n v="6"/>
    <n v="2015"/>
    <n v="0.65365853658536599"/>
    <n v="0.79629629629629628"/>
    <n v="0.81818181818181812"/>
    <n v="0.45559845559845558"/>
    <n v="0.56862745098039214"/>
    <n v="0.38888888888888895"/>
    <n v="0.23653395784543327"/>
    <n v="0.38157894736842107"/>
    <n v="0.78095238095238084"/>
    <n v="0.20363636363636364"/>
    <n v="0.1703056768558952"/>
    <n v="0.18604651162790697"/>
    <n v="0.23"/>
  </r>
  <r>
    <x v="19"/>
    <s v="GB0002875804"/>
    <n v="31"/>
    <n v="12"/>
    <n v="2015"/>
    <e v="#DIV/0!"/>
    <n v="0.69396551724137945"/>
    <n v="0.72596153846153844"/>
    <n v="0.73469387755102045"/>
    <n v="0.69268292682926835"/>
    <n v="0.68527918781725894"/>
    <n v="0.8141025641025641"/>
    <n v="0.79166666666666663"/>
    <n v="0.73529411764705876"/>
    <n v="0.68292682926829262"/>
    <n v="0.63461538461538458"/>
    <e v="#DIV/0!"/>
    <e v="#DIV/0!"/>
  </r>
  <r>
    <x v="20"/>
    <s v="GB0004544929"/>
    <n v="30"/>
    <n v="9"/>
    <n v="2015"/>
    <n v="0.8275862068965516"/>
    <n v="0.85474860335195535"/>
    <n v="0.82941176470588229"/>
    <n v="0.86486486486486491"/>
    <n v="1.2083333333333333"/>
    <n v="1.5588235294117647"/>
    <n v="0.53672316384180785"/>
    <n v="0.56756756756756754"/>
    <n v="1.1230769230769231"/>
    <n v="1.26"/>
    <n v="0.51724137931034486"/>
    <e v="#DIV/0!"/>
    <e v="#DIV/0!"/>
  </r>
  <r>
    <x v="21"/>
    <s v="GB0005405286"/>
    <n v="31"/>
    <n v="12"/>
    <n v="2015"/>
    <e v="#DIV/0!"/>
    <n v="0.60204081632653061"/>
    <n v="0.6"/>
    <n v="0.7246376811594204"/>
    <n v="0.58333333333333337"/>
    <n v="0.60810810810810811"/>
    <n v="0.4505494505494505"/>
    <n v="0.5"/>
    <n v="0.94117647058823528"/>
    <n v="1.9787234042553195"/>
    <n v="0.53374233128834359"/>
    <n v="0.5467625899280576"/>
    <n v="0.51111111111111107"/>
  </r>
  <r>
    <x v="22"/>
    <s v="GB0007188757"/>
    <n v="31"/>
    <n v="12"/>
    <n v="2015"/>
    <n v="0.48490230905861459"/>
    <n v="0.53304904051172708"/>
    <n v="0.58395989974937346"/>
    <n v="0.61253561253561251"/>
    <n v="1.4568527918781726"/>
    <n v="-1.6024844720496894"/>
    <n v="0.6887417218543046"/>
    <n v="0.21074380165289258"/>
    <n v="0.36727272727272725"/>
    <n v="0.58119658119658124"/>
    <n v="0.24028268551236751"/>
    <n v="0.18705035971223025"/>
    <n v="0.20997375328083989"/>
  </r>
  <r>
    <x v="23"/>
    <s v="GB0007980591"/>
    <n v="31"/>
    <n v="12"/>
    <n v="2015"/>
    <n v="0.61428571428571432"/>
    <n v="0.69491525423728817"/>
    <n v="1.0256410256410258"/>
    <n v="1.95"/>
    <n v="0.30081300813008133"/>
    <n v="0.55000000000000004"/>
    <n v="0.20895522388059704"/>
    <n v="-0.70000000000000007"/>
    <n v="0.63636363636363646"/>
    <n v="0.49107142857142855"/>
    <n v="0.38888888888888884"/>
    <n v="0.34862385321100914"/>
    <n v="0.33653846153846151"/>
  </r>
  <r>
    <x v="24"/>
    <s v="GB00B03MLX29"/>
    <n v="31"/>
    <n v="12"/>
    <n v="2015"/>
    <n v="0.50677506775067749"/>
    <n v="0.5902140672782874"/>
    <n v="0.71223021582733814"/>
    <n v="0.78991596638655459"/>
    <n v="0.69230769230769229"/>
    <n v="0.40566037735849053"/>
    <n v="0.3380281690140845"/>
    <n v="0.51219512195121952"/>
    <n v="0.81372549019607843"/>
    <n v="0.37558685446009393"/>
    <n v="0.28857715430861719"/>
    <n v="0.32151898734177214"/>
    <n v="0.29894179894179895"/>
  </r>
  <r>
    <x v="25"/>
    <s v="GB00BH4HKS39"/>
    <n v="31"/>
    <n v="3"/>
    <n v="2015"/>
    <n v="2.0386643233743404"/>
    <n v="3.7216828478964401"/>
    <n v="0.57948717948717954"/>
    <n v="0.26378896882494007"/>
    <n v="11.494252873563219"/>
    <n v="0.67857142857142849"/>
    <n v="0.59333333333333338"/>
    <n v="0.51875000000000004"/>
    <n v="0.93333333333333335"/>
    <n v="0.57692307692307687"/>
    <n v="-0.68"/>
    <n v="-0.21785714285714283"/>
    <n v="-0.36363636363636365"/>
  </r>
  <r>
    <x v="26"/>
    <s v="NL0000009355"/>
    <n v="31"/>
    <n v="12"/>
    <n v="2015"/>
    <n v="0.67156862745098045"/>
    <n v="0.66489361702127658"/>
    <n v="0.66857142857142848"/>
    <n v="0.63687150837988815"/>
    <n v="0.6325301204819278"/>
    <n v="0.6298701298701298"/>
    <n v="0.61643835616438358"/>
    <n v="0.56849315068493145"/>
    <n v="0.39316239316239321"/>
    <n v="0.44508670520231214"/>
    <n v="0.5725190839694656"/>
    <n v="0.6"/>
    <n v="0.52800000000000002"/>
  </r>
  <r>
    <x v="27"/>
    <s v="US00206R1023"/>
    <n v="31"/>
    <n v="12"/>
    <n v="2015"/>
    <n v="0.70250896057347667"/>
    <n v="0.73106060606060597"/>
    <n v="0.73437499999999989"/>
    <n v="1.554621848739496"/>
    <n v="0.53392330383480824"/>
    <n v="0.72244897959183674"/>
    <n v="0.87309644670050757"/>
    <n v="0.44327176781002636"/>
    <n v="0.77830188679245271"/>
    <n v="0.74537037037037035"/>
    <n v="0.75773195876288657"/>
    <n v="0.71428571428571441"/>
    <n v="0.91549295774647899"/>
  </r>
  <r>
    <x v="28"/>
    <s v="US1667641005"/>
    <n v="31"/>
    <n v="12"/>
    <n v="2015"/>
    <n v="0.48033126293995854"/>
    <n v="0.65092989985693839"/>
    <n v="1.0974999999999999"/>
    <n v="0.41518737672583822"/>
    <n v="0.35166816952209196"/>
    <n v="0.26351351351351349"/>
    <n v="0.22991071428571427"/>
    <n v="0.29957805907172991"/>
    <n v="0.50763358778625955"/>
    <n v="0.21679520137103683"/>
    <n v="0.25769669327251993"/>
    <n v="0.25769230769230766"/>
    <n v="0.26758409785932724"/>
  </r>
  <r>
    <x v="29"/>
    <s v="US1912161007"/>
    <n v="31"/>
    <n v="12"/>
    <n v="2015"/>
    <n v="0.64806866952789699"/>
    <n v="0.66203703703703698"/>
    <n v="0.65671641791044788"/>
    <n v="0.76249999999999996"/>
    <n v="0.58947368421052637"/>
    <n v="0.51776649746192893"/>
    <n v="0.50810810810810803"/>
    <n v="0.54658385093167694"/>
    <n v="0.55782312925170063"/>
    <n v="0.50331125827814571"/>
    <n v="0.52713178294573648"/>
    <n v="0.57407407407407407"/>
    <n v="0.5490196078431373"/>
  </r>
  <r>
    <x v="30"/>
    <s v="US1941621039"/>
    <n v="31"/>
    <n v="12"/>
    <n v="2015"/>
    <n v="0.48888888888888887"/>
    <n v="0.51242236024844712"/>
    <n v="0.52758620689655178"/>
    <n v="0.60169491525423724"/>
    <n v="0.55882352941176472"/>
    <n v="0.47286821705426352"/>
    <n v="0.46153846153846145"/>
    <n v="0.46976744186046515"/>
    <n v="0.39269406392694062"/>
    <n v="0.42622950819672129"/>
    <n v="0.43749999999999994"/>
    <n v="0.51219512195121952"/>
    <n v="0.45901639344262302"/>
  </r>
  <r>
    <x v="31"/>
    <s v="US2605431038"/>
    <n v="31"/>
    <n v="12"/>
    <n v="2015"/>
    <n v="0.45687645687645684"/>
    <n v="0.46112600536193027"/>
    <n v="0.53488372093023262"/>
    <n v="0.5331010452961672"/>
    <n v="0.34782608695652173"/>
    <n v="1.7285714285714286"/>
    <n v="0.4390243902439025"/>
    <n v="0.34883720930232559"/>
    <n v="1.875"/>
    <n v="2.7096774193548385"/>
    <n v="0.5317725752508361"/>
    <n v="0.38219895287958117"/>
    <n v="0.29004329004329005"/>
  </r>
  <r>
    <x v="32"/>
    <s v="US30231G1022"/>
    <n v="31"/>
    <n v="12"/>
    <n v="2015"/>
    <n v="0.46107784431137727"/>
    <n v="0.52941176470588236"/>
    <n v="0.77506775067750677"/>
    <n v="0.35526315789473689"/>
    <n v="0.3337856173677069"/>
    <n v="0.22474226804123715"/>
    <n v="0.21971496437054633"/>
    <n v="0.27974276527331193"/>
    <n v="0.41708542713567837"/>
    <n v="0.17836593785960875"/>
    <n v="0.18818681318681318"/>
    <n v="0.19335347432024169"/>
    <n v="0.19964973730297722"/>
  </r>
  <r>
    <x v="33"/>
    <s v="US3696041033"/>
    <n v="31"/>
    <n v="12"/>
    <n v="2015"/>
    <n v="0.55434782608695654"/>
    <n v="0.5780346820809249"/>
    <n v="0.58125000000000004"/>
    <n v="0.59333333333333338"/>
    <n v="0.62204724409448819"/>
    <n v="0.54263565891472865"/>
    <n v="0.49593495934959347"/>
    <n v="0.43396226415094341"/>
    <n v="0.60396039603960394"/>
    <n v="0.72093023255813959"/>
    <n v="0.52995391705069117"/>
    <n v="0.51500000000000001"/>
    <n v="0.59090909090909094"/>
  </r>
  <r>
    <x v="34"/>
    <s v="US38141G1040"/>
    <n v="31"/>
    <n v="12"/>
    <n v="2015"/>
    <n v="0.15582524271844658"/>
    <n v="0.14603174603174604"/>
    <n v="0.14195402298850576"/>
    <n v="0.13181019332161686"/>
    <n v="0.13260025873221215"/>
    <n v="0.12526539278131635"/>
    <n v="0.31042128603104213"/>
    <n v="0.1062215477996965"/>
    <n v="4.7446904654315412E-2"/>
    <n v="0.31319910514541388"/>
    <n v="5.6611403154063884E-2"/>
    <n v="6.6023362112747591E-2"/>
    <n v="8.9206066012488844E-2"/>
  </r>
  <r>
    <x v="35"/>
    <s v="US4592001014"/>
    <n v="31"/>
    <n v="12"/>
    <n v="2015"/>
    <n v="0.26333333333333336"/>
    <n v="0.30955414012738858"/>
    <n v="0.30738255033557049"/>
    <n v="0.27068633739576653"/>
    <n v="0.24765729585006696"/>
    <n v="0.22964509394572025"/>
    <n v="0.22205206738131697"/>
    <n v="0.2170138888888889"/>
    <n v="0.21478521478521478"/>
    <n v="0.21276595744680851"/>
    <n v="0.20891364902506965"/>
    <n v="0.18003273322422259"/>
    <n v="0.1598360655737705"/>
  </r>
  <r>
    <x v="36"/>
    <s v="US46625H1005"/>
    <n v="31"/>
    <n v="12"/>
    <n v="2015"/>
    <n v="0.30958904109589042"/>
    <n v="0.29347826086956519"/>
    <n v="0.29217391304347823"/>
    <n v="0.29867674858223064"/>
    <n v="0.33103448275862069"/>
    <n v="0.23076923076923075"/>
    <n v="0.2232142857142857"/>
    <n v="5.0505050505050511E-2"/>
    <n v="8.8495575221238951E-2"/>
    <n v="1.1094890510948905"/>
    <n v="0.33789954337899542"/>
    <n v="0.33663366336633666"/>
    <n v="0.57142857142857151"/>
  </r>
  <r>
    <x v="37"/>
    <s v="US4781601046"/>
    <n v="31"/>
    <n v="12"/>
    <n v="2015"/>
    <n v="0.4616438356164384"/>
    <n v="0.47546012269938653"/>
    <n v="0.48026315789473684"/>
    <n v="0.48421052631578942"/>
    <n v="0.45598591549295775"/>
    <n v="0.54054054054054046"/>
    <n v="0.50448430493273544"/>
    <n v="0.44142259414225937"/>
    <n v="0.4386363636363636"/>
    <n v="0.39168490153172864"/>
    <n v="0.44628099173553726"/>
    <n v="0.39142091152815012"/>
    <n v="0.36705202312138729"/>
  </r>
  <r>
    <x v="38"/>
    <s v="US50076Q1067"/>
    <n v="31"/>
    <n v="12"/>
    <n v="2015"/>
    <n v="0.66755319148936165"/>
    <n v="0.67621776504297981"/>
    <n v="0.68292682926829273"/>
    <n v="1.235632183908046"/>
    <n v="0.72438162544169604"/>
    <n v="0.41551246537396125"/>
    <n v="0.29219143576826195"/>
    <n v="0.32402234636871508"/>
    <n v="0.30687830687830686"/>
    <n v="0.45344129554655888"/>
    <e v="#DIV/0!"/>
    <e v="#DIV/0!"/>
    <e v="#DIV/0!"/>
  </r>
  <r>
    <x v="39"/>
    <s v="US5801351017"/>
    <n v="31"/>
    <n v="12"/>
    <n v="2015"/>
    <n v="0.65681444991789817"/>
    <n v="0.68022181146025884"/>
    <n v="0.68441814595660755"/>
    <n v="0.68049792531120323"/>
    <n v="0.56216216216216219"/>
    <n v="0.53544776119402981"/>
    <n v="0.48007590132827327"/>
    <n v="0.49344978165938858"/>
    <n v="0.49878345498783444"/>
    <n v="0.43351063829787234"/>
    <n v="0.45454545454545459"/>
    <n v="0.35335689045936397"/>
    <n v="0.32843137254901961"/>
  </r>
  <r>
    <x v="40"/>
    <s v="US58933Y1055"/>
    <n v="31"/>
    <n v="12"/>
    <n v="2015"/>
    <n v="0.58437499999999998"/>
    <n v="0.57187500000000002"/>
    <n v="0.81735159817351599"/>
    <n v="0.43488943488943488"/>
    <n v="1.1768707482993197"/>
    <n v="0.84"/>
    <n v="0.75247524752475248"/>
    <n v="0.44444444444444448"/>
    <n v="0.26902654867256637"/>
    <n v="0.4175824175824176"/>
    <n v="1.0201342281879195"/>
    <n v="0.74876847290640403"/>
    <n v="0.72380952380952379"/>
  </r>
  <r>
    <x v="41"/>
    <s v="US5949181045"/>
    <n v="30"/>
    <n v="6"/>
    <n v="2015"/>
    <n v="0.40662650602409645"/>
    <n v="0.43877551020408168"/>
    <n v="0.48770491803278687"/>
    <n v="0.42585551330798482"/>
    <n v="0.34456928838951312"/>
    <n v="0.29304029304029305"/>
    <n v="0.23791821561338292"/>
    <n v="0.24761904761904763"/>
    <n v="0.32098765432098764"/>
    <n v="0.23529411764705882"/>
    <n v="0.28169014084507044"/>
    <n v="0.29166666666666669"/>
    <n v="3.0357142857142851"/>
  </r>
  <r>
    <x v="42"/>
    <s v="US6092071058"/>
    <n v="31"/>
    <n v="12"/>
    <n v="2015"/>
    <n v="0.31838565022421522"/>
    <n v="0.3418367346938776"/>
    <n v="0.37575757575757579"/>
    <n v="0.45312499999999994"/>
    <n v="0.41860465116279072"/>
    <n v="0.41551246537396125"/>
    <n v="0.29219143576826201"/>
    <n v="0.32402234636871502"/>
    <n v="0.30687830687830686"/>
    <n v="0.45344129554655882"/>
    <e v="#DIV/0!"/>
    <e v="#DIV/0!"/>
    <e v="#DIV/0!"/>
  </r>
  <r>
    <x v="43"/>
    <s v="US61166W1018"/>
    <n v="31"/>
    <n v="8"/>
    <n v="2015"/>
    <n v="0.26065773447015833"/>
    <n v="0.30523255813953493"/>
    <n v="0.32263513513513514"/>
    <n v="0.34099616858237553"/>
    <n v="0.33913043478260874"/>
    <n v="0.33773087071240104"/>
    <n v="0.38513513513513509"/>
    <n v="0.47161572052401751"/>
    <n v="0.24299065420560748"/>
    <n v="0.22928176795580107"/>
    <n v="0.30726256983240224"/>
    <n v="0.32"/>
    <n v="0.72340425531914898"/>
  </r>
  <r>
    <x v="44"/>
    <s v="US68389X1054"/>
    <n v="31"/>
    <n v="5"/>
    <n v="2015"/>
    <n v="0.16891891891891891"/>
    <n v="0.18148148148148147"/>
    <n v="0.20083682008368198"/>
    <n v="0.20168067226890757"/>
    <n v="0.13274336283185842"/>
    <n v="0.12244897959183673"/>
    <n v="0.12574850299401197"/>
    <n v="0.16528925619834711"/>
    <n v="4.5871559633027525E-2"/>
    <n v="0"/>
    <n v="0"/>
    <n v="0"/>
    <n v="0"/>
  </r>
  <r>
    <x v="45"/>
    <s v="US7134481081"/>
    <n v="31"/>
    <n v="12"/>
    <n v="2015"/>
    <n v="0.5901639344262295"/>
    <n v="0.59090909090909105"/>
    <n v="0.5859872611464968"/>
    <n v="0.59250585480093676"/>
    <n v="0.51851851851851849"/>
    <n v="0.54336734693877553"/>
    <n v="0.50372208436724553"/>
    <n v="0.48337595907928382"/>
    <n v="0.47214854111405835"/>
    <n v="0.51401869158878499"/>
    <n v="0.41935483870967738"/>
    <n v="0.3473053892215569"/>
    <n v="0.42259414225941422"/>
  </r>
  <r>
    <x v="46"/>
    <s v="US7170811035"/>
    <n v="31"/>
    <n v="12"/>
    <n v="2015"/>
    <n v="0.62436548223350252"/>
    <n v="0.61497326203208547"/>
    <n v="0.58522727272727271"/>
    <n v="0.73239436619718312"/>
    <n v="0.58181818181818179"/>
    <n v="0.45360824742268041"/>
    <n v="0.62992125984251968"/>
    <n v="0.70588235294117641"/>
    <n v="0.65040650406504075"/>
    <n v="1.0666666666666667"/>
    <n v="0.99145299145299148"/>
    <n v="0.63157894736842102"/>
    <n v="0.69724770642201828"/>
  </r>
  <r>
    <x v="47"/>
    <s v="US7181721090"/>
    <n v="31"/>
    <n v="12"/>
    <n v="2015"/>
    <n v="0.88400000000000001"/>
    <n v="0.92440604751619881"/>
    <n v="0.92255125284738049"/>
    <n v="0.81512605042016806"/>
    <n v="0.68060836501901145"/>
    <n v="0.62669245647969052"/>
    <n v="0.58144329896907221"/>
    <n v="0.62244897959183676"/>
    <n v="0.6913580246913581"/>
    <n v="0.46525679758308158"/>
    <e v="#DIV/0!"/>
    <e v="#DIV/0!"/>
    <e v="#DIV/0!"/>
  </r>
  <r>
    <x v="48"/>
    <s v="US7427181091"/>
    <n v="30"/>
    <n v="6"/>
    <n v="2015"/>
    <n v="0.63502109704641341"/>
    <n v="0.64965197215777259"/>
    <n v="0.70270270270270274"/>
    <n v="0.61097256857855364"/>
    <n v="0.59326424870466321"/>
    <n v="0.58469945355191255"/>
    <n v="0.50127226463104324"/>
    <n v="0.50991501416430596"/>
    <n v="0.48377581120943947"/>
    <n v="0.4264705882352941"/>
    <n v="0.42105263157894735"/>
    <n v="0.43560606060606055"/>
    <n v="0.38721804511278196"/>
  </r>
  <r>
    <x v="49"/>
    <s v="US92343V1044"/>
    <n v="31"/>
    <n v="12"/>
    <n v="2015"/>
    <n v="0.57920792079207917"/>
    <n v="0.57397959183673475"/>
    <n v="0.59299191374663074"/>
    <n v="0.89256198347107452"/>
    <n v="0.52249999999999996"/>
    <n v="0.90624999999999978"/>
    <n v="0.92093023255813955"/>
    <n v="0.8772727272727272"/>
    <n v="0.77916666666666679"/>
    <n v="0.78761061946902666"/>
    <n v="0.87894736842105259"/>
    <n v="0.75348837209302333"/>
    <n v="0.61132075471698122"/>
  </r>
  <r>
    <x v="50"/>
    <s v="US9311421039"/>
    <n v="31"/>
    <n v="1"/>
    <n v="2015"/>
    <n v="0.39019963702359345"/>
    <n v="0.38996138996138996"/>
    <n v="0.38217821782178218"/>
    <n v="0.38524590163934425"/>
    <n v="0.31673306772908372"/>
    <n v="0.32300884955752213"/>
    <n v="0.27069351230425054"/>
    <n v="0.29459459459459458"/>
    <n v="0.28023598820058992"/>
    <n v="0.28115015974440893"/>
    <n v="0.24723247232472326"/>
    <n v="0.22388059701492535"/>
    <n v="0.21576763485477177"/>
  </r>
  <r>
    <x v="51"/>
    <s v="z_BE0003793107"/>
    <n v="31"/>
    <n v="12"/>
    <n v="2015"/>
    <e v="#DIV/0!"/>
    <n v="0.60755336617405586"/>
    <n v="0.5974955277280859"/>
    <n v="0.55330882352941169"/>
    <n v="0.41751527494908347"/>
    <n v="0.50112359550561791"/>
    <n v="0.4269972451790634"/>
    <n v="0.42800000000000005"/>
    <n v="0.18965517241379312"/>
    <n v="0.18134715025906736"/>
    <e v="#DIV/0!"/>
    <e v="#DIV/0!"/>
    <e v="#DIV/0!"/>
  </r>
  <r>
    <x v="52"/>
    <s v="z_CH0010570759"/>
    <n v="31"/>
    <n v="12"/>
    <n v="2015"/>
    <e v="#DIV/0!"/>
    <n v="0.51662844036697253"/>
    <n v="0.52405388069275172"/>
    <n v="0.50485436893203883"/>
    <n v="0.49467275494672752"/>
    <n v="0.48441449031171019"/>
    <n v="0.46382189239332094"/>
    <n v="0.42654028436018959"/>
    <n v="0.47009049241979084"/>
    <n v="0.31578947368421051"/>
    <n v="0.30247479376718606"/>
    <n v="0.29852366478506293"/>
    <n v="0.29289247591772977"/>
  </r>
  <r>
    <x v="53"/>
    <s v="z_DE0006048432"/>
    <n v="31"/>
    <n v="12"/>
    <n v="2015"/>
    <e v="#DIV/0!"/>
    <n v="0.31863727454909818"/>
    <n v="0.32017543859649122"/>
    <n v="0.32592592592592595"/>
    <n v="0.33242506811989103"/>
    <n v="0.27220630372492832"/>
    <n v="0.27681660899653981"/>
    <n v="0.27906976744186046"/>
    <n v="0.37857142857142861"/>
    <n v="0.28804347826086957"/>
    <n v="0.24766355140186916"/>
    <n v="0.25125628140703515"/>
    <n v="0.25423728813559321"/>
  </r>
  <r>
    <x v="54"/>
    <s v="z_FR0000120321"/>
    <n v="31"/>
    <n v="12"/>
    <n v="2015"/>
    <e v="#DIV/0!"/>
    <n v="0.5149606299212599"/>
    <n v="0.50421585160202365"/>
    <n v="0.5056179775280899"/>
    <n v="0.48732943469785578"/>
    <n v="0.46843177189409363"/>
    <n v="0.46296296296296291"/>
    <n v="0.44887780548628431"/>
    <n v="0.43859649122807021"/>
    <n v="0.41260744985673348"/>
    <n v="0.4107142857142857"/>
    <n v="0.39597315436241609"/>
    <n v="0.38461538461538458"/>
  </r>
  <r>
    <x v="55"/>
    <s v="z_FR0000120578"/>
    <n v="31"/>
    <n v="12"/>
    <n v="2015"/>
    <n v="0.66463414634146345"/>
    <n v="0.67735042735042739"/>
    <n v="0.68863636363636349"/>
    <n v="0.8532934131736527"/>
    <n v="1.0071942446043165"/>
    <n v="0.74064171122994649"/>
    <n v="0.61771561771561767"/>
    <n v="0.59808612440191389"/>
    <n v="0.59553349875930517"/>
    <n v="0.74829931972789121"/>
    <n v="0.53213367609254492"/>
    <n v="0.59322033898305082"/>
    <n v="0.90476190476190477"/>
  </r>
  <r>
    <x v="56"/>
    <s v="z_GB0002374006"/>
    <n v="30"/>
    <n v="6"/>
    <n v="2015"/>
    <n v="0.56944444444444442"/>
    <n v="0.57999999999999996"/>
    <n v="0.60244988864142546"/>
    <n v="0.58230683090705493"/>
    <n v="0.47474747474747475"/>
    <n v="0.5714285714285714"/>
    <n v="0.52631578947368418"/>
    <n v="0.57575757575757569"/>
    <n v="0.55384615384615377"/>
    <n v="0.57627118644067798"/>
    <n v="0.6"/>
    <n v="0.46268656716417905"/>
    <n v="0.65217391304347816"/>
  </r>
  <r>
    <x v="57"/>
    <s v="z_GB0004835483"/>
    <n v="31"/>
    <n v="3"/>
    <n v="2015"/>
    <n v="0.49803921568627457"/>
    <n v="0.49787234042553186"/>
    <n v="0.47413793103448282"/>
    <n v="0.50239234449760772"/>
    <n v="0.49509803921568629"/>
    <n v="0.34469696969696967"/>
    <n v="0.53289473684210531"/>
    <n v="0.55737704918032793"/>
    <n v="0.46399999999999997"/>
    <n v="0.43283582089552231"/>
    <n v="0.45454545454545453"/>
    <e v="#DIV/0!"/>
    <e v="#DIV/0!"/>
  </r>
  <r>
    <x v="58"/>
    <s v="z_GB0009252882"/>
    <n v="31"/>
    <n v="12"/>
    <n v="2015"/>
    <n v="1"/>
    <n v="1.1178918169209431"/>
    <n v="0.97699757869249404"/>
    <n v="1.4035087719298247"/>
    <n v="0.70270270270270263"/>
    <n v="0.80434782608695643"/>
    <n v="0.67961165048543681"/>
    <n v="2.03125"/>
    <n v="0.56481481481481477"/>
    <n v="0.64772727272727271"/>
    <n v="0.56382978723404265"/>
    <n v="0.50526315789473686"/>
    <n v="0.53658536585365857"/>
  </r>
  <r>
    <x v="59"/>
    <s v="z_GB00B24CGK77"/>
    <n v="31"/>
    <n v="12"/>
    <n v="2015"/>
    <n v="0.52727272727272723"/>
    <n v="0.52713178294573648"/>
    <n v="0.52674897119341557"/>
    <n v="0.30839002267573695"/>
    <n v="0.57322175732217573"/>
    <n v="0.53600000000000003"/>
    <n v="0.52742616033755274"/>
    <n v="0.53738317757009335"/>
    <n v="0.51282051282051289"/>
    <n v="0.39999999999999997"/>
    <n v="0.390625"/>
    <e v="#DIV/0!"/>
    <e v="#DIV/0!"/>
  </r>
  <r>
    <x v="60"/>
    <s v="z_US02209S1033"/>
    <n v="31"/>
    <n v="12"/>
    <n v="2015"/>
    <n v="0.79365079365079372"/>
    <n v="0.77926421404682267"/>
    <n v="0.78754578754578752"/>
    <n v="0.6640625"/>
    <n v="0.81415929203539839"/>
    <n v="0.82524271844660191"/>
    <n v="0.96341463414634154"/>
    <n v="0.78074866310160418"/>
    <n v="0.85714285714285721"/>
    <n v="0.70270270270270274"/>
    <n v="0.63648648648648642"/>
    <n v="0.55298013245033106"/>
    <n v="0.58114754098360655"/>
  </r>
  <r>
    <x v="61"/>
    <s v="z_US0268747849"/>
    <n v="31"/>
    <n v="12"/>
    <n v="2015"/>
    <e v="#DIV/0!"/>
    <n v="0.13214285714285715"/>
    <n v="0.125"/>
    <n v="9.6153846153846145E-2"/>
    <n v="3.2626427406199025E-2"/>
    <n v="0"/>
    <n v="0"/>
    <n v="0"/>
    <n v="0"/>
    <n v="-1.1099365750528542E-2"/>
    <n v="0.32217573221757323"/>
    <n v="0.12126865671641791"/>
    <n v="0.15789473684210525"/>
  </r>
  <r>
    <x v="62"/>
    <s v="z_US09247X1019"/>
    <n v="31"/>
    <n v="12"/>
    <n v="2015"/>
    <n v="0.40458015267175573"/>
    <n v="0.41422413793103446"/>
    <n v="0.43184079601990044"/>
    <n v="0.40103896103896103"/>
    <n v="0.39834024896265557"/>
    <n v="0.43509789702683105"/>
    <n v="0.44462409054163299"/>
    <n v="0.37914691943127959"/>
    <n v="0.51063829787234039"/>
    <n v="0.53979238754325254"/>
    <n v="0"/>
    <n v="0"/>
    <n v="0"/>
  </r>
  <r>
    <x v="63"/>
    <s v="z_US3703341046"/>
    <n v="31"/>
    <n v="5"/>
    <n v="2015"/>
    <n v="0.57763975155279501"/>
    <n v="0.57947019867549665"/>
    <n v="0.60147601476014756"/>
    <n v="0.54770318021201414"/>
    <n v="0.4731182795698925"/>
    <n v="0.51914893617021274"/>
    <n v="0.4148148148148148"/>
    <n v="0.42857142857142849"/>
    <n v="0.45263157894736844"/>
    <n v="0.42473118279569894"/>
    <n v="0.45283018867924524"/>
    <n v="0.46206896551724141"/>
    <n v="0.40259740259740256"/>
  </r>
  <r>
    <x v="64"/>
    <s v="z_US4943681035"/>
    <n v="31"/>
    <n v="12"/>
    <n v="2015"/>
    <n v="0.60211800302571861"/>
    <n v="0.60517799352750812"/>
    <n v="0.62411347517730498"/>
    <n v="0.6098003629764065"/>
    <n v="0.58589511754068713"/>
    <n v="0.66968325791855199"/>
    <n v="0.70175438596491224"/>
    <n v="0.59325842696629216"/>
    <n v="0.53097345132743368"/>
    <n v="0.57425742574257421"/>
    <n v="0.51833740831295849"/>
    <n v="0.60307692307692307"/>
    <n v="0.548780487804878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name="PivotTable4" cacheId="64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36:B50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63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19:B33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62" dataOnRows="1" dataPosition="0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A2:B16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numFmtId="164" showAll="0" defaultSubtotal="0"/>
    <pivotField numFmtId="164" showAll="0" defaultSubtotal="0"/>
    <pivotField numFmtId="166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2" baseField="0" baseItem="8" numFmtId="164"/>
    <dataField name="Jahr+1" fld="3" baseField="0" baseItem="8" numFmtId="164"/>
    <dataField name="Jahr+0" fld="4" baseField="0" baseItem="8" numFmtId="164"/>
    <dataField name="Jahr-1" fld="5" baseField="0" baseItem="8" numFmtId="164"/>
    <dataField name="Jahr-2" fld="6" baseField="0" baseItem="8" numFmtId="164"/>
    <dataField name="Jahr-3" fld="7" baseField="0" baseItem="8" numFmtId="164"/>
    <dataField name="Jahr-4" fld="8" baseField="0" baseItem="8" numFmtId="164"/>
    <dataField name="Jahr-5" fld="9" baseField="0" baseItem="8" numFmtId="164"/>
    <dataField name="Jahr-6" fld="10" baseField="0" baseItem="8" numFmtId="164"/>
    <dataField name="Jahr-7" fld="11" baseField="0" baseItem="8" numFmtId="164"/>
    <dataField name="Jahr-8" fld="12" baseField="0" baseItem="8" numFmtId="164"/>
    <dataField name="Jahr-9" fld="13" baseField="0" baseItem="8" numFmtId="164"/>
    <dataField name="Jahr-10" fld="14" baseField="0" baseItem="8" numFmtId="164"/>
  </dataFields>
  <chartFormats count="77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11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0" format="12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0" format="6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1"/>
          </reference>
        </references>
      </pivotArea>
    </chartFormat>
    <chartFormat chart="0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2"/>
          </reference>
        </references>
      </pivotArea>
    </chartFormat>
    <chartFormat chart="0" format="6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3"/>
          </reference>
        </references>
      </pivotArea>
    </chartFormat>
    <chartFormat chart="0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4"/>
          </reference>
        </references>
      </pivotArea>
    </chartFormat>
    <chartFormat chart="0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5"/>
          </reference>
        </references>
      </pivotArea>
    </chartFormat>
    <chartFormat chart="0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6"/>
          </reference>
        </references>
      </pivotArea>
    </chartFormat>
    <chartFormat chart="0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7"/>
          </reference>
        </references>
      </pivotArea>
    </chartFormat>
    <chartFormat chart="0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8"/>
          </reference>
        </references>
      </pivotArea>
    </chartFormat>
    <chartFormat chart="0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9"/>
          </reference>
        </references>
      </pivotArea>
    </chartFormat>
    <chartFormat chart="0" format="7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0"/>
          </reference>
        </references>
      </pivotArea>
    </chartFormat>
    <chartFormat chart="0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1"/>
          </reference>
        </references>
      </pivotArea>
    </chartFormat>
    <chartFormat chart="0" format="7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2"/>
          </reference>
        </references>
      </pivotArea>
    </chartFormat>
    <chartFormat chart="0" format="7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3"/>
          </reference>
        </references>
      </pivotArea>
    </chartFormat>
    <chartFormat chart="0" format="7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7" cacheId="67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36:E50" firstHeaderRow="1" firstDataRow="2" firstDataCol="1"/>
  <pivotFields count="18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numFmtId="166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rowItems>
  <colFields count="1">
    <field x="0"/>
  </colFields>
  <colItems count="1">
    <i>
      <x v="31"/>
    </i>
  </colItems>
  <dataFields count="13">
    <dataField name="Jahr+2" fld="5" baseField="0" baseItem="8" numFmtId="10"/>
    <dataField name="Jahr+1" fld="6" baseField="0" baseItem="8" numFmtId="10"/>
    <dataField name="Jahr+0" fld="7" baseField="0" baseItem="8" numFmtId="10"/>
    <dataField name="Jahr-1" fld="8" baseField="0" baseItem="8" numFmtId="10"/>
    <dataField name="Jahr-2" fld="9" baseField="0" baseItem="8" numFmtId="10"/>
    <dataField name="Jahr-3" fld="10" baseField="0" baseItem="8" numFmtId="10"/>
    <dataField name="Jahr-4" fld="11" baseField="0" baseItem="8" numFmtId="10"/>
    <dataField name="Jahr-5" fld="12" baseField="0" baseItem="8" numFmtId="10"/>
    <dataField name="Jahr-6" fld="13" baseField="0" baseItem="8" numFmtId="10"/>
    <dataField name="Jahr-7" fld="14" baseField="0" baseItem="8" numFmtId="10"/>
    <dataField name="Jahr-8" fld="15" baseField="0" baseItem="8" numFmtId="10"/>
    <dataField name="Jahr-9" fld="16" baseField="0" baseItem="8" numFmtId="10"/>
    <dataField name="Jahr-10" fld="17" baseField="0" baseItem="8" numFmtId="1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PivotTable6" cacheId="66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18:E33" firstHeaderRow="1" firstDataRow="2" firstDataCol="1"/>
  <pivotFields count="19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numFmtId="173" showAll="0" defaultSubtotal="0"/>
    <pivotField numFmtId="173" showAll="0" defaultSubtotal="0"/>
    <pivotField numFmtId="173" showAll="0" defaultSubtotal="0"/>
    <pivotField dataField="1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numFmtId="167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rowItems>
  <colFields count="1">
    <field x="0"/>
  </colFields>
  <colItems count="1">
    <i>
      <x v="31"/>
    </i>
  </colItems>
  <dataFields count="14">
    <dataField name="Jahr+2" fld="5" baseField="0" baseItem="8" numFmtId="164"/>
    <dataField name="Jahr+1" fld="6" baseField="0" baseItem="8" numFmtId="164"/>
    <dataField name="Jahr+0" fld="7" baseField="0" baseItem="8" numFmtId="164"/>
    <dataField name="Jahr-1" fld="8" baseField="0" baseItem="8" numFmtId="164"/>
    <dataField name="Jahr-2" fld="9" baseField="0" baseItem="8" numFmtId="164"/>
    <dataField name="Jahr-3" fld="10" baseField="0" baseItem="8" numFmtId="164"/>
    <dataField name="Jahr-4" fld="11" baseField="0" baseItem="8" numFmtId="164"/>
    <dataField name="Jahr-5" fld="12" baseField="0" baseItem="8" numFmtId="164"/>
    <dataField name="Jahr-6" fld="13" baseField="0" baseItem="8" numFmtId="164"/>
    <dataField name="Jahr-7" fld="14" baseField="0" baseItem="8" numFmtId="164"/>
    <dataField name="Jahr-8" fld="15" baseField="0" baseItem="8" numFmtId="164"/>
    <dataField name="Jahr-9" fld="16" baseField="0" baseItem="8" numFmtId="164"/>
    <dataField name="Jahr-10" fld="17" baseField="0" baseItem="8" numFmtId="164"/>
    <dataField name="Jahr-11" fld="18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PivotTable5" cacheId="65" dataOnRows="1" applyNumberFormats="0" applyBorderFormats="0" applyFontFormats="0" applyPatternFormats="0" applyAlignmentFormats="0" applyWidthHeightFormats="1" dataCaption="Werte" updatedVersion="4" minRefreshableVersion="3" useAutoFormatting="1" rowGrandTotals="0" colGrandTotals="0" itemPrintTitles="1" createdVersion="4" indent="0" outline="1" outlineData="1" multipleFieldFilters="0" chartFormat="1">
  <location ref="D2:E14" firstHeaderRow="1" firstDataRow="2" firstDataCol="1"/>
  <pivotFields count="13">
    <pivotField axis="axisCol" showAll="0" defaultSubtotal="0">
      <items count="65">
        <item h="1" x="61"/>
        <item h="1" x="10"/>
        <item h="1" x="60"/>
        <item h="1" x="51"/>
        <item h="1" x="27"/>
        <item h="1" x="14"/>
        <item h="1" x="12"/>
        <item h="1" x="13"/>
        <item h="1" x="5"/>
        <item h="1" x="18"/>
        <item h="1" x="62"/>
        <item h="1" x="23"/>
        <item h="1" x="19"/>
        <item h="1" x="28"/>
        <item h="1" x="29"/>
        <item h="1" x="30"/>
        <item h="1" x="17"/>
        <item h="1" x="4"/>
        <item h="1" x="6"/>
        <item h="1" x="7"/>
        <item h="1" x="56"/>
        <item h="1" x="31"/>
        <item h="1" x="32"/>
        <item h="1" x="33"/>
        <item h="1" x="63"/>
        <item h="1" x="58"/>
        <item h="1" x="34"/>
        <item h="1" x="53"/>
        <item h="1" x="21"/>
        <item h="1" x="35"/>
        <item h="1" x="20"/>
        <item x="37"/>
        <item h="1" x="36"/>
        <item h="1" x="64"/>
        <item h="1" x="38"/>
        <item h="1" x="52"/>
        <item h="1" x="54"/>
        <item h="1" x="39"/>
        <item h="1" x="40"/>
        <item h="1" x="41"/>
        <item h="1" x="42"/>
        <item h="1" x="43"/>
        <item h="1" x="11"/>
        <item h="1" x="3"/>
        <item h="1" x="1"/>
        <item h="1" x="44"/>
        <item h="1" x="45"/>
        <item h="1" x="46"/>
        <item h="1" x="47"/>
        <item h="1" x="48"/>
        <item h="1" x="59"/>
        <item h="1" x="22"/>
        <item h="1" x="2"/>
        <item h="1" x="24"/>
        <item h="1" x="57"/>
        <item h="1" x="55"/>
        <item h="1" x="8"/>
        <item h="1" x="9"/>
        <item h="1" x="0"/>
        <item h="1" x="15"/>
        <item h="1" x="16"/>
        <item h="1" x="26"/>
        <item h="1" x="49"/>
        <item h="1" x="25"/>
        <item h="1" x="50"/>
      </items>
    </pivotField>
    <pivotField showAll="0" defaultSubtotal="0"/>
    <pivotField dataField="1" showAll="0" defaultSubtotal="0"/>
    <pivotField dataField="1" numFmtId="164" showAll="0" defaultSubtotal="0"/>
    <pivotField dataField="1" numFmtId="164" showAll="0" defaultSubtotal="0"/>
    <pivotField dataField="1" numFmtId="164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</pivotFields>
  <rowFields count="1">
    <field x="-2"/>
  </rowFields>
  <row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rowItems>
  <colFields count="1">
    <field x="0"/>
  </colFields>
  <colItems count="1">
    <i>
      <x v="31"/>
    </i>
  </colItems>
  <dataFields count="11">
    <dataField name="Jahr-0" fld="2" baseField="0" baseItem="8" numFmtId="164"/>
    <dataField name="Jahr-1" fld="3" baseField="0" baseItem="8" numFmtId="164"/>
    <dataField name="Jahr-2" fld="4" baseField="0" baseItem="8" numFmtId="164"/>
    <dataField name="Jahr-3" fld="5" baseField="0" baseItem="8" numFmtId="164"/>
    <dataField name="Jahr-4" fld="6" baseField="0" baseItem="8" numFmtId="164"/>
    <dataField name="Jahr-5" fld="7" baseField="0" baseItem="8" numFmtId="164"/>
    <dataField name="Jahr-6" fld="8" baseField="0" baseItem="8" numFmtId="164"/>
    <dataField name="Jahr-7" fld="9" baseField="0" baseItem="8" numFmtId="164"/>
    <dataField name="Jahr-8" fld="10" baseField="0" baseItem="8" numFmtId="164"/>
    <dataField name="Jahr-9" fld="11" baseField="0" baseItem="8" numFmtId="164"/>
    <dataField name="Jahr-10" fld="12" baseField="0" baseItem="8" numFmtId="164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zoomScale="85" zoomScaleNormal="85" workbookViewId="0">
      <selection activeCell="G25" sqref="G25"/>
    </sheetView>
  </sheetViews>
  <sheetFormatPr baseColWidth="10" defaultRowHeight="15" x14ac:dyDescent="0.25"/>
  <cols>
    <col min="1" max="1" width="7.5703125" customWidth="1"/>
    <col min="2" max="2" width="23.7109375" customWidth="1"/>
    <col min="3" max="3" width="100.7109375" customWidth="1"/>
    <col min="4" max="4" width="7.5703125" customWidth="1"/>
    <col min="5" max="5" width="23.7109375" customWidth="1"/>
    <col min="6" max="6" width="100.7109375" customWidth="1"/>
    <col min="7" max="7" width="28.140625" customWidth="1"/>
    <col min="8" max="13" width="23.85546875" customWidth="1"/>
    <col min="14" max="14" width="23.85546875" bestFit="1" customWidth="1"/>
    <col min="15" max="16" width="23.85546875" customWidth="1"/>
    <col min="17" max="17" width="23.85546875" bestFit="1" customWidth="1"/>
    <col min="18" max="18" width="23.85546875" customWidth="1"/>
    <col min="19" max="21" width="23.85546875" bestFit="1" customWidth="1"/>
    <col min="22" max="22" width="23.85546875" customWidth="1"/>
    <col min="23" max="28" width="23.85546875" bestFit="1" customWidth="1"/>
    <col min="29" max="31" width="23.85546875" customWidth="1"/>
    <col min="32" max="35" width="23.85546875" bestFit="1" customWidth="1"/>
    <col min="36" max="36" width="23.85546875" customWidth="1"/>
    <col min="37" max="37" width="23.85546875" bestFit="1" customWidth="1"/>
    <col min="38" max="38" width="23.85546875" customWidth="1"/>
    <col min="39" max="40" width="23.85546875" bestFit="1" customWidth="1"/>
    <col min="41" max="43" width="23.85546875" customWidth="1"/>
    <col min="44" max="44" width="23.85546875" bestFit="1" customWidth="1"/>
    <col min="45" max="49" width="23.85546875" customWidth="1"/>
    <col min="50" max="52" width="23.85546875" bestFit="1" customWidth="1"/>
    <col min="53" max="54" width="23.85546875" customWidth="1"/>
    <col min="55" max="55" width="23.85546875" bestFit="1" customWidth="1"/>
    <col min="56" max="63" width="23.85546875" customWidth="1"/>
    <col min="64" max="64" width="23.85546875" bestFit="1" customWidth="1"/>
    <col min="65" max="65" width="23.85546875" customWidth="1"/>
    <col min="66" max="68" width="23.85546875" bestFit="1" customWidth="1"/>
    <col min="69" max="69" width="15.7109375" bestFit="1" customWidth="1"/>
  </cols>
  <sheetData>
    <row r="1" spans="1:5" x14ac:dyDescent="0.25">
      <c r="A1" s="95" t="s">
        <v>269</v>
      </c>
      <c r="B1" s="95"/>
      <c r="D1" s="95" t="s">
        <v>286</v>
      </c>
      <c r="E1" s="95"/>
    </row>
    <row r="2" spans="1:5" x14ac:dyDescent="0.25">
      <c r="B2" s="90" t="s">
        <v>267</v>
      </c>
      <c r="E2" s="90" t="s">
        <v>267</v>
      </c>
    </row>
    <row r="3" spans="1:5" x14ac:dyDescent="0.25">
      <c r="A3" s="90" t="s">
        <v>268</v>
      </c>
      <c r="B3" t="s">
        <v>74</v>
      </c>
      <c r="D3" s="90" t="s">
        <v>268</v>
      </c>
      <c r="E3" t="s">
        <v>74</v>
      </c>
    </row>
    <row r="4" spans="1:5" x14ac:dyDescent="0.25">
      <c r="A4" s="91" t="s">
        <v>271</v>
      </c>
      <c r="B4" s="2">
        <v>14.043835616438356</v>
      </c>
      <c r="D4" s="91" t="s">
        <v>285</v>
      </c>
      <c r="E4" s="2"/>
    </row>
    <row r="5" spans="1:5" x14ac:dyDescent="0.25">
      <c r="A5" s="91" t="s">
        <v>272</v>
      </c>
      <c r="B5" s="2">
        <v>15.723926380368098</v>
      </c>
      <c r="D5" s="91" t="s">
        <v>274</v>
      </c>
      <c r="E5" s="2">
        <v>2783</v>
      </c>
    </row>
    <row r="6" spans="1:5" x14ac:dyDescent="0.25">
      <c r="A6" s="91" t="s">
        <v>273</v>
      </c>
      <c r="B6" s="2">
        <v>17.199013157894736</v>
      </c>
      <c r="D6" s="91" t="s">
        <v>275</v>
      </c>
      <c r="E6" s="2">
        <v>2821</v>
      </c>
    </row>
    <row r="7" spans="1:5" x14ac:dyDescent="0.25">
      <c r="A7" s="91" t="s">
        <v>274</v>
      </c>
      <c r="B7" s="2">
        <v>16.061403508771928</v>
      </c>
      <c r="D7" s="91" t="s">
        <v>276</v>
      </c>
      <c r="E7" s="2">
        <v>2778</v>
      </c>
    </row>
    <row r="8" spans="1:5" x14ac:dyDescent="0.25">
      <c r="A8" s="91" t="s">
        <v>275</v>
      </c>
      <c r="B8" s="2">
        <v>12.341549295774648</v>
      </c>
      <c r="D8" s="91" t="s">
        <v>277</v>
      </c>
      <c r="E8" s="2">
        <v>2724</v>
      </c>
    </row>
    <row r="9" spans="1:5" x14ac:dyDescent="0.25">
      <c r="A9" s="91" t="s">
        <v>276</v>
      </c>
      <c r="B9" s="2">
        <v>14.770270270270268</v>
      </c>
      <c r="D9" s="91" t="s">
        <v>278</v>
      </c>
      <c r="E9" s="2">
        <v>2738</v>
      </c>
    </row>
    <row r="10" spans="1:5" x14ac:dyDescent="0.25">
      <c r="A10" s="91" t="s">
        <v>277</v>
      </c>
      <c r="B10" s="2">
        <v>13.867713004484305</v>
      </c>
      <c r="D10" s="91" t="s">
        <v>279</v>
      </c>
      <c r="E10" s="2">
        <v>2754</v>
      </c>
    </row>
    <row r="11" spans="1:5" x14ac:dyDescent="0.25">
      <c r="A11" s="91" t="s">
        <v>278</v>
      </c>
      <c r="B11" s="2">
        <v>13.474895397489538</v>
      </c>
      <c r="D11" s="91" t="s">
        <v>280</v>
      </c>
      <c r="E11" s="2">
        <v>2769</v>
      </c>
    </row>
    <row r="12" spans="1:5" x14ac:dyDescent="0.25">
      <c r="A12" s="91" t="s">
        <v>279</v>
      </c>
      <c r="B12" s="2">
        <v>13.597727272727271</v>
      </c>
      <c r="D12" s="91" t="s">
        <v>281</v>
      </c>
      <c r="E12" s="2">
        <v>2840</v>
      </c>
    </row>
    <row r="13" spans="1:5" x14ac:dyDescent="0.25">
      <c r="A13" s="91" t="s">
        <v>280</v>
      </c>
      <c r="B13" s="2">
        <v>14.595185995623632</v>
      </c>
      <c r="D13" s="91" t="s">
        <v>282</v>
      </c>
      <c r="E13" s="2">
        <v>2893</v>
      </c>
    </row>
    <row r="14" spans="1:5" x14ac:dyDescent="0.25">
      <c r="A14" s="91" t="s">
        <v>281</v>
      </c>
      <c r="B14" s="2">
        <v>18.203856749311296</v>
      </c>
      <c r="D14" s="91" t="s">
        <v>283</v>
      </c>
      <c r="E14" s="2">
        <v>2975</v>
      </c>
    </row>
    <row r="15" spans="1:5" x14ac:dyDescent="0.25">
      <c r="A15" s="91" t="s">
        <v>282</v>
      </c>
      <c r="B15" s="2">
        <v>16.112600536193028</v>
      </c>
    </row>
    <row r="16" spans="1:5" x14ac:dyDescent="0.25">
      <c r="A16" s="91" t="s">
        <v>283</v>
      </c>
      <c r="B16" s="2">
        <v>18.329479768786129</v>
      </c>
    </row>
    <row r="17" spans="1:5" x14ac:dyDescent="0.25">
      <c r="D17" s="95" t="s">
        <v>288</v>
      </c>
      <c r="E17" s="95"/>
    </row>
    <row r="18" spans="1:5" x14ac:dyDescent="0.25">
      <c r="A18" s="95" t="s">
        <v>270</v>
      </c>
      <c r="B18" s="95"/>
      <c r="E18" s="90" t="s">
        <v>267</v>
      </c>
    </row>
    <row r="19" spans="1:5" x14ac:dyDescent="0.25">
      <c r="B19" s="90" t="s">
        <v>267</v>
      </c>
      <c r="D19" s="90" t="s">
        <v>268</v>
      </c>
      <c r="E19" t="s">
        <v>74</v>
      </c>
    </row>
    <row r="20" spans="1:5" x14ac:dyDescent="0.25">
      <c r="A20" s="90" t="s">
        <v>268</v>
      </c>
      <c r="B20" t="s">
        <v>74</v>
      </c>
      <c r="D20" s="91" t="s">
        <v>271</v>
      </c>
      <c r="E20" s="2">
        <v>3.37</v>
      </c>
    </row>
    <row r="21" spans="1:5" x14ac:dyDescent="0.25">
      <c r="A21" s="91" t="s">
        <v>271</v>
      </c>
      <c r="B21" s="2">
        <v>7.3</v>
      </c>
      <c r="D21" s="91" t="s">
        <v>272</v>
      </c>
      <c r="E21" s="2">
        <v>3.1</v>
      </c>
    </row>
    <row r="22" spans="1:5" x14ac:dyDescent="0.25">
      <c r="A22" s="91" t="s">
        <v>272</v>
      </c>
      <c r="B22" s="2">
        <v>6.52</v>
      </c>
      <c r="D22" s="91" t="s">
        <v>273</v>
      </c>
      <c r="E22" s="2">
        <v>2.92</v>
      </c>
    </row>
    <row r="23" spans="1:5" x14ac:dyDescent="0.25">
      <c r="A23" s="91" t="s">
        <v>273</v>
      </c>
      <c r="B23" s="2">
        <v>6.08</v>
      </c>
      <c r="D23" s="91" t="s">
        <v>274</v>
      </c>
      <c r="E23" s="2">
        <v>2.76</v>
      </c>
    </row>
    <row r="24" spans="1:5" x14ac:dyDescent="0.25">
      <c r="A24" s="91" t="s">
        <v>274</v>
      </c>
      <c r="B24" s="2">
        <v>5.7</v>
      </c>
      <c r="D24" s="91" t="s">
        <v>275</v>
      </c>
      <c r="E24" s="2">
        <v>2.59</v>
      </c>
    </row>
    <row r="25" spans="1:5" x14ac:dyDescent="0.25">
      <c r="A25" s="91" t="s">
        <v>275</v>
      </c>
      <c r="B25" s="2">
        <v>5.68</v>
      </c>
      <c r="D25" s="91" t="s">
        <v>276</v>
      </c>
      <c r="E25" s="2">
        <v>2.4</v>
      </c>
    </row>
    <row r="26" spans="1:5" x14ac:dyDescent="0.25">
      <c r="A26" s="91" t="s">
        <v>276</v>
      </c>
      <c r="B26" s="2">
        <v>4.4400000000000004</v>
      </c>
      <c r="D26" s="91" t="s">
        <v>277</v>
      </c>
      <c r="E26" s="2">
        <v>2.25</v>
      </c>
    </row>
    <row r="27" spans="1:5" x14ac:dyDescent="0.25">
      <c r="A27" s="91" t="s">
        <v>277</v>
      </c>
      <c r="B27" s="2">
        <v>4.46</v>
      </c>
      <c r="D27" s="91" t="s">
        <v>278</v>
      </c>
      <c r="E27" s="2">
        <v>2.11</v>
      </c>
    </row>
    <row r="28" spans="1:5" x14ac:dyDescent="0.25">
      <c r="A28" s="91" t="s">
        <v>278</v>
      </c>
      <c r="B28" s="2">
        <v>4.78</v>
      </c>
      <c r="D28" s="91" t="s">
        <v>279</v>
      </c>
      <c r="E28" s="2">
        <v>1.93</v>
      </c>
    </row>
    <row r="29" spans="1:5" x14ac:dyDescent="0.25">
      <c r="A29" s="91" t="s">
        <v>279</v>
      </c>
      <c r="B29" s="2">
        <v>4.4000000000000004</v>
      </c>
      <c r="D29" s="91" t="s">
        <v>280</v>
      </c>
      <c r="E29" s="2">
        <v>1.79</v>
      </c>
    </row>
    <row r="30" spans="1:5" x14ac:dyDescent="0.25">
      <c r="A30" s="91" t="s">
        <v>280</v>
      </c>
      <c r="B30" s="2">
        <v>4.57</v>
      </c>
      <c r="D30" s="91" t="s">
        <v>281</v>
      </c>
      <c r="E30" s="2">
        <v>1.62</v>
      </c>
    </row>
    <row r="31" spans="1:5" x14ac:dyDescent="0.25">
      <c r="A31" s="91" t="s">
        <v>281</v>
      </c>
      <c r="B31" s="2">
        <v>3.63</v>
      </c>
      <c r="D31" s="91" t="s">
        <v>282</v>
      </c>
      <c r="E31" s="2">
        <v>1.46</v>
      </c>
    </row>
    <row r="32" spans="1:5" x14ac:dyDescent="0.25">
      <c r="A32" s="91" t="s">
        <v>282</v>
      </c>
      <c r="B32" s="2">
        <v>3.73</v>
      </c>
      <c r="D32" s="91" t="s">
        <v>283</v>
      </c>
      <c r="E32" s="2">
        <v>1.27</v>
      </c>
    </row>
    <row r="33" spans="1:5" x14ac:dyDescent="0.25">
      <c r="A33" s="91" t="s">
        <v>283</v>
      </c>
      <c r="B33" s="2">
        <v>3.46</v>
      </c>
      <c r="D33" s="91" t="s">
        <v>287</v>
      </c>
      <c r="E33" s="2">
        <v>1.0900000000000001</v>
      </c>
    </row>
    <row r="35" spans="1:5" x14ac:dyDescent="0.25">
      <c r="A35" s="95" t="s">
        <v>284</v>
      </c>
      <c r="B35" s="95"/>
      <c r="D35" s="95" t="s">
        <v>289</v>
      </c>
      <c r="E35" s="95"/>
    </row>
    <row r="36" spans="1:5" x14ac:dyDescent="0.25">
      <c r="B36" s="90" t="s">
        <v>267</v>
      </c>
      <c r="E36" s="90" t="s">
        <v>267</v>
      </c>
    </row>
    <row r="37" spans="1:5" x14ac:dyDescent="0.25">
      <c r="A37" s="90" t="s">
        <v>268</v>
      </c>
      <c r="B37" t="s">
        <v>74</v>
      </c>
      <c r="D37" s="90" t="s">
        <v>268</v>
      </c>
      <c r="E37" t="s">
        <v>74</v>
      </c>
    </row>
    <row r="38" spans="1:5" x14ac:dyDescent="0.25">
      <c r="A38" s="91" t="s">
        <v>271</v>
      </c>
      <c r="B38" s="2">
        <v>37.200000000000003</v>
      </c>
      <c r="D38" s="91" t="s">
        <v>271</v>
      </c>
      <c r="E38" s="9">
        <v>0.4616438356164384</v>
      </c>
    </row>
    <row r="39" spans="1:5" x14ac:dyDescent="0.25">
      <c r="A39" s="91" t="s">
        <v>272</v>
      </c>
      <c r="B39" s="2">
        <v>31.6</v>
      </c>
      <c r="D39" s="91" t="s">
        <v>272</v>
      </c>
      <c r="E39" s="9">
        <v>0.47546012269938653</v>
      </c>
    </row>
    <row r="40" spans="1:5" x14ac:dyDescent="0.25">
      <c r="A40" s="91" t="s">
        <v>273</v>
      </c>
      <c r="B40" s="2">
        <v>28.3</v>
      </c>
      <c r="D40" s="91" t="s">
        <v>273</v>
      </c>
      <c r="E40" s="9">
        <v>0.48026315789473684</v>
      </c>
    </row>
    <row r="41" spans="1:5" x14ac:dyDescent="0.25">
      <c r="A41" s="91" t="s">
        <v>274</v>
      </c>
      <c r="B41" s="2">
        <v>25.06</v>
      </c>
      <c r="D41" s="91" t="s">
        <v>274</v>
      </c>
      <c r="E41" s="9">
        <v>0.48421052631578942</v>
      </c>
    </row>
    <row r="42" spans="1:5" x14ac:dyDescent="0.25">
      <c r="A42" s="91" t="s">
        <v>275</v>
      </c>
      <c r="B42" s="2">
        <v>26.25</v>
      </c>
      <c r="D42" s="91" t="s">
        <v>275</v>
      </c>
      <c r="E42" s="9">
        <v>0.45598591549295775</v>
      </c>
    </row>
    <row r="43" spans="1:5" x14ac:dyDescent="0.25">
      <c r="A43" s="91" t="s">
        <v>276</v>
      </c>
      <c r="B43" s="2">
        <v>23.33</v>
      </c>
      <c r="D43" s="91" t="s">
        <v>276</v>
      </c>
      <c r="E43" s="9">
        <v>0.54054054054054046</v>
      </c>
    </row>
    <row r="44" spans="1:5" x14ac:dyDescent="0.25">
      <c r="A44" s="91" t="s">
        <v>277</v>
      </c>
      <c r="B44" s="2">
        <v>20.95</v>
      </c>
      <c r="D44" s="91" t="s">
        <v>277</v>
      </c>
      <c r="E44" s="9">
        <v>0.50448430493273544</v>
      </c>
    </row>
    <row r="45" spans="1:5" x14ac:dyDescent="0.25">
      <c r="A45" s="91" t="s">
        <v>278</v>
      </c>
      <c r="B45" s="2">
        <v>20.66</v>
      </c>
      <c r="D45" s="91" t="s">
        <v>278</v>
      </c>
      <c r="E45" s="9">
        <v>0.44142259414225937</v>
      </c>
    </row>
    <row r="46" spans="1:5" x14ac:dyDescent="0.25">
      <c r="A46" s="91" t="s">
        <v>279</v>
      </c>
      <c r="B46" s="2">
        <v>18.37</v>
      </c>
      <c r="D46" s="91" t="s">
        <v>279</v>
      </c>
      <c r="E46" s="9">
        <v>0.4386363636363636</v>
      </c>
    </row>
    <row r="47" spans="1:5" x14ac:dyDescent="0.25">
      <c r="A47" s="91" t="s">
        <v>280</v>
      </c>
      <c r="B47" s="2">
        <v>15.35</v>
      </c>
      <c r="D47" s="91" t="s">
        <v>280</v>
      </c>
      <c r="E47" s="9">
        <v>0.39168490153172864</v>
      </c>
    </row>
    <row r="48" spans="1:5" x14ac:dyDescent="0.25">
      <c r="A48" s="91" t="s">
        <v>281</v>
      </c>
      <c r="B48" s="2">
        <v>15.25</v>
      </c>
      <c r="D48" s="91" t="s">
        <v>281</v>
      </c>
      <c r="E48" s="9">
        <v>0.44628099173553726</v>
      </c>
    </row>
    <row r="49" spans="1:5" x14ac:dyDescent="0.25">
      <c r="A49" s="91" t="s">
        <v>282</v>
      </c>
      <c r="B49" s="2">
        <v>13.59</v>
      </c>
      <c r="D49" s="91" t="s">
        <v>282</v>
      </c>
      <c r="E49" s="9">
        <v>0.39142091152815012</v>
      </c>
    </row>
    <row r="50" spans="1:5" x14ac:dyDescent="0.25">
      <c r="A50" s="91" t="s">
        <v>283</v>
      </c>
      <c r="B50" s="2">
        <v>12.73</v>
      </c>
      <c r="D50" s="91" t="s">
        <v>283</v>
      </c>
      <c r="E50" s="9">
        <v>0.36705202312138729</v>
      </c>
    </row>
  </sheetData>
  <mergeCells count="6">
    <mergeCell ref="A1:B1"/>
    <mergeCell ref="A18:B18"/>
    <mergeCell ref="A35:B35"/>
    <mergeCell ref="D1:E1"/>
    <mergeCell ref="D17:E17"/>
    <mergeCell ref="D35:E35"/>
  </mergeCells>
  <pageMargins left="0.7" right="0.7" top="0.78740157499999996" bottom="0.78740157499999996" header="0.3" footer="0.3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bestFit="1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0.140625" customWidth="1"/>
    <col min="24" max="24" width="33.42578125" customWidth="1"/>
  </cols>
  <sheetData>
    <row r="1" spans="1:24" x14ac:dyDescent="0.25">
      <c r="A1" s="1"/>
      <c r="B1" s="1"/>
      <c r="C1" s="1"/>
      <c r="D1" s="1"/>
      <c r="E1" s="1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1"/>
      <c r="T1" s="98" t="s">
        <v>144</v>
      </c>
      <c r="U1" s="98"/>
      <c r="V1" s="98"/>
      <c r="W1" s="1"/>
      <c r="X1" s="1"/>
    </row>
    <row r="2" spans="1:24" x14ac:dyDescent="0.25">
      <c r="A2" s="1"/>
      <c r="B2" s="1"/>
      <c r="C2" s="98" t="s">
        <v>198</v>
      </c>
      <c r="D2" s="98"/>
      <c r="E2" s="98"/>
      <c r="F2" s="1">
        <v>2017</v>
      </c>
      <c r="G2" s="1">
        <v>2016</v>
      </c>
      <c r="H2" s="1">
        <v>2015</v>
      </c>
      <c r="I2" s="1">
        <v>2014</v>
      </c>
      <c r="J2" s="1">
        <v>2013</v>
      </c>
      <c r="K2" s="1">
        <v>2012</v>
      </c>
      <c r="L2" s="1">
        <v>2011</v>
      </c>
      <c r="M2" s="1">
        <v>2010</v>
      </c>
      <c r="N2" s="1">
        <v>2009</v>
      </c>
      <c r="O2" s="1">
        <v>2008</v>
      </c>
      <c r="P2" s="1">
        <v>2007</v>
      </c>
      <c r="Q2" s="1">
        <v>2006</v>
      </c>
      <c r="R2" s="1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</row>
    <row r="3" spans="1:24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1" t="s">
        <v>201</v>
      </c>
      <c r="G3" s="1" t="s">
        <v>141</v>
      </c>
      <c r="H3" s="1" t="s">
        <v>142</v>
      </c>
      <c r="I3" s="1" t="s">
        <v>131</v>
      </c>
      <c r="J3" s="1" t="s">
        <v>132</v>
      </c>
      <c r="K3" s="1" t="s">
        <v>133</v>
      </c>
      <c r="L3" s="1" t="s">
        <v>134</v>
      </c>
      <c r="M3" s="1" t="s">
        <v>135</v>
      </c>
      <c r="N3" s="1" t="s">
        <v>136</v>
      </c>
      <c r="O3" s="1" t="s">
        <v>137</v>
      </c>
      <c r="P3" s="1" t="s">
        <v>138</v>
      </c>
      <c r="Q3" s="1" t="s">
        <v>139</v>
      </c>
      <c r="R3" s="1" t="s">
        <v>140</v>
      </c>
      <c r="S3" s="1" t="s">
        <v>150</v>
      </c>
      <c r="T3" s="1" t="s">
        <v>201</v>
      </c>
      <c r="U3" s="1" t="s">
        <v>141</v>
      </c>
      <c r="V3" s="1" t="s">
        <v>142</v>
      </c>
      <c r="W3" s="1" t="s">
        <v>166</v>
      </c>
      <c r="X3" s="1" t="s">
        <v>151</v>
      </c>
    </row>
    <row r="4" spans="1:24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5">
        <f>IF(VLOOKUP(A4,Dividende_je_Aktie!A3:AM68,6,FALSE)&lt;&gt;"",IF(VLOOKUP(A4,Ergebnis_je_Aktie_verwässert!A3:AK68,6,FALSE)&lt;&gt;"",IF(VLOOKUP(A4,Ergebnis_je_Aktie_verwässert!A3:AK68,6,FALSE)&lt;=0,9.99999,VLOOKUP(A4,Dividende_je_Aktie!A3:AM68,6,FALSE)/VLOOKUP(A4,Ergebnis_je_Aktie_verwässert!A3:AK68,6,FALSE)),""),"")</f>
        <v>0.61946902654867253</v>
      </c>
      <c r="G4" s="5">
        <f>IF(VLOOKUP(A4,Dividende_je_Aktie!A3:AM68,7,FALSE)&lt;&gt;"",IF(VLOOKUP(A4,Ergebnis_je_Aktie_verwässert!A3:AK68,7,FALSE)&lt;&gt;"",IF(VLOOKUP(A4,Ergebnis_je_Aktie_verwässert!A3:AK68,7,FALSE)&lt;=0,9.99999,VLOOKUP(A4,Dividende_je_Aktie!A3:AM68,7,FALSE)/VLOOKUP(A4,Ergebnis_je_Aktie_verwässert!A3:AK68,7,FALSE)),""),"")</f>
        <v>0.62561576354679793</v>
      </c>
      <c r="H4" s="5">
        <f>IF(VLOOKUP(A4,Dividende_je_Aktie!A3:AM68,8,FALSE)&lt;&gt;"",IF(VLOOKUP(A4,Ergebnis_je_Aktie_verwässert!A3:AK68,8,FALSE)&lt;&gt;"",IF(VLOOKUP(A4,Ergebnis_je_Aktie_verwässert!A3:AK68,8,FALSE)&lt;=0,9.99999,VLOOKUP(A4,Dividende_je_Aktie!A3:AM68,8,FALSE)/VLOOKUP(A4,Ergebnis_je_Aktie_verwässert!A3:AK68,8,FALSE)),""),"")</f>
        <v>0.67796610169491534</v>
      </c>
      <c r="I4" s="5">
        <f>IF(VLOOKUP(A4,Dividende_je_Aktie!A3:AM68,9,FALSE)&lt;&gt;"",IF(VLOOKUP(A4,Ergebnis_je_Aktie_verwässert!A3:AK68,9,FALSE)&lt;&gt;"",IF(VLOOKUP(A4,Ergebnis_je_Aktie_verwässert!A3:AK68,9,FALSE)&lt;=0,9.99999,VLOOKUP(A4,Dividende_je_Aktie!A3:AM68,9,FALSE)/VLOOKUP(A4,Ergebnis_je_Aktie_verwässert!A3:AK68,9,FALSE)),""),"")</f>
        <v>0.63181818181818172</v>
      </c>
      <c r="J4" s="5">
        <f>IF(VLOOKUP(A4,Dividende_je_Aktie!A3:AM68,10,FALSE)&lt;&gt;"",IF(VLOOKUP(A4,Ergebnis_je_Aktie_verwässert!A3:AK68,10,FALSE)&lt;&gt;"",IF(VLOOKUP(A4,Ergebnis_je_Aktie_verwässert!A3:AK68,10,FALSE)&lt;=0,9.99999,VLOOKUP(A4,Dividende_je_Aktie!A3:AM68,10,FALSE)/VLOOKUP(A4,Ergebnis_je_Aktie_verwässert!A3:AK68,10,FALSE)),""),"")</f>
        <v>0.63273340832395941</v>
      </c>
      <c r="K4" s="5">
        <f>IF(VLOOKUP(A4,Dividende_je_Aktie!A3:AM68,11,FALSE)&lt;&gt;"",IF(VLOOKUP(A4,Ergebnis_je_Aktie_verwässert!A3:AK68,11,FALSE)&lt;&gt;"",IF(VLOOKUP(A4,Ergebnis_je_Aktie_verwässert!A3:AK68,11,FALSE)&lt;=0,9.99999,VLOOKUP(A4,Dividende_je_Aktie!A3:AM68,11,FALSE)/VLOOKUP(A4,Ergebnis_je_Aktie_verwässert!A3:AK68,11,FALSE)),""),"")</f>
        <v>0.51082677165354329</v>
      </c>
      <c r="L4" s="5">
        <f>IF(VLOOKUP(A4,Dividende_je_Aktie!A3:AM68,12,FALSE)&lt;&gt;"",IF(VLOOKUP(A4,Ergebnis_je_Aktie_verwässert!A3:AK68,12,FALSE)&lt;&gt;"",IF(VLOOKUP(A4,Ergebnis_je_Aktie_verwässert!A3:AK68,12,FALSE)&lt;=0,9.99999,VLOOKUP(A4,Dividende_je_Aktie!A3:AM68,12,FALSE)/VLOOKUP(A4,Ergebnis_je_Aktie_verwässert!A3:AK68,12,FALSE)),""),"")</f>
        <v>0.50953206239168114</v>
      </c>
      <c r="M4" s="5">
        <f>IF(VLOOKUP(A4,Dividende_je_Aktie!A3:AM68,13,FALSE)&lt;&gt;"",IF(VLOOKUP(A4,Ergebnis_je_Aktie_verwässert!A3:AK68,13,FALSE)&lt;&gt;"",IF(VLOOKUP(A4,Ergebnis_je_Aktie_verwässert!A3:AK68,13,FALSE)&lt;=0,9.99999,VLOOKUP(A4,Dividende_je_Aktie!A3:AM68,13,FALSE)/VLOOKUP(A4,Ergebnis_je_Aktie_verwässert!A3:AK68,13,FALSE)),""),"")</f>
        <v>0.50967311541027349</v>
      </c>
      <c r="N4" s="5">
        <f>IF(VLOOKUP(A4,Dividende_je_Aktie!A3:AM68,14,FALSE)&lt;&gt;"",IF(VLOOKUP(A4,Ergebnis_je_Aktie_verwässert!A3:AK68,14,FALSE)&lt;&gt;"",IF(VLOOKUP(A4,Ergebnis_je_Aktie_verwässert!A3:AK68,14,FALSE)&lt;=0,9.99999,VLOOKUP(A4,Dividende_je_Aktie!A3:AM68,14,FALSE)/VLOOKUP(A4,Ergebnis_je_Aktie_verwässert!A3:AK68,14,FALSE)),""),"")</f>
        <v>0.38372093023255816</v>
      </c>
      <c r="O4" s="5">
        <f>IF(VLOOKUP(A4,Dividende_je_Aktie!A3:AM68,15,FALSE)&lt;&gt;"",IF(VLOOKUP(A4,Ergebnis_je_Aktie_verwässert!A3:AK68,15,FALSE)&lt;&gt;"",IF(VLOOKUP(A4,Ergebnis_je_Aktie_verwässert!A3:AK68,15,FALSE)&lt;=0,9.99999,VLOOKUP(A4,Dividende_je_Aktie!A3:AM68,15,FALSE)/VLOOKUP(A4,Ergebnis_je_Aktie_verwässert!A3:AK68,15,FALSE)),""),"")</f>
        <v>0.36021872863978122</v>
      </c>
      <c r="P4" s="5">
        <f>IF(VLOOKUP(A4,Dividende_je_Aktie!A3:AM68,16,FALSE)&lt;&gt;"",IF(VLOOKUP(A4,Ergebnis_je_Aktie_verwässert!A3:AK68,16,FALSE)&lt;&gt;"",IF(VLOOKUP(A4,Ergebnis_je_Aktie_verwässert!A3:AK68,16,FALSE)&lt;=0,9.99999,VLOOKUP(A4,Dividende_je_Aktie!A3:AM68,16,FALSE)/VLOOKUP(A4,Ergebnis_je_Aktie_verwässert!A3:AK68,16,FALSE)),""),"")</f>
        <v>0.41681260945709281</v>
      </c>
      <c r="Q4" s="5">
        <f>IF(VLOOKUP(A4,Dividende_je_Aktie!A3:AM68,17,FALSE)&lt;&gt;"",IF(VLOOKUP(A4,Ergebnis_je_Aktie_verwässert!A3:AK68,17,FALSE)&lt;&gt;"",IF(VLOOKUP(A4,Ergebnis_je_Aktie_verwässert!A3:AK68,17,FALSE)&lt;=0,9.99999,VLOOKUP(A4,Dividende_je_Aktie!A3:AM68,17,FALSE)/VLOOKUP(A4,Ergebnis_je_Aktie_verwässert!A3:AK68,17,FALSE)),""),"")</f>
        <v>0.41574803149606304</v>
      </c>
      <c r="R4" s="5">
        <f>IF(VLOOKUP(A4,Dividende_je_Aktie!A3:AM68,18,FALSE)&lt;&gt;"",IF(VLOOKUP(A4,Ergebnis_je_Aktie_verwässert!A3:AK68,18,FALSE)&lt;&gt;"",IF(VLOOKUP(A4,Ergebnis_je_Aktie_verwässert!A3:AK68,18,FALSE)&lt;=0,9.99999,VLOOKUP(A4,Dividende_je_Aktie!A3:AM68,18,FALSE)/VLOOKUP(A4,Ergebnis_je_Aktie_verwässert!A3:AK68,18,FALSE)),""),"")</f>
        <v>0</v>
      </c>
      <c r="S4" s="10">
        <f>AVERAGE(F4:R4)</f>
        <v>0.48416421009334776</v>
      </c>
      <c r="T4" s="4">
        <f t="shared" ref="T4:T35" ca="1" si="0">IF(DAYS360(TODAY(),DATE(E4+2,D4,C4))&gt;=720,0,360-U4)</f>
        <v>0</v>
      </c>
      <c r="U4" s="4">
        <f t="shared" ref="U4:U35" ca="1" si="1">IF(DAYS360(TODAY(),DATE(E4+1,D4,C4))&lt;=360,DAYS360(TODAY(),DATE(E4+1,D4,C4)),360-V4)</f>
        <v>73</v>
      </c>
      <c r="V4" s="4">
        <f t="shared" ref="V4:V35" ca="1" si="2">IF(DATE(E4,D4,C4)&lt;=TODAY(),0,DAYS360(TODAY(),DATE(E4,D4,C4)))</f>
        <v>287</v>
      </c>
      <c r="W4" s="10">
        <f t="shared" ref="W4:W35" ca="1" si="3">IF(T4&gt;0,(F4/360*T4)+(G4/360*U4)+(H4/360*V4),(G4/360*U4)+(H4/360*V4))</f>
        <v>0.66735061645932492</v>
      </c>
      <c r="X4" s="5">
        <f t="shared" ref="X4:X35" ca="1" si="4">(W4/S4)-1</f>
        <v>0.37835594318435573</v>
      </c>
    </row>
    <row r="5" spans="1:24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5">
        <f>IF(VLOOKUP(A5,Dividende_je_Aktie!A3:AM68,6,FALSE)&lt;&gt;"",IF(VLOOKUP(A5,Ergebnis_je_Aktie_verwässert!A3:AK68,6,FALSE)&lt;&gt;"",IF(VLOOKUP(A5,Ergebnis_je_Aktie_verwässert!A3:AK68,6,FALSE)&lt;=0,9.99999,VLOOKUP(A5,Dividende_je_Aktie!A3:AM68,6,FALSE)/VLOOKUP(A5,Ergebnis_je_Aktie_verwässert!A3:AK68,6,FALSE)),""),"")</f>
        <v>0.65142857142857147</v>
      </c>
      <c r="G5" s="5">
        <f>IF(VLOOKUP(A5,Dividende_je_Aktie!A3:AM68,7,FALSE)&lt;&gt;"",IF(VLOOKUP(A5,Ergebnis_je_Aktie_verwässert!A3:AK68,7,FALSE)&lt;&gt;"",IF(VLOOKUP(A5,Ergebnis_je_Aktie_verwässert!A3:AK68,7,FALSE)&lt;=0,9.99999,VLOOKUP(A5,Dividende_je_Aktie!A3:AM68,7,FALSE)/VLOOKUP(A5,Ergebnis_je_Aktie_verwässert!A3:AK68,7,FALSE)),""),"")</f>
        <v>0.66153846153846152</v>
      </c>
      <c r="H5" s="5">
        <f>IF(VLOOKUP(A5,Dividende_je_Aktie!A3:AM68,8,FALSE)&lt;&gt;"",IF(VLOOKUP(A5,Ergebnis_je_Aktie_verwässert!A3:AK68,8,FALSE)&lt;&gt;"",IF(VLOOKUP(A5,Ergebnis_je_Aktie_verwässert!A3:AK68,8,FALSE)&lt;=0,9.99999,VLOOKUP(A5,Dividende_je_Aktie!A3:AM68,8,FALSE)/VLOOKUP(A5,Ergebnis_je_Aktie_verwässert!A3:AK68,8,FALSE)),""),"")</f>
        <v>0.61842105263157898</v>
      </c>
      <c r="I5" s="5">
        <f>IF(VLOOKUP(A5,Dividende_je_Aktie!A3:AM68,9,FALSE)&lt;&gt;"",IF(VLOOKUP(A5,Ergebnis_je_Aktie_verwässert!A3:AK68,9,FALSE)&lt;&gt;"",IF(VLOOKUP(A5,Ergebnis_je_Aktie_verwässert!A3:AK68,9,FALSE)&lt;=0,9.99999,VLOOKUP(A5,Dividende_je_Aktie!A3:AM68,9,FALSE)/VLOOKUP(A5,Ergebnis_je_Aktie_verwässert!A3:AK68,9,FALSE)),""),"")</f>
        <v>0.61020881670533644</v>
      </c>
      <c r="J5" s="5">
        <f>IF(VLOOKUP(A5,Dividende_je_Aktie!A3:AM68,10,FALSE)&lt;&gt;"",IF(VLOOKUP(A5,Ergebnis_je_Aktie_verwässert!A3:AK68,10,FALSE)&lt;&gt;"",IF(VLOOKUP(A5,Ergebnis_je_Aktie_verwässert!A3:AK68,10,FALSE)&lt;=0,9.99999,VLOOKUP(A5,Dividende_je_Aktie!A3:AM68,10,FALSE)/VLOOKUP(A5,Ergebnis_je_Aktie_verwässert!A3:AK68,10,FALSE)),""),"")</f>
        <v>0.74864864864864866</v>
      </c>
      <c r="K5" s="5">
        <f>IF(VLOOKUP(A5,Dividende_je_Aktie!A3:AM68,11,FALSE)&lt;&gt;"",IF(VLOOKUP(A5,Ergebnis_je_Aktie_verwässert!A3:AK68,11,FALSE)&lt;&gt;"",IF(VLOOKUP(A5,Ergebnis_je_Aktie_verwässert!A3:AK68,11,FALSE)&lt;=0,9.99999,VLOOKUP(A5,Dividende_je_Aktie!A3:AM68,11,FALSE)/VLOOKUP(A5,Ergebnis_je_Aktie_verwässert!A3:AK68,11,FALSE)),""),"")</f>
        <v>0.634961439588689</v>
      </c>
      <c r="L5" s="5">
        <f>IF(VLOOKUP(A5,Dividende_je_Aktie!A3:AM68,12,FALSE)&lt;&gt;"",IF(VLOOKUP(A5,Ergebnis_je_Aktie_verwässert!A3:AK68,12,FALSE)&lt;&gt;"",IF(VLOOKUP(A5,Ergebnis_je_Aktie_verwässert!A3:AK68,12,FALSE)&lt;=0,9.99999,VLOOKUP(A5,Dividende_je_Aktie!A3:AM68,12,FALSE)/VLOOKUP(A5,Ergebnis_je_Aktie_verwässert!A3:AK68,12,FALSE)),""),"")</f>
        <v>0.64021164021164023</v>
      </c>
      <c r="M5" s="5">
        <f>IF(VLOOKUP(A5,Dividende_je_Aktie!A3:AM68,13,FALSE)&lt;&gt;"",IF(VLOOKUP(A5,Ergebnis_je_Aktie_verwässert!A3:AK68,13,FALSE)&lt;&gt;"",IF(VLOOKUP(A5,Ergebnis_je_Aktie_verwässert!A3:AK68,13,FALSE)&lt;=0,9.99999,VLOOKUP(A5,Dividende_je_Aktie!A3:AM68,13,FALSE)/VLOOKUP(A5,Ergebnis_je_Aktie_verwässert!A3:AK68,13,FALSE)),""),"")</f>
        <v>0.54929577464788737</v>
      </c>
      <c r="N5" s="5">
        <f>IF(VLOOKUP(A5,Dividende_je_Aktie!A3:AM68,14,FALSE)&lt;&gt;"",IF(VLOOKUP(A5,Ergebnis_je_Aktie_verwässert!A3:AK68,14,FALSE)&lt;&gt;"",IF(VLOOKUP(A5,Ergebnis_je_Aktie_verwässert!A3:AK68,14,FALSE)&lt;=0,9.99999,VLOOKUP(A5,Dividende_je_Aktie!A3:AM68,14,FALSE)/VLOOKUP(A5,Ergebnis_je_Aktie_verwässert!A3:AK68,14,FALSE)),""),"")</f>
        <v>0.54742547425474253</v>
      </c>
      <c r="O5" s="5">
        <f>IF(VLOOKUP(A5,Dividende_je_Aktie!A3:AM68,15,FALSE)&lt;&gt;"",IF(VLOOKUP(A5,Ergebnis_je_Aktie_verwässert!A3:AK68,15,FALSE)&lt;&gt;"",IF(VLOOKUP(A5,Ergebnis_je_Aktie_verwässert!A3:AK68,15,FALSE)&lt;=0,9.99999,VLOOKUP(A5,Dividende_je_Aktie!A3:AM68,15,FALSE)/VLOOKUP(A5,Ergebnis_je_Aktie_verwässert!A3:AK68,15,FALSE)),""),"")</f>
        <v>0.52646239554317553</v>
      </c>
      <c r="P5" s="5">
        <f>IF(VLOOKUP(A5,Dividende_je_Aktie!A3:AM68,16,FALSE)&lt;&gt;"",IF(VLOOKUP(A5,Ergebnis_je_Aktie_verwässert!A3:AK68,16,FALSE)&lt;&gt;"",IF(VLOOKUP(A5,Ergebnis_je_Aktie_verwässert!A3:AK68,16,FALSE)&lt;=0,9.99999,VLOOKUP(A5,Dividende_je_Aktie!A3:AM68,16,FALSE)/VLOOKUP(A5,Ergebnis_je_Aktie_verwässert!A3:AK68,16,FALSE)),""),"")</f>
        <v>0.50533807829181487</v>
      </c>
      <c r="Q5" s="5">
        <f>IF(VLOOKUP(A5,Dividende_je_Aktie!A3:AM68,17,FALSE)&lt;&gt;"",IF(VLOOKUP(A5,Ergebnis_je_Aktie_verwässert!A3:AK68,17,FALSE)&lt;&gt;"",IF(VLOOKUP(A5,Ergebnis_je_Aktie_verwässert!A3:AK68,17,FALSE)&lt;=0,9.99999,VLOOKUP(A5,Dividende_je_Aktie!A3:AM68,17,FALSE)/VLOOKUP(A5,Ergebnis_je_Aktie_verwässert!A3:AK68,17,FALSE)),""),"")</f>
        <v>0.36513157894736847</v>
      </c>
      <c r="R5" s="5">
        <f>IF(VLOOKUP(A5,Dividende_je_Aktie!A3:AM68,18,FALSE)&lt;&gt;"",IF(VLOOKUP(A5,Ergebnis_je_Aktie_verwässert!A3:AK68,18,FALSE)&lt;&gt;"",IF(VLOOKUP(A5,Ergebnis_je_Aktie_verwässert!A3:AK68,18,FALSE)&lt;=0,9.99999,VLOOKUP(A5,Dividende_je_Aktie!A3:AM68,18,FALSE)/VLOOKUP(A5,Ergebnis_je_Aktie_verwässert!A3:AK68,18,FALSE)),""),"")</f>
        <v>0.33587786259541985</v>
      </c>
      <c r="S5" s="10">
        <f t="shared" ref="S5:S68" si="5">AVERAGE(F5:R5)</f>
        <v>0.56884229192564117</v>
      </c>
      <c r="T5" s="4">
        <f t="shared" ca="1" si="0"/>
        <v>0</v>
      </c>
      <c r="U5" s="4">
        <f t="shared" ca="1" si="1"/>
        <v>73</v>
      </c>
      <c r="V5" s="4">
        <f t="shared" ca="1" si="2"/>
        <v>287</v>
      </c>
      <c r="W5" s="10">
        <f t="shared" ca="1" si="3"/>
        <v>0.62716430499325238</v>
      </c>
      <c r="X5" s="5">
        <f t="shared" ca="1" si="4"/>
        <v>0.10252756149719433</v>
      </c>
    </row>
    <row r="6" spans="1:24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5">
        <f>IF(VLOOKUP(A6,Dividende_je_Aktie!A3:AM68,6,FALSE)&lt;&gt;"",IF(VLOOKUP(A6,Ergebnis_je_Aktie_verwässert!A3:AK68,6,FALSE)&lt;&gt;"",IF(VLOOKUP(A6,Ergebnis_je_Aktie_verwässert!A3:AK68,6,FALSE)&lt;=0,9.99999,VLOOKUP(A6,Dividende_je_Aktie!A3:AM68,6,FALSE)/VLOOKUP(A6,Ergebnis_je_Aktie_verwässert!A3:AK68,6,FALSE)),""),"")</f>
        <v>0.62142857142857144</v>
      </c>
      <c r="G6" s="5">
        <f>IF(VLOOKUP(A6,Dividende_je_Aktie!A3:AM68,7,FALSE)&lt;&gt;"",IF(VLOOKUP(A6,Ergebnis_je_Aktie_verwässert!A3:AK68,7,FALSE)&lt;&gt;"",IF(VLOOKUP(A6,Ergebnis_je_Aktie_verwässert!A3:AK68,7,FALSE)&lt;=0,9.99999,VLOOKUP(A6,Dividende_je_Aktie!A3:AM68,7,FALSE)/VLOOKUP(A6,Ergebnis_je_Aktie_verwässert!A3:AK68,7,FALSE)),""),"")</f>
        <v>0.61538461538461542</v>
      </c>
      <c r="H6" s="5">
        <f>IF(VLOOKUP(A6,Dividende_je_Aktie!A3:AM68,8,FALSE)&lt;&gt;"",IF(VLOOKUP(A6,Ergebnis_je_Aktie_verwässert!A3:AK68,8,FALSE)&lt;&gt;"",IF(VLOOKUP(A6,Ergebnis_je_Aktie_verwässert!A3:AK68,8,FALSE)&lt;=0,9.99999,VLOOKUP(A6,Dividende_je_Aktie!A3:AM68,8,FALSE)/VLOOKUP(A6,Ergebnis_je_Aktie_verwässert!A3:AK68,8,FALSE)),""),"")</f>
        <v>0.62824427480916034</v>
      </c>
      <c r="I6" s="5">
        <f>IF(VLOOKUP(A6,Dividende_je_Aktie!A3:AM68,9,FALSE)&lt;&gt;"",IF(VLOOKUP(A6,Ergebnis_je_Aktie_verwässert!A3:AK68,9,FALSE)&lt;&gt;"",IF(VLOOKUP(A6,Ergebnis_je_Aktie_verwässert!A3:AK68,9,FALSE)&lt;=0,9.99999,VLOOKUP(A6,Dividende_je_Aktie!A3:AM68,9,FALSE)/VLOOKUP(A6,Ergebnis_je_Aktie_verwässert!A3:AK68,9,FALSE)),""),"")</f>
        <v>0.74005550416281218</v>
      </c>
      <c r="J6" s="5">
        <f>IF(VLOOKUP(A6,Dividende_je_Aktie!A3:AM68,10,FALSE)&lt;&gt;"",IF(VLOOKUP(A6,Ergebnis_je_Aktie_verwässert!A3:AK68,10,FALSE)&lt;&gt;"",IF(VLOOKUP(A6,Ergebnis_je_Aktie_verwässert!A3:AK68,10,FALSE)&lt;=0,9.99999,VLOOKUP(A6,Dividende_je_Aktie!A3:AM68,10,FALSE)/VLOOKUP(A6,Ergebnis_je_Aktie_verwässert!A3:AK68,10,FALSE)),""),"")</f>
        <v>0.60324825986078889</v>
      </c>
      <c r="K6" s="5">
        <f>IF(VLOOKUP(A6,Dividende_je_Aktie!A3:AM68,11,FALSE)&lt;&gt;"",IF(VLOOKUP(A6,Ergebnis_je_Aktie_verwässert!A3:AK68,11,FALSE)&lt;&gt;"",IF(VLOOKUP(A6,Ergebnis_je_Aktie_verwässert!A3:AK68,11,FALSE)&lt;=0,9.99999,VLOOKUP(A6,Dividende_je_Aktie!A3:AM68,11,FALSE)/VLOOKUP(A6,Ergebnis_je_Aktie_verwässert!A3:AK68,11,FALSE)),""),"")</f>
        <v>0.65860215053763438</v>
      </c>
      <c r="L6" s="5">
        <f>IF(VLOOKUP(A6,Dividende_je_Aktie!A3:AM68,12,FALSE)&lt;&gt;"",IF(VLOOKUP(A6,Ergebnis_je_Aktie_verwässert!A3:AK68,12,FALSE)&lt;&gt;"",IF(VLOOKUP(A6,Ergebnis_je_Aktie_verwässert!A3:AK68,12,FALSE)&lt;=0,9.99999,VLOOKUP(A6,Dividende_je_Aktie!A3:AM68,12,FALSE)/VLOOKUP(A6,Ergebnis_je_Aktie_verwässert!A3:AK68,12,FALSE)),""),"")</f>
        <v>0.61930783242258647</v>
      </c>
      <c r="M6" s="5">
        <f>IF(VLOOKUP(A6,Dividende_je_Aktie!A3:AM68,13,FALSE)&lt;&gt;"",IF(VLOOKUP(A6,Ergebnis_je_Aktie_verwässert!A3:AK68,13,FALSE)&lt;&gt;"",IF(VLOOKUP(A6,Ergebnis_je_Aktie_verwässert!A3:AK68,13,FALSE)&lt;=0,9.99999,VLOOKUP(A6,Dividende_je_Aktie!A3:AM68,13,FALSE)/VLOOKUP(A6,Ergebnis_je_Aktie_verwässert!A3:AK68,13,FALSE)),""),"")</f>
        <v>0.65281899109792285</v>
      </c>
      <c r="N6" s="5">
        <f>IF(VLOOKUP(A6,Dividende_je_Aktie!A3:AM68,14,FALSE)&lt;&gt;"",IF(VLOOKUP(A6,Ergebnis_je_Aktie_verwässert!A3:AK68,14,FALSE)&lt;&gt;"",IF(VLOOKUP(A6,Ergebnis_je_Aktie_verwässert!A3:AK68,14,FALSE)&lt;=0,9.99999,VLOOKUP(A6,Dividende_je_Aktie!A3:AM68,14,FALSE)/VLOOKUP(A6,Ergebnis_je_Aktie_verwässert!A3:AK68,14,FALSE)),""),"")</f>
        <v>0.66518847006651893</v>
      </c>
      <c r="O6" s="5">
        <f>IF(VLOOKUP(A6,Dividende_je_Aktie!A3:AM68,15,FALSE)&lt;&gt;"",IF(VLOOKUP(A6,Ergebnis_je_Aktie_verwässert!A3:AK68,15,FALSE)&lt;&gt;"",IF(VLOOKUP(A6,Ergebnis_je_Aktie_verwässert!A3:AK68,15,FALSE)&lt;=0,9.99999,VLOOKUP(A6,Dividende_je_Aktie!A3:AM68,15,FALSE)/VLOOKUP(A6,Ergebnis_je_Aktie_verwässert!A3:AK68,15,FALSE)),""),"")</f>
        <v>0.48875855327468226</v>
      </c>
      <c r="P6" s="5">
        <f>IF(VLOOKUP(A6,Dividende_je_Aktie!A3:AM68,16,FALSE)&lt;&gt;"",IF(VLOOKUP(A6,Ergebnis_je_Aktie_verwässert!A3:AK68,16,FALSE)&lt;&gt;"",IF(VLOOKUP(A6,Ergebnis_je_Aktie_verwässert!A3:AK68,16,FALSE)&lt;=0,9.99999,VLOOKUP(A6,Dividende_je_Aktie!A3:AM68,16,FALSE)/VLOOKUP(A6,Ergebnis_je_Aktie_verwässert!A3:AK68,16,FALSE)),""),"")</f>
        <v>0.41218637992831536</v>
      </c>
      <c r="Q6" s="5">
        <f>IF(VLOOKUP(A6,Dividende_je_Aktie!A3:AM68,17,FALSE)&lt;&gt;"",IF(VLOOKUP(A6,Ergebnis_je_Aktie_verwässert!A3:AK68,17,FALSE)&lt;&gt;"",IF(VLOOKUP(A6,Ergebnis_je_Aktie_verwässert!A3:AK68,17,FALSE)&lt;=0,9.99999,VLOOKUP(A6,Dividende_je_Aktie!A3:AM68,17,FALSE)/VLOOKUP(A6,Ergebnis_je_Aktie_verwässert!A3:AK68,17,FALSE)),""),"")</f>
        <v>0.37569060773480661</v>
      </c>
      <c r="R6" s="5">
        <f>IF(VLOOKUP(A6,Dividende_je_Aktie!A3:AM68,18,FALSE)&lt;&gt;"",IF(VLOOKUP(A6,Ergebnis_je_Aktie_verwässert!A3:AK68,18,FALSE)&lt;&gt;"",IF(VLOOKUP(A6,Ergebnis_je_Aktie_verwässert!A3:AK68,18,FALSE)&lt;=0,9.99999,VLOOKUP(A6,Dividende_je_Aktie!A3:AM68,18,FALSE)/VLOOKUP(A6,Ergebnis_je_Aktie_verwässert!A3:AK68,18,FALSE)),""),"")</f>
        <v>0.37257824143070045</v>
      </c>
      <c r="S6" s="10">
        <f t="shared" si="5"/>
        <v>0.5733455732414704</v>
      </c>
      <c r="T6" s="4">
        <f t="shared" ca="1" si="0"/>
        <v>0</v>
      </c>
      <c r="U6" s="4">
        <f t="shared" ca="1" si="1"/>
        <v>73</v>
      </c>
      <c r="V6" s="4">
        <f t="shared" ca="1" si="2"/>
        <v>287</v>
      </c>
      <c r="W6" s="10">
        <f t="shared" ca="1" si="3"/>
        <v>0.6256366216480721</v>
      </c>
      <c r="X6" s="5">
        <f t="shared" ca="1" si="4"/>
        <v>9.1203369916974752E-2</v>
      </c>
    </row>
    <row r="7" spans="1:24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5">
        <f>IF(VLOOKUP(A7,Dividende_je_Aktie!A3:AM68,6,FALSE)&lt;&gt;"",IF(VLOOKUP(A7,Ergebnis_je_Aktie_verwässert!A3:AK68,6,FALSE)&lt;&gt;"",IF(VLOOKUP(A7,Ergebnis_je_Aktie_verwässert!A3:AK68,6,FALSE)&lt;=0,9.99999,VLOOKUP(A7,Dividende_je_Aktie!A3:AM68,6,FALSE)/VLOOKUP(A7,Ergebnis_je_Aktie_verwässert!A3:AK68,6,FALSE)),""),"")</f>
        <v>0.64907651715039572</v>
      </c>
      <c r="G7" s="5">
        <f>IF(VLOOKUP(A7,Dividende_je_Aktie!A3:AM68,7,FALSE)&lt;&gt;"",IF(VLOOKUP(A7,Ergebnis_je_Aktie_verwässert!A3:AK68,7,FALSE)&lt;&gt;"",IF(VLOOKUP(A7,Ergebnis_je_Aktie_verwässert!A3:AK68,7,FALSE)&lt;=0,9.99999,VLOOKUP(A7,Dividende_je_Aktie!A3:AM68,7,FALSE)/VLOOKUP(A7,Ergebnis_je_Aktie_verwässert!A3:AK68,7,FALSE)),""),"")</f>
        <v>0.64835164835164827</v>
      </c>
      <c r="H7" s="5">
        <f>IF(VLOOKUP(A7,Dividende_je_Aktie!A3:AM68,8,FALSE)&lt;&gt;"",IF(VLOOKUP(A7,Ergebnis_je_Aktie_verwässert!A3:AK68,8,FALSE)&lt;&gt;"",IF(VLOOKUP(A7,Ergebnis_je_Aktie_verwässert!A3:AK68,8,FALSE)&lt;=0,9.99999,VLOOKUP(A7,Dividende_je_Aktie!A3:AM68,8,FALSE)/VLOOKUP(A7,Ergebnis_je_Aktie_verwässert!A3:AK68,8,FALSE)),""),"")</f>
        <v>0.67159763313609466</v>
      </c>
      <c r="I7" s="5">
        <f>IF(VLOOKUP(A7,Dividende_je_Aktie!A3:AM68,9,FALSE)&lt;&gt;"",IF(VLOOKUP(A7,Ergebnis_je_Aktie_verwässert!A3:AK68,9,FALSE)&lt;&gt;"",IF(VLOOKUP(A7,Ergebnis_je_Aktie_verwässert!A3:AK68,9,FALSE)&lt;=0,9.99999,VLOOKUP(A7,Dividende_je_Aktie!A3:AM68,9,FALSE)/VLOOKUP(A7,Ergebnis_je_Aktie_verwässert!A3:AK68,9,FALSE)),""),"")</f>
        <v>0.48672566371681425</v>
      </c>
      <c r="J7" s="5">
        <f>IF(VLOOKUP(A7,Dividende_je_Aktie!A3:AM68,10,FALSE)&lt;&gt;"",IF(VLOOKUP(A7,Ergebnis_je_Aktie_verwässert!A3:AK68,10,FALSE)&lt;&gt;"",IF(VLOOKUP(A7,Ergebnis_je_Aktie_verwässert!A3:AK68,10,FALSE)&lt;=0,9.99999,VLOOKUP(A7,Dividende_je_Aktie!A3:AM68,10,FALSE)/VLOOKUP(A7,Ergebnis_je_Aktie_verwässert!A3:AK68,10,FALSE)),""),"")</f>
        <v>0.68690095846645371</v>
      </c>
      <c r="K7" s="5">
        <f>IF(VLOOKUP(A7,Dividende_je_Aktie!A3:AM68,11,FALSE)&lt;&gt;"",IF(VLOOKUP(A7,Ergebnis_je_Aktie_verwässert!A3:AK68,11,FALSE)&lt;&gt;"",IF(VLOOKUP(A7,Ergebnis_je_Aktie_verwässert!A3:AK68,11,FALSE)&lt;=0,9.99999,VLOOKUP(A7,Dividende_je_Aktie!A3:AM68,11,FALSE)/VLOOKUP(A7,Ergebnis_je_Aktie_verwässert!A3:AK68,11,FALSE)),""),"")</f>
        <v>0.61746987951807231</v>
      </c>
      <c r="L7" s="5">
        <f>IF(VLOOKUP(A7,Dividende_je_Aktie!A3:AM68,12,FALSE)&lt;&gt;"",IF(VLOOKUP(A7,Ergebnis_je_Aktie_verwässert!A3:AK68,12,FALSE)&lt;&gt;"",IF(VLOOKUP(A7,Ergebnis_je_Aktie_verwässert!A3:AK68,12,FALSE)&lt;=0,9.99999,VLOOKUP(A7,Dividende_je_Aktie!A3:AM68,12,FALSE)/VLOOKUP(A7,Ergebnis_je_Aktie_verwässert!A3:AK68,12,FALSE)),""),"")</f>
        <v>0.65878378378378377</v>
      </c>
      <c r="M7" s="5">
        <f>IF(VLOOKUP(A7,Dividende_je_Aktie!A3:AM68,13,FALSE)&lt;&gt;"",IF(VLOOKUP(A7,Ergebnis_je_Aktie_verwässert!A3:AK68,13,FALSE)&lt;&gt;"",IF(VLOOKUP(A7,Ergebnis_je_Aktie_verwässert!A3:AK68,13,FALSE)&lt;=0,9.99999,VLOOKUP(A7,Dividende_je_Aktie!A3:AM68,13,FALSE)/VLOOKUP(A7,Ergebnis_je_Aktie_verwässert!A3:AK68,13,FALSE)),""),"")</f>
        <v>0.86854460093896724</v>
      </c>
      <c r="N7" s="5">
        <f>IF(VLOOKUP(A7,Dividende_je_Aktie!A3:AM68,14,FALSE)&lt;&gt;"",IF(VLOOKUP(A7,Ergebnis_je_Aktie_verwässert!A3:AK68,14,FALSE)&lt;&gt;"",IF(VLOOKUP(A7,Ergebnis_je_Aktie_verwässert!A3:AK68,14,FALSE)&lt;=0,9.99999,VLOOKUP(A7,Dividende_je_Aktie!A3:AM68,14,FALSE)/VLOOKUP(A7,Ergebnis_je_Aktie_verwässert!A3:AK68,14,FALSE)),""),"")</f>
        <v>0.54982817869415812</v>
      </c>
      <c r="O7" s="5">
        <f>IF(VLOOKUP(A7,Dividende_je_Aktie!A3:AM68,15,FALSE)&lt;&gt;"",IF(VLOOKUP(A7,Ergebnis_je_Aktie_verwässert!A3:AK68,15,FALSE)&lt;&gt;"",IF(VLOOKUP(A7,Ergebnis_je_Aktie_verwässert!A3:AK68,15,FALSE)&lt;=0,9.99999,VLOOKUP(A7,Dividende_je_Aktie!A3:AM68,15,FALSE)/VLOOKUP(A7,Ergebnis_je_Aktie_verwässert!A3:AK68,15,FALSE)),""),"")</f>
        <v>0.57377049180327866</v>
      </c>
      <c r="P7" s="5">
        <f>IF(VLOOKUP(A7,Dividende_je_Aktie!A3:AM68,16,FALSE)&lt;&gt;"",IF(VLOOKUP(A7,Ergebnis_je_Aktie_verwässert!A3:AK68,16,FALSE)&lt;&gt;"",IF(VLOOKUP(A7,Ergebnis_je_Aktie_verwässert!A3:AK68,16,FALSE)&lt;=0,9.99999,VLOOKUP(A7,Dividende_je_Aktie!A3:AM68,16,FALSE)/VLOOKUP(A7,Ergebnis_je_Aktie_verwässert!A3:AK68,16,FALSE)),""),"")</f>
        <v>0.4420289855072464</v>
      </c>
      <c r="Q7" s="5">
        <f>IF(VLOOKUP(A7,Dividende_je_Aktie!A3:AM68,17,FALSE)&lt;&gt;"",IF(VLOOKUP(A7,Ergebnis_je_Aktie_verwässert!A3:AK68,17,FALSE)&lt;&gt;"",IF(VLOOKUP(A7,Ergebnis_je_Aktie_verwässert!A3:AK68,17,FALSE)&lt;=0,9.99999,VLOOKUP(A7,Dividende_je_Aktie!A3:AM68,17,FALSE)/VLOOKUP(A7,Ergebnis_je_Aktie_verwässert!A3:AK68,17,FALSE)),""),"")</f>
        <v>0.44067796610169496</v>
      </c>
      <c r="R7" s="5">
        <f>IF(VLOOKUP(A7,Dividende_je_Aktie!A3:AM68,18,FALSE)&lt;&gt;"",IF(VLOOKUP(A7,Ergebnis_je_Aktie_verwässert!A3:AK68,18,FALSE)&lt;&gt;"",IF(VLOOKUP(A7,Ergebnis_je_Aktie_verwässert!A3:AK68,18,FALSE)&lt;=0,9.99999,VLOOKUP(A7,Dividende_je_Aktie!A3:AM68,18,FALSE)/VLOOKUP(A7,Ergebnis_je_Aktie_verwässert!A3:AK68,18,FALSE)),""),"")</f>
        <v>0.44117647058823528</v>
      </c>
      <c r="S7" s="10">
        <f t="shared" si="5"/>
        <v>0.59499482905821865</v>
      </c>
      <c r="T7" s="4">
        <f t="shared" ca="1" si="0"/>
        <v>0</v>
      </c>
      <c r="U7" s="4">
        <f t="shared" ca="1" si="1"/>
        <v>73</v>
      </c>
      <c r="V7" s="4">
        <f t="shared" ca="1" si="2"/>
        <v>287</v>
      </c>
      <c r="W7" s="10">
        <f t="shared" ca="1" si="3"/>
        <v>0.66688386399924859</v>
      </c>
      <c r="X7" s="5">
        <f t="shared" ca="1" si="4"/>
        <v>0.12082295749497307</v>
      </c>
    </row>
    <row r="8" spans="1:24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5">
        <f>IF(VLOOKUP(A8,Dividende_je_Aktie!A3:AM68,6,FALSE)&lt;&gt;"",IF(VLOOKUP(A8,Ergebnis_je_Aktie_verwässert!A3:AK68,6,FALSE)&lt;&gt;"",IF(VLOOKUP(A8,Ergebnis_je_Aktie_verwässert!A3:AK68,6,FALSE)&lt;=0,9.99999,VLOOKUP(A8,Dividende_je_Aktie!A3:AM68,6,FALSE)/VLOOKUP(A8,Ergebnis_je_Aktie_verwässert!A3:AK68,6,FALSE)),""),"")</f>
        <v>0.32569974554707376</v>
      </c>
      <c r="G8" s="5">
        <f>IF(VLOOKUP(A8,Dividende_je_Aktie!A3:AM68,7,FALSE)&lt;&gt;"",IF(VLOOKUP(A8,Ergebnis_je_Aktie_verwässert!A3:AK68,7,FALSE)&lt;&gt;"",IF(VLOOKUP(A8,Ergebnis_je_Aktie_verwässert!A3:AK68,7,FALSE)&lt;=0,9.99999,VLOOKUP(A8,Dividende_je_Aktie!A3:AM68,7,FALSE)/VLOOKUP(A8,Ergebnis_je_Aktie_verwässert!A3:AK68,7,FALSE)),""),"")</f>
        <v>0.29943502824858759</v>
      </c>
      <c r="H8" s="5">
        <f>IF(VLOOKUP(A8,Dividende_je_Aktie!A3:AM68,8,FALSE)&lt;&gt;"",IF(VLOOKUP(A8,Ergebnis_je_Aktie_verwässert!A3:AK68,8,FALSE)&lt;&gt;"",IF(VLOOKUP(A8,Ergebnis_je_Aktie_verwässert!A3:AK68,8,FALSE)&lt;=0,9.99999,VLOOKUP(A8,Dividende_je_Aktie!A3:AM68,8,FALSE)/VLOOKUP(A8,Ergebnis_je_Aktie_verwässert!A3:AK68,8,FALSE)),""),"")</f>
        <v>0.34024896265560162</v>
      </c>
      <c r="I8" s="5">
        <f>IF(VLOOKUP(A8,Dividende_je_Aktie!A3:AM68,9,FALSE)&lt;&gt;"",IF(VLOOKUP(A8,Ergebnis_je_Aktie_verwässert!A3:AK68,9,FALSE)&lt;&gt;"",IF(VLOOKUP(A8,Ergebnis_je_Aktie_verwässert!A3:AK68,9,FALSE)&lt;=0,9.99999,VLOOKUP(A8,Dividende_je_Aktie!A3:AM68,9,FALSE)/VLOOKUP(A8,Ergebnis_je_Aktie_verwässert!A3:AK68,9,FALSE)),""),"")</f>
        <v>0.5725190839694656</v>
      </c>
      <c r="J8" s="5">
        <f>IF(VLOOKUP(A8,Dividende_je_Aktie!A3:AM68,10,FALSE)&lt;&gt;"",IF(VLOOKUP(A8,Ergebnis_je_Aktie_verwässert!A3:AK68,10,FALSE)&lt;&gt;"",IF(VLOOKUP(A8,Ergebnis_je_Aktie_verwässert!A3:AK68,10,FALSE)&lt;=0,9.99999,VLOOKUP(A8,Dividende_je_Aktie!A3:AM68,10,FALSE)/VLOOKUP(A8,Ergebnis_je_Aktie_verwässert!A3:AK68,10,FALSE)),""),"")</f>
        <v>1.1538461538461537</v>
      </c>
      <c r="K8" s="5">
        <f>IF(VLOOKUP(A8,Dividende_je_Aktie!A3:AM68,11,FALSE)&lt;&gt;"",IF(VLOOKUP(A8,Ergebnis_je_Aktie_verwässert!A3:AK68,11,FALSE)&lt;&gt;"",IF(VLOOKUP(A8,Ergebnis_je_Aktie_verwässert!A3:AK68,11,FALSE)&lt;=0,9.99999,VLOOKUP(A8,Dividende_je_Aktie!A3:AM68,11,FALSE)/VLOOKUP(A8,Ergebnis_je_Aktie_verwässert!A3:AK68,11,FALSE)),""),"")</f>
        <v>3</v>
      </c>
      <c r="L8" s="5">
        <f>IF(VLOOKUP(A8,Dividende_je_Aktie!A3:AM68,12,FALSE)&lt;&gt;"",IF(VLOOKUP(A8,Ergebnis_je_Aktie_verwässert!A3:AK68,12,FALSE)&lt;&gt;"",IF(VLOOKUP(A8,Ergebnis_je_Aktie_verwässert!A3:AK68,12,FALSE)&lt;=0,9.99999,VLOOKUP(A8,Dividende_je_Aktie!A3:AM68,12,FALSE)/VLOOKUP(A8,Ergebnis_je_Aktie_verwässert!A3:AK68,12,FALSE)),""),"")</f>
        <v>0.1744186046511628</v>
      </c>
      <c r="M8" s="5">
        <f>IF(VLOOKUP(A8,Dividende_je_Aktie!A3:AM68,13,FALSE)&lt;&gt;"",IF(VLOOKUP(A8,Ergebnis_je_Aktie_verwässert!A3:AK68,13,FALSE)&lt;&gt;"",IF(VLOOKUP(A8,Ergebnis_je_Aktie_verwässert!A3:AK68,13,FALSE)&lt;=0,9.99999,VLOOKUP(A8,Dividende_je_Aktie!A3:AM68,13,FALSE)/VLOOKUP(A8,Ergebnis_je_Aktie_verwässert!A3:AK68,13,FALSE)),""),"")</f>
        <v>0.25684931506849318</v>
      </c>
      <c r="N8" s="5">
        <f>IF(VLOOKUP(A8,Dividende_je_Aktie!A3:AM68,14,FALSE)&lt;&gt;"",IF(VLOOKUP(A8,Ergebnis_je_Aktie_verwässert!A3:AK68,14,FALSE)&lt;&gt;"",IF(VLOOKUP(A8,Ergebnis_je_Aktie_verwässert!A3:AK68,14,FALSE)&lt;=0,9.99999,VLOOKUP(A8,Dividende_je_Aktie!A3:AM68,14,FALSE)/VLOOKUP(A8,Ergebnis_je_Aktie_verwässert!A3:AK68,14,FALSE)),""),"")</f>
        <v>0.10806916426512968</v>
      </c>
      <c r="O8" s="5">
        <f>IF(VLOOKUP(A8,Dividende_je_Aktie!A3:AM68,15,FALSE)&lt;&gt;"",IF(VLOOKUP(A8,Ergebnis_je_Aktie_verwässert!A3:AK68,15,FALSE)&lt;&gt;"",IF(VLOOKUP(A8,Ergebnis_je_Aktie_verwässert!A3:AK68,15,FALSE)&lt;=0,9.99999,VLOOKUP(A8,Dividende_je_Aktie!A3:AM68,15,FALSE)/VLOOKUP(A8,Ergebnis_je_Aktie_verwässert!A3:AK68,15,FALSE)),""),"")</f>
        <v>9.9999900000000004</v>
      </c>
      <c r="P8" s="5">
        <f>IF(VLOOKUP(A8,Dividende_je_Aktie!A3:AM68,16,FALSE)&lt;&gt;"",IF(VLOOKUP(A8,Ergebnis_je_Aktie_verwässert!A3:AK68,16,FALSE)&lt;&gt;"",IF(VLOOKUP(A8,Ergebnis_je_Aktie_verwässert!A3:AK68,16,FALSE)&lt;=0,9.99999,VLOOKUP(A8,Dividende_je_Aktie!A3:AM68,16,FALSE)/VLOOKUP(A8,Ergebnis_je_Aktie_verwässert!A3:AK68,16,FALSE)),""),"")</f>
        <v>0.34482758620689652</v>
      </c>
      <c r="Q8" s="5">
        <f>IF(VLOOKUP(A8,Dividende_je_Aktie!A3:AM68,17,FALSE)&lt;&gt;"",IF(VLOOKUP(A8,Ergebnis_je_Aktie_verwässert!A3:AK68,17,FALSE)&lt;&gt;"",IF(VLOOKUP(A8,Ergebnis_je_Aktie_verwässert!A3:AK68,17,FALSE)&lt;=0,9.99999,VLOOKUP(A8,Dividende_je_Aktie!A3:AM68,17,FALSE)/VLOOKUP(A8,Ergebnis_je_Aktie_verwässert!A3:AK68,17,FALSE)),""),"")</f>
        <v>0.34632034632034631</v>
      </c>
      <c r="R8" s="5">
        <f>IF(VLOOKUP(A8,Dividende_je_Aktie!A3:AM68,18,FALSE)&lt;&gt;"",IF(VLOOKUP(A8,Ergebnis_je_Aktie_verwässert!A3:AK68,18,FALSE)&lt;&gt;"",IF(VLOOKUP(A8,Ergebnis_je_Aktie_verwässert!A3:AK68,18,FALSE)&lt;=0,9.99999,VLOOKUP(A8,Dividende_je_Aktie!A3:AM68,18,FALSE)/VLOOKUP(A8,Ergebnis_je_Aktie_verwässert!A3:AK68,18,FALSE)),""),"")</f>
        <v>0.35971223021582732</v>
      </c>
      <c r="S8" s="10">
        <f t="shared" si="5"/>
        <v>1.3293797093072877</v>
      </c>
      <c r="T8" s="4">
        <f t="shared" ca="1" si="0"/>
        <v>0</v>
      </c>
      <c r="U8" s="4">
        <f t="shared" ca="1" si="1"/>
        <v>73</v>
      </c>
      <c r="V8" s="4">
        <f t="shared" ca="1" si="2"/>
        <v>287</v>
      </c>
      <c r="W8" s="10">
        <f t="shared" ca="1" si="3"/>
        <v>0.33197280373417937</v>
      </c>
      <c r="X8" s="5">
        <f t="shared" ca="1" si="4"/>
        <v>-0.75027992272639432</v>
      </c>
    </row>
    <row r="9" spans="1:24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5">
        <f>IF(VLOOKUP(A9,Dividende_je_Aktie!A3:AM68,6,FALSE)&lt;&gt;"",IF(VLOOKUP(A9,Ergebnis_je_Aktie_verwässert!A3:AK68,6,FALSE)&lt;&gt;"",IF(VLOOKUP(A9,Ergebnis_je_Aktie_verwässert!A3:AK68,6,FALSE)&lt;=0,9.99999,VLOOKUP(A9,Dividende_je_Aktie!A3:AM68,6,FALSE)/VLOOKUP(A9,Ergebnis_je_Aktie_verwässert!A3:AK68,6,FALSE)),""),"")</f>
        <v>0.25454545454545457</v>
      </c>
      <c r="G9" s="5">
        <f>IF(VLOOKUP(A9,Dividende_je_Aktie!A3:AM68,7,FALSE)&lt;&gt;"",IF(VLOOKUP(A9,Ergebnis_je_Aktie_verwässert!A3:AK68,7,FALSE)&lt;&gt;"",IF(VLOOKUP(A9,Ergebnis_je_Aktie_verwässert!A3:AK68,7,FALSE)&lt;=0,9.99999,VLOOKUP(A9,Dividende_je_Aktie!A3:AM68,7,FALSE)/VLOOKUP(A9,Ergebnis_je_Aktie_verwässert!A3:AK68,7,FALSE)),""),"")</f>
        <v>0.27</v>
      </c>
      <c r="H9" s="5">
        <f>IF(VLOOKUP(A9,Dividende_je_Aktie!A3:AM68,8,FALSE)&lt;&gt;"",IF(VLOOKUP(A9,Ergebnis_je_Aktie_verwässert!A3:AK68,8,FALSE)&lt;&gt;"",IF(VLOOKUP(A9,Ergebnis_je_Aktie_verwässert!A3:AK68,8,FALSE)&lt;=0,9.99999,VLOOKUP(A9,Dividende_je_Aktie!A3:AM68,8,FALSE)/VLOOKUP(A9,Ergebnis_je_Aktie_verwässert!A3:AK68,8,FALSE)),""),"")</f>
        <v>0.27536231884057971</v>
      </c>
      <c r="I9" s="5">
        <f>IF(VLOOKUP(A9,Dividende_je_Aktie!A3:AM68,9,FALSE)&lt;&gt;"",IF(VLOOKUP(A9,Ergebnis_je_Aktie_verwässert!A3:AK68,9,FALSE)&lt;&gt;"",IF(VLOOKUP(A9,Ergebnis_je_Aktie_verwässert!A3:AK68,9,FALSE)&lt;=0,9.99999,VLOOKUP(A9,Dividende_je_Aktie!A3:AM68,9,FALSE)/VLOOKUP(A9,Ergebnis_je_Aktie_verwässert!A3:AK68,9,FALSE)),""),"")</f>
        <v>0.30303030303030298</v>
      </c>
      <c r="J9" s="5">
        <f>IF(VLOOKUP(A9,Dividende_je_Aktie!A3:AM68,10,FALSE)&lt;&gt;"",IF(VLOOKUP(A9,Ergebnis_je_Aktie_verwässert!A3:AK68,10,FALSE)&lt;&gt;"",IF(VLOOKUP(A9,Ergebnis_je_Aktie_verwässert!A3:AK68,10,FALSE)&lt;=0,9.99999,VLOOKUP(A9,Dividende_je_Aktie!A3:AM68,10,FALSE)/VLOOKUP(A9,Ergebnis_je_Aktie_verwässert!A3:AK68,10,FALSE)),""),"")</f>
        <v>0.30042918454935619</v>
      </c>
      <c r="K9" s="5">
        <f>IF(VLOOKUP(A9,Dividende_je_Aktie!A3:AM68,11,FALSE)&lt;&gt;"",IF(VLOOKUP(A9,Ergebnis_je_Aktie_verwässert!A3:AK68,11,FALSE)&lt;&gt;"",IF(VLOOKUP(A9,Ergebnis_je_Aktie_verwässert!A3:AK68,11,FALSE)&lt;=0,9.99999,VLOOKUP(A9,Dividende_je_Aktie!A3:AM68,11,FALSE)/VLOOKUP(A9,Ergebnis_je_Aktie_verwässert!A3:AK68,11,FALSE)),""),"")</f>
        <v>0.33653846153846151</v>
      </c>
      <c r="L9" s="5">
        <f>IF(VLOOKUP(A9,Dividende_je_Aktie!A3:AM68,12,FALSE)&lt;&gt;"",IF(VLOOKUP(A9,Ergebnis_je_Aktie_verwässert!A3:AK68,12,FALSE)&lt;&gt;"",IF(VLOOKUP(A9,Ergebnis_je_Aktie_verwässert!A3:AK68,12,FALSE)&lt;=0,9.99999,VLOOKUP(A9,Dividende_je_Aktie!A3:AM68,12,FALSE)/VLOOKUP(A9,Ergebnis_je_Aktie_verwässert!A3:AK68,12,FALSE)),""),"")</f>
        <v>0.37433155080213898</v>
      </c>
      <c r="M9" s="5">
        <f>IF(VLOOKUP(A9,Dividende_je_Aktie!A3:AM68,13,FALSE)&lt;&gt;"",IF(VLOOKUP(A9,Ergebnis_je_Aktie_verwässert!A3:AK68,13,FALSE)&lt;&gt;"",IF(VLOOKUP(A9,Ergebnis_je_Aktie_verwässert!A3:AK68,13,FALSE)&lt;=0,9.99999,VLOOKUP(A9,Dividende_je_Aktie!A3:AM68,13,FALSE)/VLOOKUP(A9,Ergebnis_je_Aktie_verwässert!A3:AK68,13,FALSE)),""),"")</f>
        <v>0.38043478260869562</v>
      </c>
      <c r="N9" s="5">
        <f>IF(VLOOKUP(A9,Dividende_je_Aktie!A3:AM68,14,FALSE)&lt;&gt;"",IF(VLOOKUP(A9,Ergebnis_je_Aktie_verwässert!A3:AK68,14,FALSE)&lt;&gt;"",IF(VLOOKUP(A9,Ergebnis_je_Aktie_verwässert!A3:AK68,14,FALSE)&lt;=0,9.99999,VLOOKUP(A9,Dividende_je_Aktie!A3:AM68,14,FALSE)/VLOOKUP(A9,Ergebnis_je_Aktie_verwässert!A3:AK68,14,FALSE)),""),"")</f>
        <v>0.42424242424242425</v>
      </c>
      <c r="O9" s="5">
        <f>IF(VLOOKUP(A9,Dividende_je_Aktie!A3:AM68,15,FALSE)&lt;&gt;"",IF(VLOOKUP(A9,Ergebnis_je_Aktie_verwässert!A3:AK68,15,FALSE)&lt;&gt;"",IF(VLOOKUP(A9,Ergebnis_je_Aktie_verwässert!A3:AK68,15,FALSE)&lt;=0,9.99999,VLOOKUP(A9,Dividende_je_Aktie!A3:AM68,15,FALSE)/VLOOKUP(A9,Ergebnis_je_Aktie_verwässert!A3:AK68,15,FALSE)),""),"")</f>
        <v>0.41095890410958907</v>
      </c>
      <c r="P9" s="5">
        <f>IF(VLOOKUP(A9,Dividende_je_Aktie!A3:AM68,16,FALSE)&lt;&gt;"",IF(VLOOKUP(A9,Ergebnis_je_Aktie_verwässert!A3:AK68,16,FALSE)&lt;&gt;"",IF(VLOOKUP(A9,Ergebnis_je_Aktie_verwässert!A3:AK68,16,FALSE)&lt;=0,9.99999,VLOOKUP(A9,Dividende_je_Aktie!A3:AM68,16,FALSE)/VLOOKUP(A9,Ergebnis_je_Aktie_verwässert!A3:AK68,16,FALSE)),""),"")</f>
        <v>0.330188679245283</v>
      </c>
      <c r="Q9" s="5">
        <f>IF(VLOOKUP(A9,Dividende_je_Aktie!A3:AM68,17,FALSE)&lt;&gt;"",IF(VLOOKUP(A9,Ergebnis_je_Aktie_verwässert!A3:AK68,17,FALSE)&lt;&gt;"",IF(VLOOKUP(A9,Ergebnis_je_Aktie_verwässert!A3:AK68,17,FALSE)&lt;=0,9.99999,VLOOKUP(A9,Dividende_je_Aktie!A3:AM68,17,FALSE)/VLOOKUP(A9,Ergebnis_je_Aktie_verwässert!A3:AK68,17,FALSE)),""),"")</f>
        <v>0.35502958579881655</v>
      </c>
      <c r="R9" s="5">
        <f>IF(VLOOKUP(A9,Dividende_je_Aktie!A3:AM68,18,FALSE)&lt;&gt;"",IF(VLOOKUP(A9,Ergebnis_je_Aktie_verwässert!A3:AK68,18,FALSE)&lt;&gt;"",IF(VLOOKUP(A9,Ergebnis_je_Aktie_verwässert!A3:AK68,18,FALSE)&lt;=0,9.99999,VLOOKUP(A9,Dividende_je_Aktie!A3:AM68,18,FALSE)/VLOOKUP(A9,Ergebnis_je_Aktie_verwässert!A3:AK68,18,FALSE)),""),"")</f>
        <v>0.39310344827586202</v>
      </c>
      <c r="S9" s="10">
        <f t="shared" si="5"/>
        <v>0.33909193058361259</v>
      </c>
      <c r="T9" s="4">
        <f t="shared" ca="1" si="0"/>
        <v>0</v>
      </c>
      <c r="U9" s="4">
        <f t="shared" ca="1" si="1"/>
        <v>73</v>
      </c>
      <c r="V9" s="4">
        <f t="shared" ca="1" si="2"/>
        <v>287</v>
      </c>
      <c r="W9" s="10">
        <f t="shared" ca="1" si="3"/>
        <v>0.27427495974235105</v>
      </c>
      <c r="X9" s="5">
        <f t="shared" ca="1" si="4"/>
        <v>-0.19114866794295216</v>
      </c>
    </row>
    <row r="10" spans="1:24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5">
        <f>IF(VLOOKUP(A10,Dividende_je_Aktie!A3:AM68,6,FALSE)&lt;&gt;"",IF(VLOOKUP(A10,Ergebnis_je_Aktie_verwässert!A3:AK68,6,FALSE)&lt;&gt;"",IF(VLOOKUP(A10,Ergebnis_je_Aktie_verwässert!A3:AK68,6,FALSE)&lt;=0,9.99999,VLOOKUP(A10,Dividende_je_Aktie!A3:AM68,6,FALSE)/VLOOKUP(A10,Ergebnis_je_Aktie_verwässert!A3:AK68,6,FALSE)),""),"")</f>
        <v>0.49769585253456228</v>
      </c>
      <c r="G10" s="5">
        <f>IF(VLOOKUP(A10,Dividende_je_Aktie!A3:AM68,7,FALSE)&lt;&gt;"",IF(VLOOKUP(A10,Ergebnis_je_Aktie_verwässert!A3:AK68,7,FALSE)&lt;&gt;"",IF(VLOOKUP(A10,Ergebnis_je_Aktie_verwässert!A3:AK68,7,FALSE)&lt;=0,9.99999,VLOOKUP(A10,Dividende_je_Aktie!A3:AM68,7,FALSE)/VLOOKUP(A10,Ergebnis_je_Aktie_verwässert!A3:AK68,7,FALSE)),""),"")</f>
        <v>0.51707317073170744</v>
      </c>
      <c r="H10" s="5">
        <f>IF(VLOOKUP(A10,Dividende_je_Aktie!A3:AM68,8,FALSE)&lt;&gt;"",IF(VLOOKUP(A10,Ergebnis_je_Aktie_verwässert!A3:AK68,8,FALSE)&lt;&gt;"",IF(VLOOKUP(A10,Ergebnis_je_Aktie_verwässert!A3:AK68,8,FALSE)&lt;=0,9.99999,VLOOKUP(A10,Dividende_je_Aktie!A3:AM68,8,FALSE)/VLOOKUP(A10,Ergebnis_je_Aktie_verwässert!A3:AK68,8,FALSE)),""),"")</f>
        <v>0.5219780219780219</v>
      </c>
      <c r="I10" s="5">
        <f>IF(VLOOKUP(A10,Dividende_je_Aktie!A3:AM68,9,FALSE)&lt;&gt;"",IF(VLOOKUP(A10,Ergebnis_je_Aktie_verwässert!A3:AK68,9,FALSE)&lt;&gt;"",IF(VLOOKUP(A10,Ergebnis_je_Aktie_verwässert!A3:AK68,9,FALSE)&lt;=0,9.99999,VLOOKUP(A10,Dividende_je_Aktie!A3:AM68,9,FALSE)/VLOOKUP(A10,Ergebnis_je_Aktie_verwässert!A3:AK68,9,FALSE)),""),"")</f>
        <v>0.51829268292682928</v>
      </c>
      <c r="J10" s="5">
        <f>IF(VLOOKUP(A10,Dividende_je_Aktie!A3:AM68,10,FALSE)&lt;&gt;"",IF(VLOOKUP(A10,Ergebnis_je_Aktie_verwässert!A3:AK68,10,FALSE)&lt;&gt;"",IF(VLOOKUP(A10,Ergebnis_je_Aktie_verwässert!A3:AK68,10,FALSE)&lt;=0,9.99999,VLOOKUP(A10,Dividende_je_Aktie!A3:AM68,10,FALSE)/VLOOKUP(A10,Ergebnis_je_Aktie_verwässert!A3:AK68,10,FALSE)),""),"")</f>
        <v>0.48192771084337355</v>
      </c>
      <c r="K10" s="5">
        <f>IF(VLOOKUP(A10,Dividende_je_Aktie!A3:AM68,11,FALSE)&lt;&gt;"",IF(VLOOKUP(A10,Ergebnis_je_Aktie_verwässert!A3:AK68,11,FALSE)&lt;&gt;"",IF(VLOOKUP(A10,Ergebnis_je_Aktie_verwässert!A3:AK68,11,FALSE)&lt;=0,9.99999,VLOOKUP(A10,Dividende_je_Aktie!A3:AM68,11,FALSE)/VLOOKUP(A10,Ergebnis_je_Aktie_verwässert!A3:AK68,11,FALSE)),""),"")</f>
        <v>0.53030303030303028</v>
      </c>
      <c r="L10" s="5">
        <f>IF(VLOOKUP(A10,Dividende_je_Aktie!A3:AM68,12,FALSE)&lt;&gt;"",IF(VLOOKUP(A10,Ergebnis_je_Aktie_verwässert!A3:AK68,12,FALSE)&lt;&gt;"",IF(VLOOKUP(A10,Ergebnis_je_Aktie_verwässert!A3:AK68,12,FALSE)&lt;=0,9.99999,VLOOKUP(A10,Dividende_je_Aktie!A3:AM68,12,FALSE)/VLOOKUP(A10,Ergebnis_je_Aktie_verwässert!A3:AK68,12,FALSE)),""),"")</f>
        <v>0.72916666666666663</v>
      </c>
      <c r="M10" s="5">
        <f>IF(VLOOKUP(A10,Dividende_je_Aktie!A3:AM68,13,FALSE)&lt;&gt;"",IF(VLOOKUP(A10,Ergebnis_je_Aktie_verwässert!A3:AK68,13,FALSE)&lt;&gt;"",IF(VLOOKUP(A10,Ergebnis_je_Aktie_verwässert!A3:AK68,13,FALSE)&lt;=0,9.99999,VLOOKUP(A10,Dividende_je_Aktie!A3:AM68,13,FALSE)/VLOOKUP(A10,Ergebnis_je_Aktie_verwässert!A3:AK68,13,FALSE)),""),"")</f>
        <v>0.30952380952380953</v>
      </c>
      <c r="N10" s="5">
        <f>IF(VLOOKUP(A10,Dividende_je_Aktie!A3:AM68,14,FALSE)&lt;&gt;"",IF(VLOOKUP(A10,Ergebnis_je_Aktie_verwässert!A3:AK68,14,FALSE)&lt;&gt;"",IF(VLOOKUP(A10,Ergebnis_je_Aktie_verwässert!A3:AK68,14,FALSE)&lt;=0,9.99999,VLOOKUP(A10,Dividende_je_Aktie!A3:AM68,14,FALSE)/VLOOKUP(A10,Ergebnis_je_Aktie_verwässert!A3:AK68,14,FALSE)),""),"")</f>
        <v>1.1320754716981132</v>
      </c>
      <c r="O10" s="5">
        <f>IF(VLOOKUP(A10,Dividende_je_Aktie!A3:AM68,15,FALSE)&lt;&gt;"",IF(VLOOKUP(A10,Ergebnis_je_Aktie_verwässert!A3:AK68,15,FALSE)&lt;&gt;"",IF(VLOOKUP(A10,Ergebnis_je_Aktie_verwässert!A3:AK68,15,FALSE)&lt;=0,9.99999,VLOOKUP(A10,Dividende_je_Aktie!A3:AM68,15,FALSE)/VLOOKUP(A10,Ergebnis_je_Aktie_verwässert!A3:AK68,15,FALSE)),""),"")</f>
        <v>9.9999900000000004</v>
      </c>
      <c r="P10" s="5">
        <f>IF(VLOOKUP(A10,Dividende_je_Aktie!A3:AM68,16,FALSE)&lt;&gt;"",IF(VLOOKUP(A10,Ergebnis_je_Aktie_verwässert!A3:AK68,16,FALSE)&lt;&gt;"",IF(VLOOKUP(A10,Ergebnis_je_Aktie_verwässert!A3:AK68,16,FALSE)&lt;=0,9.99999,VLOOKUP(A10,Dividende_je_Aktie!A3:AM68,16,FALSE)/VLOOKUP(A10,Ergebnis_je_Aktie_verwässert!A3:AK68,16,FALSE)),""),"")</f>
        <v>0.78260869565217395</v>
      </c>
      <c r="Q10" s="5">
        <f>IF(VLOOKUP(A10,Dividende_je_Aktie!A3:AM68,17,FALSE)&lt;&gt;"",IF(VLOOKUP(A10,Ergebnis_je_Aktie_verwässert!A3:AK68,17,FALSE)&lt;&gt;"",IF(VLOOKUP(A10,Ergebnis_je_Aktie_verwässert!A3:AK68,17,FALSE)&lt;=0,9.99999,VLOOKUP(A10,Dividende_je_Aktie!A3:AM68,17,FALSE)/VLOOKUP(A10,Ergebnis_je_Aktie_verwässert!A3:AK68,17,FALSE)),""),"")</f>
        <v>0.46875</v>
      </c>
      <c r="R10" s="5">
        <f>IF(VLOOKUP(A10,Dividende_je_Aktie!A3:AM68,18,FALSE)&lt;&gt;"",IF(VLOOKUP(A10,Ergebnis_je_Aktie_verwässert!A3:AK68,18,FALSE)&lt;&gt;"",IF(VLOOKUP(A10,Ergebnis_je_Aktie_verwässert!A3:AK68,18,FALSE)&lt;=0,9.99999,VLOOKUP(A10,Dividende_je_Aktie!A3:AM68,18,FALSE)/VLOOKUP(A10,Ergebnis_je_Aktie_verwässert!A3:AK68,18,FALSE)),""),"")</f>
        <v>0.35175879396984921</v>
      </c>
      <c r="S10" s="10">
        <f t="shared" si="5"/>
        <v>1.2954726082175492</v>
      </c>
      <c r="T10" s="4">
        <f t="shared" ca="1" si="0"/>
        <v>0</v>
      </c>
      <c r="U10" s="4">
        <f t="shared" ca="1" si="1"/>
        <v>73</v>
      </c>
      <c r="V10" s="4">
        <f t="shared" ca="1" si="2"/>
        <v>287</v>
      </c>
      <c r="W10" s="10">
        <f t="shared" ca="1" si="3"/>
        <v>0.52098342714196377</v>
      </c>
      <c r="X10" s="5">
        <f t="shared" ca="1" si="4"/>
        <v>-0.59784296183707897</v>
      </c>
    </row>
    <row r="11" spans="1:24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5">
        <f>IF(VLOOKUP(A11,Dividende_je_Aktie!A3:AM68,6,FALSE)&lt;&gt;"",IF(VLOOKUP(A11,Ergebnis_je_Aktie_verwässert!A3:AK68,6,FALSE)&lt;&gt;"",IF(VLOOKUP(A11,Ergebnis_je_Aktie_verwässert!A3:AK68,6,FALSE)&lt;=0,9.99999,VLOOKUP(A11,Dividende_je_Aktie!A3:AM68,6,FALSE)/VLOOKUP(A11,Ergebnis_je_Aktie_verwässert!A3:AK68,6,FALSE)),""),"")</f>
        <v>0.64893617021276595</v>
      </c>
      <c r="G11" s="5">
        <f>IF(VLOOKUP(A11,Dividende_je_Aktie!A3:AM68,7,FALSE)&lt;&gt;"",IF(VLOOKUP(A11,Ergebnis_je_Aktie_verwässert!A3:AK68,7,FALSE)&lt;&gt;"",IF(VLOOKUP(A11,Ergebnis_je_Aktie_verwässert!A3:AK68,7,FALSE)&lt;=0,9.99999,VLOOKUP(A11,Dividende_je_Aktie!A3:AM68,7,FALSE)/VLOOKUP(A11,Ergebnis_je_Aktie_verwässert!A3:AK68,7,FALSE)),""),"")</f>
        <v>0.78378378378378377</v>
      </c>
      <c r="H11" s="5">
        <f>IF(VLOOKUP(A11,Dividende_je_Aktie!A3:AM68,8,FALSE)&lt;&gt;"",IF(VLOOKUP(A11,Ergebnis_je_Aktie_verwässert!A3:AK68,8,FALSE)&lt;&gt;"",IF(VLOOKUP(A11,Ergebnis_je_Aktie_verwässert!A3:AK68,8,FALSE)&lt;=0,9.99999,VLOOKUP(A11,Dividende_je_Aktie!A3:AM68,8,FALSE)/VLOOKUP(A11,Ergebnis_je_Aktie_verwässert!A3:AK68,8,FALSE)),""),"")</f>
        <v>0.84126984126984128</v>
      </c>
      <c r="I11" s="5">
        <f>IF(VLOOKUP(A11,Dividende_je_Aktie!A3:AM68,9,FALSE)&lt;&gt;"",IF(VLOOKUP(A11,Ergebnis_je_Aktie_verwässert!A3:AK68,9,FALSE)&lt;&gt;"",IF(VLOOKUP(A11,Ergebnis_je_Aktie_verwässert!A3:AK68,9,FALSE)&lt;=0,9.99999,VLOOKUP(A11,Dividende_je_Aktie!A3:AM68,9,FALSE)/VLOOKUP(A11,Ergebnis_je_Aktie_verwässert!A3:AK68,9,FALSE)),""),"")</f>
        <v>0.94339622641509424</v>
      </c>
      <c r="J11" s="5">
        <f>IF(VLOOKUP(A11,Dividende_je_Aktie!A3:AM68,10,FALSE)&lt;&gt;"",IF(VLOOKUP(A11,Ergebnis_je_Aktie_verwässert!A3:AK68,10,FALSE)&lt;&gt;"",IF(VLOOKUP(A11,Ergebnis_je_Aktie_verwässert!A3:AK68,10,FALSE)&lt;=0,9.99999,VLOOKUP(A11,Dividende_je_Aktie!A3:AM68,10,FALSE)/VLOOKUP(A11,Ergebnis_je_Aktie_verwässert!A3:AK68,10,FALSE)),""),"")</f>
        <v>0.79365079365079361</v>
      </c>
      <c r="K11" s="5">
        <f>IF(VLOOKUP(A11,Dividende_je_Aktie!A3:AM68,11,FALSE)&lt;&gt;"",IF(VLOOKUP(A11,Ergebnis_je_Aktie_verwässert!A3:AK68,11,FALSE)&lt;&gt;"",IF(VLOOKUP(A11,Ergebnis_je_Aktie_verwässert!A3:AK68,11,FALSE)&lt;=0,9.99999,VLOOKUP(A11,Dividende_je_Aktie!A3:AM68,11,FALSE)/VLOOKUP(A11,Ergebnis_je_Aktie_verwässert!A3:AK68,11,FALSE)),""),"")</f>
        <v>1.2068965517241379</v>
      </c>
      <c r="L11" s="5">
        <f>IF(VLOOKUP(A11,Dividende_je_Aktie!A3:AM68,12,FALSE)&lt;&gt;"",IF(VLOOKUP(A11,Ergebnis_je_Aktie_verwässert!A3:AK68,12,FALSE)&lt;&gt;"",IF(VLOOKUP(A11,Ergebnis_je_Aktie_verwässert!A3:AK68,12,FALSE)&lt;=0,9.99999,VLOOKUP(A11,Dividende_je_Aktie!A3:AM68,12,FALSE)/VLOOKUP(A11,Ergebnis_je_Aktie_verwässert!A3:AK68,12,FALSE)),""),"")</f>
        <v>1.044776119402985</v>
      </c>
      <c r="M11" s="5">
        <f>IF(VLOOKUP(A11,Dividende_je_Aktie!A3:AM68,13,FALSE)&lt;&gt;"",IF(VLOOKUP(A11,Ergebnis_je_Aktie_verwässert!A3:AK68,13,FALSE)&lt;&gt;"",IF(VLOOKUP(A11,Ergebnis_je_Aktie_verwässert!A3:AK68,13,FALSE)&lt;=0,9.99999,VLOOKUP(A11,Dividende_je_Aktie!A3:AM68,13,FALSE)/VLOOKUP(A11,Ergebnis_je_Aktie_verwässert!A3:AK68,13,FALSE)),""),"")</f>
        <v>0.88607594936708856</v>
      </c>
      <c r="N11" s="5">
        <f>IF(VLOOKUP(A11,Dividende_je_Aktie!A3:AM68,14,FALSE)&lt;&gt;"",IF(VLOOKUP(A11,Ergebnis_je_Aktie_verwässert!A3:AK68,14,FALSE)&lt;&gt;"",IF(VLOOKUP(A11,Ergebnis_je_Aktie_verwässert!A3:AK68,14,FALSE)&lt;=0,9.99999,VLOOKUP(A11,Dividende_je_Aktie!A3:AM68,14,FALSE)/VLOOKUP(A11,Ergebnis_je_Aktie_verwässert!A3:AK68,14,FALSE)),""),"")</f>
        <v>1</v>
      </c>
      <c r="O11" s="5">
        <f>IF(VLOOKUP(A11,Dividende_je_Aktie!A3:AM68,15,FALSE)&lt;&gt;"",IF(VLOOKUP(A11,Ergebnis_je_Aktie_verwässert!A3:AK68,15,FALSE)&lt;&gt;"",IF(VLOOKUP(A11,Ergebnis_je_Aktie_verwässert!A3:AK68,15,FALSE)&lt;=0,9.99999,VLOOKUP(A11,Dividende_je_Aktie!A3:AM68,15,FALSE)/VLOOKUP(A11,Ergebnis_je_Aktie_verwässert!A3:AK68,15,FALSE)),""),"")</f>
        <v>1</v>
      </c>
      <c r="P11" s="5">
        <f>IF(VLOOKUP(A11,Dividende_je_Aktie!A3:AM68,16,FALSE)&lt;&gt;"",IF(VLOOKUP(A11,Ergebnis_je_Aktie_verwässert!A3:AK68,16,FALSE)&lt;&gt;"",IF(VLOOKUP(A11,Ergebnis_je_Aktie_verwässert!A3:AK68,16,FALSE)&lt;=0,9.99999,VLOOKUP(A11,Dividende_je_Aktie!A3:AM68,16,FALSE)/VLOOKUP(A11,Ergebnis_je_Aktie_verwässert!A3:AK68,16,FALSE)),""),"")</f>
        <v>1.1304347826086958</v>
      </c>
      <c r="Q11" s="5">
        <f>IF(VLOOKUP(A11,Dividende_je_Aktie!A3:AM68,17,FALSE)&lt;&gt;"",IF(VLOOKUP(A11,Ergebnis_je_Aktie_verwässert!A3:AK68,17,FALSE)&lt;&gt;"",IF(VLOOKUP(A11,Ergebnis_je_Aktie_verwässert!A3:AK68,17,FALSE)&lt;=0,9.99999,VLOOKUP(A11,Dividende_je_Aktie!A3:AM68,17,FALSE)/VLOOKUP(A11,Ergebnis_je_Aktie_verwässert!A3:AK68,17,FALSE)),""),"")</f>
        <v>0.79999999999999993</v>
      </c>
      <c r="R11" s="5">
        <f>IF(VLOOKUP(A11,Dividende_je_Aktie!A3:AM68,18,FALSE)&lt;&gt;"",IF(VLOOKUP(A11,Ergebnis_je_Aktie_verwässert!A3:AK68,18,FALSE)&lt;&gt;"",IF(VLOOKUP(A11,Ergebnis_je_Aktie_verwässert!A3:AK68,18,FALSE)&lt;=0,9.99999,VLOOKUP(A11,Dividende_je_Aktie!A3:AM68,18,FALSE)/VLOOKUP(A11,Ergebnis_je_Aktie_verwässert!A3:AK68,18,FALSE)),""),"")</f>
        <v>0.66666666666666663</v>
      </c>
      <c r="S11" s="10">
        <f t="shared" si="5"/>
        <v>0.90352976039245014</v>
      </c>
      <c r="T11" s="4">
        <f t="shared" ca="1" si="0"/>
        <v>0</v>
      </c>
      <c r="U11" s="4">
        <f t="shared" ca="1" si="1"/>
        <v>73</v>
      </c>
      <c r="V11" s="4">
        <f t="shared" ca="1" si="2"/>
        <v>287</v>
      </c>
      <c r="W11" s="10">
        <f t="shared" ca="1" si="3"/>
        <v>0.82961294627961302</v>
      </c>
      <c r="X11" s="5">
        <f t="shared" ca="1" si="4"/>
        <v>-8.1808942386946026E-2</v>
      </c>
    </row>
    <row r="12" spans="1:24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5">
        <f>IF(VLOOKUP(A12,Dividende_je_Aktie!A3:AM68,6,FALSE)&lt;&gt;"",IF(VLOOKUP(A12,Ergebnis_je_Aktie_verwässert!A3:AK68,6,FALSE)&lt;&gt;"",IF(VLOOKUP(A12,Ergebnis_je_Aktie_verwässert!A3:AK68,6,FALSE)&lt;=0,9.99999,VLOOKUP(A12,Dividende_je_Aktie!A3:AM68,6,FALSE)/VLOOKUP(A12,Ergebnis_je_Aktie_verwässert!A3:AK68,6,FALSE)),""),"")</f>
        <v>0.32352941176470584</v>
      </c>
      <c r="G12" s="5">
        <f>IF(VLOOKUP(A12,Dividende_je_Aktie!A3:AM68,7,FALSE)&lt;&gt;"",IF(VLOOKUP(A12,Ergebnis_je_Aktie_verwässert!A3:AK68,7,FALSE)&lt;&gt;"",IF(VLOOKUP(A12,Ergebnis_je_Aktie_verwässert!A3:AK68,7,FALSE)&lt;=0,9.99999,VLOOKUP(A12,Dividende_je_Aktie!A3:AM68,7,FALSE)/VLOOKUP(A12,Ergebnis_je_Aktie_verwässert!A3:AK68,7,FALSE)),""),"")</f>
        <v>0.34492753623188405</v>
      </c>
      <c r="H12" s="5">
        <f>IF(VLOOKUP(A12,Dividende_je_Aktie!A3:AM68,8,FALSE)&lt;&gt;"",IF(VLOOKUP(A12,Ergebnis_je_Aktie_verwässert!A3:AK68,8,FALSE)&lt;&gt;"",IF(VLOOKUP(A12,Ergebnis_je_Aktie_verwässert!A3:AK68,8,FALSE)&lt;=0,9.99999,VLOOKUP(A12,Dividende_je_Aktie!A3:AM68,8,FALSE)/VLOOKUP(A12,Ergebnis_je_Aktie_verwässert!A3:AK68,8,FALSE)),""),"")</f>
        <v>0.34375</v>
      </c>
      <c r="I12" s="5">
        <f>IF(VLOOKUP(A12,Dividende_je_Aktie!A3:AM68,9,FALSE)&lt;&gt;"",IF(VLOOKUP(A12,Ergebnis_je_Aktie_verwässert!A3:AK68,9,FALSE)&lt;&gt;"",IF(VLOOKUP(A12,Ergebnis_je_Aktie_verwässert!A3:AK68,9,FALSE)&lt;=0,9.99999,VLOOKUP(A12,Dividende_je_Aktie!A3:AM68,9,FALSE)/VLOOKUP(A12,Ergebnis_je_Aktie_verwässert!A3:AK68,9,FALSE)),""),"")</f>
        <v>0.37226277372262773</v>
      </c>
      <c r="J12" s="5">
        <f>IF(VLOOKUP(A12,Dividende_je_Aktie!A3:AM68,10,FALSE)&lt;&gt;"",IF(VLOOKUP(A12,Ergebnis_je_Aktie_verwässert!A3:AK68,10,FALSE)&lt;&gt;"",IF(VLOOKUP(A12,Ergebnis_je_Aktie_verwässert!A3:AK68,10,FALSE)&lt;=0,9.99999,VLOOKUP(A12,Dividende_je_Aktie!A3:AM68,10,FALSE)/VLOOKUP(A12,Ergebnis_je_Aktie_verwässert!A3:AK68,10,FALSE)),""),"")</f>
        <v>0.35971223021582738</v>
      </c>
      <c r="K12" s="5">
        <f>IF(VLOOKUP(A12,Dividende_je_Aktie!A3:AM68,11,FALSE)&lt;&gt;"",IF(VLOOKUP(A12,Ergebnis_je_Aktie_verwässert!A3:AK68,11,FALSE)&lt;&gt;"",IF(VLOOKUP(A12,Ergebnis_je_Aktie_verwässert!A3:AK68,11,FALSE)&lt;=0,9.99999,VLOOKUP(A12,Dividende_je_Aktie!A3:AM68,11,FALSE)/VLOOKUP(A12,Ergebnis_je_Aktie_verwässert!A3:AK68,11,FALSE)),""),"")</f>
        <v>0.35864978902953581</v>
      </c>
      <c r="L12" s="5">
        <f>IF(VLOOKUP(A12,Dividende_je_Aktie!A3:AM68,12,FALSE)&lt;&gt;"",IF(VLOOKUP(A12,Ergebnis_je_Aktie_verwässert!A3:AK68,12,FALSE)&lt;&gt;"",IF(VLOOKUP(A12,Ergebnis_je_Aktie_verwässert!A3:AK68,12,FALSE)&lt;=0,9.99999,VLOOKUP(A12,Dividende_je_Aktie!A3:AM68,12,FALSE)/VLOOKUP(A12,Ergebnis_je_Aktie_verwässert!A3:AK68,12,FALSE)),""),"")</f>
        <v>0.44534412955465585</v>
      </c>
      <c r="M12" s="5">
        <f>IF(VLOOKUP(A12,Dividende_je_Aktie!A3:AM68,13,FALSE)&lt;&gt;"",IF(VLOOKUP(A12,Ergebnis_je_Aktie_verwässert!A3:AK68,13,FALSE)&lt;&gt;"",IF(VLOOKUP(A12,Ergebnis_je_Aktie_verwässert!A3:AK68,13,FALSE)&lt;=0,9.99999,VLOOKUP(A12,Dividende_je_Aktie!A3:AM68,13,FALSE)/VLOOKUP(A12,Ergebnis_je_Aktie_verwässert!A3:AK68,13,FALSE)),""),"")</f>
        <v>0.2857142857142857</v>
      </c>
      <c r="N12" s="5">
        <f>IF(VLOOKUP(A12,Dividende_je_Aktie!A3:AM68,14,FALSE)&lt;&gt;"",IF(VLOOKUP(A12,Ergebnis_je_Aktie_verwässert!A3:AK68,14,FALSE)&lt;&gt;"",IF(VLOOKUP(A12,Ergebnis_je_Aktie_verwässert!A3:AK68,14,FALSE)&lt;=0,9.99999,VLOOKUP(A12,Dividende_je_Aktie!A3:AM68,14,FALSE)/VLOOKUP(A12,Ergebnis_je_Aktie_verwässert!A3:AK68,14,FALSE)),""),"")</f>
        <v>0.3401360544217687</v>
      </c>
      <c r="O12" s="5">
        <f>IF(VLOOKUP(A12,Dividende_je_Aktie!A3:AM68,15,FALSE)&lt;&gt;"",IF(VLOOKUP(A12,Ergebnis_je_Aktie_verwässert!A3:AK68,15,FALSE)&lt;&gt;"",IF(VLOOKUP(A12,Ergebnis_je_Aktie_verwässert!A3:AK68,15,FALSE)&lt;=0,9.99999,VLOOKUP(A12,Dividende_je_Aktie!A3:AM68,15,FALSE)/VLOOKUP(A12,Ergebnis_je_Aktie_verwässert!A3:AK68,15,FALSE)),""),"")</f>
        <v>0.32258064516129031</v>
      </c>
      <c r="P12" s="5">
        <f>IF(VLOOKUP(A12,Dividende_je_Aktie!A3:AM68,16,FALSE)&lt;&gt;"",IF(VLOOKUP(A12,Ergebnis_je_Aktie_verwässert!A3:AK68,16,FALSE)&lt;&gt;"",IF(VLOOKUP(A12,Ergebnis_je_Aktie_verwässert!A3:AK68,16,FALSE)&lt;=0,9.99999,VLOOKUP(A12,Dividende_je_Aktie!A3:AM68,16,FALSE)/VLOOKUP(A12,Ergebnis_je_Aktie_verwässert!A3:AK68,16,FALSE)),""),"")</f>
        <v>0.31446540880503143</v>
      </c>
      <c r="Q12" s="5">
        <f>IF(VLOOKUP(A12,Dividende_je_Aktie!A3:AM68,17,FALSE)&lt;&gt;"",IF(VLOOKUP(A12,Ergebnis_je_Aktie_verwässert!A3:AK68,17,FALSE)&lt;&gt;"",IF(VLOOKUP(A12,Ergebnis_je_Aktie_verwässert!A3:AK68,17,FALSE)&lt;=0,9.99999,VLOOKUP(A12,Dividende_je_Aktie!A3:AM68,17,FALSE)/VLOOKUP(A12,Ergebnis_je_Aktie_verwässert!A3:AK68,17,FALSE)),""),"")</f>
        <v>0.30263157894736842</v>
      </c>
      <c r="R12" s="5">
        <f>IF(VLOOKUP(A12,Dividende_je_Aktie!A3:AM68,18,FALSE)&lt;&gt;"",IF(VLOOKUP(A12,Ergebnis_je_Aktie_verwässert!A3:AK68,18,FALSE)&lt;&gt;"",IF(VLOOKUP(A12,Ergebnis_je_Aktie_verwässert!A3:AK68,18,FALSE)&lt;=0,9.99999,VLOOKUP(A12,Dividende_je_Aktie!A3:AM68,18,FALSE)/VLOOKUP(A12,Ergebnis_je_Aktie_verwässert!A3:AK68,18,FALSE)),""),"")</f>
        <v>0.3</v>
      </c>
      <c r="S12" s="10">
        <f t="shared" si="5"/>
        <v>0.33951568027453699</v>
      </c>
      <c r="T12" s="4">
        <f t="shared" ca="1" si="0"/>
        <v>0</v>
      </c>
      <c r="U12" s="4">
        <f t="shared" ca="1" si="1"/>
        <v>73</v>
      </c>
      <c r="V12" s="4">
        <f t="shared" ca="1" si="2"/>
        <v>287</v>
      </c>
      <c r="W12" s="10">
        <f t="shared" ca="1" si="3"/>
        <v>0.34398877818035423</v>
      </c>
      <c r="X12" s="5">
        <f t="shared" ca="1" si="4"/>
        <v>1.3174937611718729E-2</v>
      </c>
    </row>
    <row r="13" spans="1:24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5">
        <f>IF(VLOOKUP(A13,Dividende_je_Aktie!A3:AM68,6,FALSE)&lt;&gt;"",IF(VLOOKUP(A13,Ergebnis_je_Aktie_verwässert!A3:AK68,6,FALSE)&lt;&gt;"",IF(VLOOKUP(A13,Ergebnis_je_Aktie_verwässert!A3:AK68,6,FALSE)&lt;=0,9.99999,VLOOKUP(A13,Dividende_je_Aktie!A3:AM68,6,FALSE)/VLOOKUP(A13,Ergebnis_je_Aktie_verwässert!A3:AK68,6,FALSE)),""),"")</f>
        <v>0.52005174644243202</v>
      </c>
      <c r="G13" s="5">
        <f>IF(VLOOKUP(A13,Dividende_je_Aktie!A3:AM68,7,FALSE)&lt;&gt;"",IF(VLOOKUP(A13,Ergebnis_je_Aktie_verwässert!A3:AK68,7,FALSE)&lt;&gt;"",IF(VLOOKUP(A13,Ergebnis_je_Aktie_verwässert!A3:AK68,7,FALSE)&lt;=0,9.99999,VLOOKUP(A13,Dividende_je_Aktie!A3:AM68,7,FALSE)/VLOOKUP(A13,Ergebnis_je_Aktie_verwässert!A3:AK68,7,FALSE)),""),"")</f>
        <v>0.51898734177215189</v>
      </c>
      <c r="H13" s="5">
        <f>IF(VLOOKUP(A13,Dividende_je_Aktie!A3:AM68,8,FALSE)&lt;&gt;"",IF(VLOOKUP(A13,Ergebnis_je_Aktie_verwässert!A3:AK68,8,FALSE)&lt;&gt;"",IF(VLOOKUP(A13,Ergebnis_je_Aktie_verwässert!A3:AK68,8,FALSE)&lt;=0,9.99999,VLOOKUP(A13,Dividende_je_Aktie!A3:AM68,8,FALSE)/VLOOKUP(A13,Ergebnis_je_Aktie_verwässert!A3:AK68,8,FALSE)),""),"")</f>
        <v>0.45643693107932376</v>
      </c>
      <c r="I13" s="5">
        <f>IF(VLOOKUP(A13,Dividende_je_Aktie!A3:AM68,9,FALSE)&lt;&gt;"",IF(VLOOKUP(A13,Ergebnis_je_Aktie_verwässert!A3:AK68,9,FALSE)&lt;&gt;"",IF(VLOOKUP(A13,Ergebnis_je_Aktie_verwässert!A3:AK68,9,FALSE)&lt;=0,9.99999,VLOOKUP(A13,Dividende_je_Aktie!A3:AM68,9,FALSE)/VLOOKUP(A13,Ergebnis_je_Aktie_verwässert!A3:AK68,9,FALSE)),""),"")</f>
        <v>0.52297939778129954</v>
      </c>
      <c r="J13" s="5">
        <f>IF(VLOOKUP(A13,Dividende_je_Aktie!A3:AM68,10,FALSE)&lt;&gt;"",IF(VLOOKUP(A13,Ergebnis_je_Aktie_verwässert!A3:AK68,10,FALSE)&lt;&gt;"",IF(VLOOKUP(A13,Ergebnis_je_Aktie_verwässert!A3:AK68,10,FALSE)&lt;=0,9.99999,VLOOKUP(A13,Dividende_je_Aktie!A3:AM68,10,FALSE)/VLOOKUP(A13,Ergebnis_je_Aktie_verwässert!A3:AK68,10,FALSE)),""),"")</f>
        <v>0.59642147117296218</v>
      </c>
      <c r="K13" s="5">
        <f>IF(VLOOKUP(A13,Dividende_je_Aktie!A3:AM68,11,FALSE)&lt;&gt;"",IF(VLOOKUP(A13,Ergebnis_je_Aktie_verwässert!A3:AK68,11,FALSE)&lt;&gt;"",IF(VLOOKUP(A13,Ergebnis_je_Aktie_verwässert!A3:AK68,11,FALSE)&lt;=0,9.99999,VLOOKUP(A13,Dividende_je_Aktie!A3:AM68,11,FALSE)/VLOOKUP(A13,Ergebnis_je_Aktie_verwässert!A3:AK68,11,FALSE)),""),"")</f>
        <v>0.59523809523809523</v>
      </c>
      <c r="L13" s="5">
        <f>IF(VLOOKUP(A13,Dividende_je_Aktie!A3:AM68,12,FALSE)&lt;&gt;"",IF(VLOOKUP(A13,Ergebnis_je_Aktie_verwässert!A3:AK68,12,FALSE)&lt;&gt;"",IF(VLOOKUP(A13,Ergebnis_je_Aktie_verwässert!A3:AK68,12,FALSE)&lt;=0,9.99999,VLOOKUP(A13,Dividende_je_Aktie!A3:AM68,12,FALSE)/VLOOKUP(A13,Ergebnis_je_Aktie_verwässert!A3:AK68,12,FALSE)),""),"")</f>
        <v>0.43103448275862072</v>
      </c>
      <c r="M13" s="5">
        <f>IF(VLOOKUP(A13,Dividende_je_Aktie!A3:AM68,13,FALSE)&lt;&gt;"",IF(VLOOKUP(A13,Ergebnis_je_Aktie_verwässert!A3:AK68,13,FALSE)&lt;&gt;"",IF(VLOOKUP(A13,Ergebnis_je_Aktie_verwässert!A3:AK68,13,FALSE)&lt;=0,9.99999,VLOOKUP(A13,Dividende_je_Aktie!A3:AM68,13,FALSE)/VLOOKUP(A13,Ergebnis_je_Aktie_verwässert!A3:AK68,13,FALSE)),""),"")</f>
        <v>0.60810810810810811</v>
      </c>
      <c r="N13" s="5">
        <f>IF(VLOOKUP(A13,Dividende_je_Aktie!A3:AM68,14,FALSE)&lt;&gt;"",IF(VLOOKUP(A13,Ergebnis_je_Aktie_verwässert!A3:AK68,14,FALSE)&lt;&gt;"",IF(VLOOKUP(A13,Ergebnis_je_Aktie_verwässert!A3:AK68,14,FALSE)&lt;=0,9.99999,VLOOKUP(A13,Dividende_je_Aktie!A3:AM68,14,FALSE)/VLOOKUP(A13,Ergebnis_je_Aktie_verwässert!A3:AK68,14,FALSE)),""),"")</f>
        <v>0.60836501901140694</v>
      </c>
      <c r="O13" s="5">
        <f>IF(VLOOKUP(A13,Dividende_je_Aktie!A3:AM68,15,FALSE)&lt;&gt;"",IF(VLOOKUP(A13,Ergebnis_je_Aktie_verwässert!A3:AK68,15,FALSE)&lt;&gt;"",IF(VLOOKUP(A13,Ergebnis_je_Aktie_verwässert!A3:AK68,15,FALSE)&lt;=0,9.99999,VLOOKUP(A13,Dividende_je_Aktie!A3:AM68,15,FALSE)/VLOOKUP(A13,Ergebnis_je_Aktie_verwässert!A3:AK68,15,FALSE)),""),"")</f>
        <v>0.79207920792079212</v>
      </c>
      <c r="P13" s="5">
        <f>IF(VLOOKUP(A13,Dividende_je_Aktie!A3:AM68,16,FALSE)&lt;&gt;"",IF(VLOOKUP(A13,Ergebnis_je_Aktie_verwässert!A3:AK68,16,FALSE)&lt;&gt;"",IF(VLOOKUP(A13,Ergebnis_je_Aktie_verwässert!A3:AK68,16,FALSE)&lt;=0,9.99999,VLOOKUP(A13,Dividende_je_Aktie!A3:AM68,16,FALSE)/VLOOKUP(A13,Ergebnis_je_Aktie_verwässert!A3:AK68,16,FALSE)),""),"")</f>
        <v>0.41450777202072542</v>
      </c>
      <c r="Q13" s="5">
        <f>IF(VLOOKUP(A13,Dividende_je_Aktie!A3:AM68,17,FALSE)&lt;&gt;"",IF(VLOOKUP(A13,Ergebnis_je_Aktie_verwässert!A3:AK68,17,FALSE)&lt;&gt;"",IF(VLOOKUP(A13,Ergebnis_je_Aktie_verwässert!A3:AK68,17,FALSE)&lt;=0,9.99999,VLOOKUP(A13,Dividende_je_Aktie!A3:AM68,17,FALSE)/VLOOKUP(A13,Ergebnis_je_Aktie_verwässert!A3:AK68,17,FALSE)),""),"")</f>
        <v>0.44478527607361967</v>
      </c>
      <c r="R13" s="5">
        <f>IF(VLOOKUP(A13,Dividende_je_Aktie!A3:AM68,18,FALSE)&lt;&gt;"",IF(VLOOKUP(A13,Ergebnis_je_Aktie_verwässert!A3:AK68,18,FALSE)&lt;&gt;"",IF(VLOOKUP(A13,Ergebnis_je_Aktie_verwässert!A3:AK68,18,FALSE)&lt;=0,9.99999,VLOOKUP(A13,Dividende_je_Aktie!A3:AM68,18,FALSE)/VLOOKUP(A13,Ergebnis_je_Aktie_verwässert!A3:AK68,18,FALSE)),""),"")</f>
        <v>0.55785123966942152</v>
      </c>
      <c r="S13" s="10">
        <f t="shared" si="5"/>
        <v>0.54360354531145838</v>
      </c>
      <c r="T13" s="4">
        <f t="shared" ca="1" si="0"/>
        <v>0</v>
      </c>
      <c r="U13" s="4">
        <f t="shared" ca="1" si="1"/>
        <v>164</v>
      </c>
      <c r="V13" s="4">
        <f t="shared" ca="1" si="2"/>
        <v>196</v>
      </c>
      <c r="W13" s="10">
        <f t="shared" ca="1" si="3"/>
        <v>0.48493211817272325</v>
      </c>
      <c r="X13" s="5">
        <f t="shared" ca="1" si="4"/>
        <v>-0.10793054542188329</v>
      </c>
    </row>
    <row r="14" spans="1:24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5">
        <f>IF(VLOOKUP(A14,Dividende_je_Aktie!A3:AM68,6,FALSE)&lt;&gt;"",IF(VLOOKUP(A14,Ergebnis_je_Aktie_verwässert!A3:AK68,6,FALSE)&lt;&gt;"",IF(VLOOKUP(A14,Ergebnis_je_Aktie_verwässert!A3:AK68,6,FALSE)&lt;=0,9.99999,VLOOKUP(A14,Dividende_je_Aktie!A3:AM68,6,FALSE)/VLOOKUP(A14,Ergebnis_je_Aktie_verwässert!A3:AK68,6,FALSE)),""),"")</f>
        <v>0.46643356643356643</v>
      </c>
      <c r="G14" s="5">
        <f>IF(VLOOKUP(A14,Dividende_je_Aktie!A3:AM68,7,FALSE)&lt;&gt;"",IF(VLOOKUP(A14,Ergebnis_je_Aktie_verwässert!A3:AK68,7,FALSE)&lt;&gt;"",IF(VLOOKUP(A14,Ergebnis_je_Aktie_verwässert!A3:AK68,7,FALSE)&lt;=0,9.99999,VLOOKUP(A14,Dividende_je_Aktie!A3:AM68,7,FALSE)/VLOOKUP(A14,Ergebnis_je_Aktie_verwässert!A3:AK68,7,FALSE)),""),"")</f>
        <v>0.498581560283688</v>
      </c>
      <c r="H14" s="5">
        <f>IF(VLOOKUP(A14,Dividende_je_Aktie!A3:AM68,8,FALSE)&lt;&gt;"",IF(VLOOKUP(A14,Ergebnis_je_Aktie_verwässert!A3:AK68,8,FALSE)&lt;&gt;"",IF(VLOOKUP(A14,Ergebnis_je_Aktie_verwässert!A3:AK68,8,FALSE)&lt;=0,9.99999,VLOOKUP(A14,Dividende_je_Aktie!A3:AM68,8,FALSE)/VLOOKUP(A14,Ergebnis_je_Aktie_verwässert!A3:AK68,8,FALSE)),""),"")</f>
        <v>0.49928571428571428</v>
      </c>
      <c r="I14" s="5">
        <f>IF(VLOOKUP(A14,Dividende_je_Aktie!A3:AM68,9,FALSE)&lt;&gt;"",IF(VLOOKUP(A14,Ergebnis_je_Aktie_verwässert!A3:AK68,9,FALSE)&lt;&gt;"",IF(VLOOKUP(A14,Ergebnis_je_Aktie_verwässert!A3:AK68,9,FALSE)&lt;=0,9.99999,VLOOKUP(A14,Dividende_je_Aktie!A3:AM68,9,FALSE)/VLOOKUP(A14,Ergebnis_je_Aktie_verwässert!A3:AK68,9,FALSE)),""),"")</f>
        <v>0.50219941348973607</v>
      </c>
      <c r="J14" s="5">
        <f>IF(VLOOKUP(A14,Dividende_je_Aktie!A3:AM68,10,FALSE)&lt;&gt;"",IF(VLOOKUP(A14,Ergebnis_je_Aktie_verwässert!A3:AK68,10,FALSE)&lt;&gt;"",IF(VLOOKUP(A14,Ergebnis_je_Aktie_verwässert!A3:AK68,10,FALSE)&lt;=0,9.99999,VLOOKUP(A14,Dividende_je_Aktie!A3:AM68,10,FALSE)/VLOOKUP(A14,Ergebnis_je_Aktie_verwässert!A3:AK68,10,FALSE)),""),"")</f>
        <v>0.4061302681992337</v>
      </c>
      <c r="K14" s="5">
        <f>IF(VLOOKUP(A14,Dividende_je_Aktie!A3:AM68,11,FALSE)&lt;&gt;"",IF(VLOOKUP(A14,Ergebnis_je_Aktie_verwässert!A3:AK68,11,FALSE)&lt;&gt;"",IF(VLOOKUP(A14,Ergebnis_je_Aktie_verwässert!A3:AK68,11,FALSE)&lt;=0,9.99999,VLOOKUP(A14,Dividende_je_Aktie!A3:AM68,11,FALSE)/VLOOKUP(A14,Ergebnis_je_Aktie_verwässert!A3:AK68,11,FALSE)),""),"")</f>
        <v>0.3968253968253968</v>
      </c>
      <c r="L14" s="5">
        <f>IF(VLOOKUP(A14,Dividende_je_Aktie!A3:AM68,12,FALSE)&lt;&gt;"",IF(VLOOKUP(A14,Ergebnis_je_Aktie_verwässert!A3:AK68,12,FALSE)&lt;&gt;"",IF(VLOOKUP(A14,Ergebnis_je_Aktie_verwässert!A3:AK68,12,FALSE)&lt;=0,9.99999,VLOOKUP(A14,Dividende_je_Aktie!A3:AM68,12,FALSE)/VLOOKUP(A14,Ergebnis_je_Aktie_verwässert!A3:AK68,12,FALSE)),""),"")</f>
        <v>0.82116788321167877</v>
      </c>
      <c r="M14" s="5">
        <f>IF(VLOOKUP(A14,Dividende_je_Aktie!A3:AM68,13,FALSE)&lt;&gt;"",IF(VLOOKUP(A14,Ergebnis_je_Aktie_verwässert!A3:AK68,13,FALSE)&lt;&gt;"",IF(VLOOKUP(A14,Ergebnis_je_Aktie_verwässert!A3:AK68,13,FALSE)&lt;=0,9.99999,VLOOKUP(A14,Dividende_je_Aktie!A3:AM68,13,FALSE)/VLOOKUP(A14,Ergebnis_je_Aktie_verwässert!A3:AK68,13,FALSE)),""),"")</f>
        <v>0.40467625899280579</v>
      </c>
      <c r="N14" s="5">
        <f>IF(VLOOKUP(A14,Dividende_je_Aktie!A3:AM68,14,FALSE)&lt;&gt;"",IF(VLOOKUP(A14,Ergebnis_je_Aktie_verwässert!A3:AK68,14,FALSE)&lt;&gt;"",IF(VLOOKUP(A14,Ergebnis_je_Aktie_verwässert!A3:AK68,14,FALSE)&lt;=0,9.99999,VLOOKUP(A14,Dividende_je_Aktie!A3:AM68,14,FALSE)/VLOOKUP(A14,Ergebnis_je_Aktie_verwässert!A3:AK68,14,FALSE)),""),"")</f>
        <v>0.43157894736842101</v>
      </c>
      <c r="O14" s="5">
        <f>IF(VLOOKUP(A14,Dividende_je_Aktie!A3:AM68,15,FALSE)&lt;&gt;"",IF(VLOOKUP(A14,Ergebnis_je_Aktie_verwässert!A3:AK68,15,FALSE)&lt;&gt;"",IF(VLOOKUP(A14,Ergebnis_je_Aktie_verwässert!A3:AK68,15,FALSE)&lt;=0,9.99999,VLOOKUP(A14,Dividende_je_Aktie!A3:AM68,15,FALSE)/VLOOKUP(A14,Ergebnis_je_Aktie_verwässert!A3:AK68,15,FALSE)),""),"")</f>
        <v>9.9999900000000004</v>
      </c>
      <c r="P14" s="5">
        <f>IF(VLOOKUP(A14,Dividende_je_Aktie!A3:AM68,16,FALSE)&lt;&gt;"",IF(VLOOKUP(A14,Ergebnis_je_Aktie_verwässert!A3:AK68,16,FALSE)&lt;&gt;"",IF(VLOOKUP(A14,Ergebnis_je_Aktie_verwässert!A3:AK68,16,FALSE)&lt;=0,9.99999,VLOOKUP(A14,Dividende_je_Aktie!A3:AM68,16,FALSE)/VLOOKUP(A14,Ergebnis_je_Aktie_verwässert!A3:AK68,16,FALSE)),""),"")</f>
        <v>0.3105590062111801</v>
      </c>
      <c r="Q14" s="5">
        <f>IF(VLOOKUP(A14,Dividende_je_Aktie!A3:AM68,17,FALSE)&lt;&gt;"",IF(VLOOKUP(A14,Ergebnis_je_Aktie_verwässert!A3:AK68,17,FALSE)&lt;&gt;"",IF(VLOOKUP(A14,Ergebnis_je_Aktie_verwässert!A3:AK68,17,FALSE)&lt;=0,9.99999,VLOOKUP(A14,Dividende_je_Aktie!A3:AM68,17,FALSE)/VLOOKUP(A14,Ergebnis_je_Aktie_verwässert!A3:AK68,17,FALSE)),""),"")</f>
        <v>0.22646007151370676</v>
      </c>
      <c r="R14" s="5">
        <f>IF(VLOOKUP(A14,Dividende_je_Aktie!A3:AM68,18,FALSE)&lt;&gt;"",IF(VLOOKUP(A14,Ergebnis_je_Aktie_verwässert!A3:AK68,18,FALSE)&lt;&gt;"",IF(VLOOKUP(A14,Ergebnis_je_Aktie_verwässert!A3:AK68,18,FALSE)&lt;=0,9.99999,VLOOKUP(A14,Dividende_je_Aktie!A3:AM68,18,FALSE)/VLOOKUP(A14,Ergebnis_je_Aktie_verwässert!A3:AK68,18,FALSE)),""),"")</f>
        <v>0.17793594306049823</v>
      </c>
      <c r="S14" s="10">
        <f t="shared" si="5"/>
        <v>1.1647556946058175</v>
      </c>
      <c r="T14" s="4">
        <f t="shared" ca="1" si="0"/>
        <v>0</v>
      </c>
      <c r="U14" s="4">
        <f t="shared" ca="1" si="1"/>
        <v>73</v>
      </c>
      <c r="V14" s="4">
        <f t="shared" ca="1" si="2"/>
        <v>287</v>
      </c>
      <c r="W14" s="10">
        <f t="shared" ca="1" si="3"/>
        <v>0.49914292750197009</v>
      </c>
      <c r="X14" s="5">
        <f t="shared" ca="1" si="4"/>
        <v>-0.57146126881921577</v>
      </c>
    </row>
    <row r="15" spans="1:24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5">
        <f>IF(VLOOKUP(A15,Dividende_je_Aktie!A3:AM68,6,FALSE)&lt;&gt;"",IF(VLOOKUP(A15,Ergebnis_je_Aktie_verwässert!A3:AK68,6,FALSE)&lt;&gt;"",IF(VLOOKUP(A15,Ergebnis_je_Aktie_verwässert!A3:AK68,6,FALSE)&lt;=0,9.99999,VLOOKUP(A15,Dividende_je_Aktie!A3:AM68,6,FALSE)/VLOOKUP(A15,Ergebnis_je_Aktie_verwässert!A3:AK68,6,FALSE)),""),"")</f>
        <v>0.4140350877192982</v>
      </c>
      <c r="G15" s="5">
        <f>IF(VLOOKUP(A15,Dividende_je_Aktie!A3:AM68,7,FALSE)&lt;&gt;"",IF(VLOOKUP(A15,Ergebnis_je_Aktie_verwässert!A3:AK68,7,FALSE)&lt;&gt;"",IF(VLOOKUP(A15,Ergebnis_je_Aktie_verwässert!A3:AK68,7,FALSE)&lt;=0,9.99999,VLOOKUP(A15,Dividende_je_Aktie!A3:AM68,7,FALSE)/VLOOKUP(A15,Ergebnis_je_Aktie_verwässert!A3:AK68,7,FALSE)),""),"")</f>
        <v>0.47705882352941176</v>
      </c>
      <c r="H15" s="5">
        <f>IF(VLOOKUP(A15,Dividende_je_Aktie!A3:AM68,8,FALSE)&lt;&gt;"",IF(VLOOKUP(A15,Ergebnis_je_Aktie_verwässert!A3:AK68,8,FALSE)&lt;&gt;"",IF(VLOOKUP(A15,Ergebnis_je_Aktie_verwässert!A3:AK68,8,FALSE)&lt;=0,9.99999,VLOOKUP(A15,Dividende_je_Aktie!A3:AM68,8,FALSE)/VLOOKUP(A15,Ergebnis_je_Aktie_verwässert!A3:AK68,8,FALSE)),""),"")</f>
        <v>0.45964912280701753</v>
      </c>
      <c r="I15" s="5">
        <f>IF(VLOOKUP(A15,Dividende_je_Aktie!A3:AM68,9,FALSE)&lt;&gt;"",IF(VLOOKUP(A15,Ergebnis_je_Aktie_verwässert!A3:AK68,9,FALSE)&lt;&gt;"",IF(VLOOKUP(A15,Ergebnis_je_Aktie_verwässert!A3:AK68,9,FALSE)&lt;=0,9.99999,VLOOKUP(A15,Dividende_je_Aktie!A3:AM68,9,FALSE)/VLOOKUP(A15,Ergebnis_je_Aktie_verwässert!A3:AK68,9,FALSE)),""),"")</f>
        <v>0.42326597487711637</v>
      </c>
      <c r="J15" s="5">
        <f>IF(VLOOKUP(A15,Dividende_je_Aktie!A3:AM68,10,FALSE)&lt;&gt;"",IF(VLOOKUP(A15,Ergebnis_je_Aktie_verwässert!A3:AK68,10,FALSE)&lt;&gt;"",IF(VLOOKUP(A15,Ergebnis_je_Aktie_verwässert!A3:AK68,10,FALSE)&lt;=0,9.99999,VLOOKUP(A15,Dividende_je_Aktie!A3:AM68,10,FALSE)/VLOOKUP(A15,Ergebnis_je_Aktie_verwässert!A3:AK68,10,FALSE)),""),"")</f>
        <v>0.39189189189189189</v>
      </c>
      <c r="K15" s="5">
        <f>IF(VLOOKUP(A15,Dividende_je_Aktie!A3:AM68,11,FALSE)&lt;&gt;"",IF(VLOOKUP(A15,Ergebnis_je_Aktie_verwässert!A3:AK68,11,FALSE)&lt;&gt;"",IF(VLOOKUP(A15,Ergebnis_je_Aktie_verwässert!A3:AK68,11,FALSE)&lt;=0,9.99999,VLOOKUP(A15,Dividende_je_Aktie!A3:AM68,11,FALSE)/VLOOKUP(A15,Ergebnis_je_Aktie_verwässert!A3:AK68,11,FALSE)),""),"")</f>
        <v>0.38932146829810899</v>
      </c>
      <c r="L15" s="5">
        <f>IF(VLOOKUP(A15,Dividende_je_Aktie!A3:AM68,12,FALSE)&lt;&gt;"",IF(VLOOKUP(A15,Ergebnis_je_Aktie_verwässert!A3:AK68,12,FALSE)&lt;&gt;"",IF(VLOOKUP(A15,Ergebnis_je_Aktie_verwässert!A3:AK68,12,FALSE)&lt;=0,9.99999,VLOOKUP(A15,Dividende_je_Aktie!A3:AM68,12,FALSE)/VLOOKUP(A15,Ergebnis_je_Aktie_verwässert!A3:AK68,12,FALSE)),""),"")</f>
        <v>1.5862944162436547</v>
      </c>
      <c r="M15" s="5">
        <f>IF(VLOOKUP(A15,Dividende_je_Aktie!A3:AM68,13,FALSE)&lt;&gt;"",IF(VLOOKUP(A15,Ergebnis_je_Aktie_verwässert!A3:AK68,13,FALSE)&lt;&gt;"",IF(VLOOKUP(A15,Ergebnis_je_Aktie_verwässert!A3:AK68,13,FALSE)&lt;=0,9.99999,VLOOKUP(A15,Dividende_je_Aktie!A3:AM68,13,FALSE)/VLOOKUP(A15,Ergebnis_je_Aktie_verwässert!A3:AK68,13,FALSE)),""),"")</f>
        <v>0.47856049004594181</v>
      </c>
      <c r="N15" s="5">
        <f>IF(VLOOKUP(A15,Dividende_je_Aktie!A3:AM68,14,FALSE)&lt;&gt;"",IF(VLOOKUP(A15,Ergebnis_je_Aktie_verwässert!A3:AK68,14,FALSE)&lt;&gt;"",IF(VLOOKUP(A15,Ergebnis_je_Aktie_verwässert!A3:AK68,14,FALSE)&lt;=0,9.99999,VLOOKUP(A15,Dividende_je_Aktie!A3:AM68,14,FALSE)/VLOOKUP(A15,Ergebnis_je_Aktie_verwässert!A3:AK68,14,FALSE)),""),"")</f>
        <v>0.44401544401544402</v>
      </c>
      <c r="O15" s="5">
        <f>IF(VLOOKUP(A15,Dividende_je_Aktie!A3:AM68,15,FALSE)&lt;&gt;"",IF(VLOOKUP(A15,Ergebnis_je_Aktie_verwässert!A3:AK68,15,FALSE)&lt;&gt;"",IF(VLOOKUP(A15,Ergebnis_je_Aktie_verwässert!A3:AK68,15,FALSE)&lt;=0,9.99999,VLOOKUP(A15,Dividende_je_Aktie!A3:AM68,15,FALSE)/VLOOKUP(A15,Ergebnis_je_Aktie_verwässert!A3:AK68,15,FALSE)),""),"")</f>
        <v>0.73529411764705876</v>
      </c>
      <c r="P15" s="5">
        <f>IF(VLOOKUP(A15,Dividende_je_Aktie!A3:AM68,16,FALSE)&lt;&gt;"",IF(VLOOKUP(A15,Ergebnis_je_Aktie_verwässert!A3:AK68,16,FALSE)&lt;&gt;"",IF(VLOOKUP(A15,Ergebnis_je_Aktie_verwässert!A3:AK68,16,FALSE)&lt;=0,9.99999,VLOOKUP(A15,Dividende_je_Aktie!A3:AM68,16,FALSE)/VLOOKUP(A15,Ergebnis_je_Aktie_verwässert!A3:AK68,16,FALSE)),""),"")</f>
        <v>0.30726256983240224</v>
      </c>
      <c r="Q15" s="5">
        <f>IF(VLOOKUP(A15,Dividende_je_Aktie!A3:AM68,17,FALSE)&lt;&gt;"",IF(VLOOKUP(A15,Ergebnis_je_Aktie_verwässert!A3:AK68,17,FALSE)&lt;&gt;"",IF(VLOOKUP(A15,Ergebnis_je_Aktie_verwässert!A3:AK68,17,FALSE)&lt;=0,9.99999,VLOOKUP(A15,Dividende_je_Aktie!A3:AM68,17,FALSE)/VLOOKUP(A15,Ergebnis_je_Aktie_verwässert!A3:AK68,17,FALSE)),""),"")</f>
        <v>0.29761904761904762</v>
      </c>
      <c r="R15" s="5">
        <f>IF(VLOOKUP(A15,Dividende_je_Aktie!A3:AM68,18,FALSE)&lt;&gt;"",IF(VLOOKUP(A15,Ergebnis_je_Aktie_verwässert!A3:AK68,18,FALSE)&lt;&gt;"",IF(VLOOKUP(A15,Ergebnis_je_Aktie_verwässert!A3:AK68,18,FALSE)&lt;=0,9.99999,VLOOKUP(A15,Dividende_je_Aktie!A3:AM68,18,FALSE)/VLOOKUP(A15,Ergebnis_je_Aktie_verwässert!A3:AK68,18,FALSE)),""),"")</f>
        <v>0.26495726495726496</v>
      </c>
      <c r="S15" s="10">
        <f t="shared" si="5"/>
        <v>0.51301736303720458</v>
      </c>
      <c r="T15" s="4">
        <f t="shared" ca="1" si="0"/>
        <v>0</v>
      </c>
      <c r="U15" s="4">
        <f t="shared" ca="1" si="1"/>
        <v>73</v>
      </c>
      <c r="V15" s="4">
        <f t="shared" ca="1" si="2"/>
        <v>287</v>
      </c>
      <c r="W15" s="10">
        <f t="shared" ca="1" si="3"/>
        <v>0.46317942323128081</v>
      </c>
      <c r="X15" s="5">
        <f t="shared" ca="1" si="4"/>
        <v>-9.7146692094141618E-2</v>
      </c>
    </row>
    <row r="16" spans="1:24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5">
        <f>IF(VLOOKUP(A16,Dividende_je_Aktie!A3:AM68,6,FALSE)&lt;&gt;"",IF(VLOOKUP(A16,Ergebnis_je_Aktie_verwässert!A3:AK68,6,FALSE)&lt;&gt;"",IF(VLOOKUP(A16,Ergebnis_je_Aktie_verwässert!A3:AK68,6,FALSE)&lt;=0,9.99999,VLOOKUP(A16,Dividende_je_Aktie!A3:AM68,6,FALSE)/VLOOKUP(A16,Ergebnis_je_Aktie_verwässert!A3:AK68,6,FALSE)),""),"")</f>
        <v>0.51036682615629991</v>
      </c>
      <c r="G16" s="5">
        <f>IF(VLOOKUP(A16,Dividende_je_Aktie!A3:AM68,7,FALSE)&lt;&gt;"",IF(VLOOKUP(A16,Ergebnis_je_Aktie_verwässert!A3:AK68,7,FALSE)&lt;&gt;"",IF(VLOOKUP(A16,Ergebnis_je_Aktie_verwässert!A3:AK68,7,FALSE)&lt;=0,9.99999,VLOOKUP(A16,Dividende_je_Aktie!A3:AM68,7,FALSE)/VLOOKUP(A16,Ergebnis_je_Aktie_verwässert!A3:AK68,7,FALSE)),""),"")</f>
        <v>0.53859649122807018</v>
      </c>
      <c r="H16" s="5">
        <f>IF(VLOOKUP(A16,Dividende_je_Aktie!A3:AM68,8,FALSE)&lt;&gt;"",IF(VLOOKUP(A16,Ergebnis_je_Aktie_verwässert!A3:AK68,8,FALSE)&lt;&gt;"",IF(VLOOKUP(A16,Ergebnis_je_Aktie_verwässert!A3:AK68,8,FALSE)&lt;=0,9.99999,VLOOKUP(A16,Dividende_je_Aktie!A3:AM68,8,FALSE)/VLOOKUP(A16,Ergebnis_je_Aktie_verwässert!A3:AK68,8,FALSE)),""),"")</f>
        <v>0.56725146198830412</v>
      </c>
      <c r="I16" s="5">
        <f>IF(VLOOKUP(A16,Dividende_je_Aktie!A3:AM68,9,FALSE)&lt;&gt;"",IF(VLOOKUP(A16,Ergebnis_je_Aktie_verwässert!A3:AK68,9,FALSE)&lt;&gt;"",IF(VLOOKUP(A16,Ergebnis_je_Aktie_verwässert!A3:AK68,9,FALSE)&lt;=0,9.99999,VLOOKUP(A16,Dividende_je_Aktie!A3:AM68,9,FALSE)/VLOOKUP(A16,Ergebnis_je_Aktie_verwässert!A3:AK68,9,FALSE)),""),"")</f>
        <v>0.5</v>
      </c>
      <c r="J16" s="5">
        <f>IF(VLOOKUP(A16,Dividende_je_Aktie!A3:AM68,10,FALSE)&lt;&gt;"",IF(VLOOKUP(A16,Ergebnis_je_Aktie_verwässert!A3:AK68,10,FALSE)&lt;&gt;"",IF(VLOOKUP(A16,Ergebnis_je_Aktie_verwässert!A3:AK68,10,FALSE)&lt;=0,9.99999,VLOOKUP(A16,Dividende_je_Aktie!A3:AM68,10,FALSE)/VLOOKUP(A16,Ergebnis_je_Aktie_verwässert!A3:AK68,10,FALSE)),""),"")</f>
        <v>0.51233396584440238</v>
      </c>
      <c r="K16" s="5">
        <f>IF(VLOOKUP(A16,Dividende_je_Aktie!A3:AM68,11,FALSE)&lt;&gt;"",IF(VLOOKUP(A16,Ergebnis_je_Aktie_verwässert!A3:AK68,11,FALSE)&lt;&gt;"",IF(VLOOKUP(A16,Ergebnis_je_Aktie_verwässert!A3:AK68,11,FALSE)&lt;=0,9.99999,VLOOKUP(A16,Dividende_je_Aktie!A3:AM68,11,FALSE)/VLOOKUP(A16,Ergebnis_je_Aktie_verwässert!A3:AK68,11,FALSE)),""),"")</f>
        <v>0.48964218455743885</v>
      </c>
      <c r="L16" s="5">
        <f>IF(VLOOKUP(A16,Dividende_je_Aktie!A3:AM68,12,FALSE)&lt;&gt;"",IF(VLOOKUP(A16,Ergebnis_je_Aktie_verwässert!A3:AK68,12,FALSE)&lt;&gt;"",IF(VLOOKUP(A16,Ergebnis_je_Aktie_verwässert!A3:AK68,12,FALSE)&lt;=0,9.99999,VLOOKUP(A16,Dividende_je_Aktie!A3:AM68,12,FALSE)/VLOOKUP(A16,Ergebnis_je_Aktie_verwässert!A3:AK68,12,FALSE)),""),"")</f>
        <v>0.37147102526002967</v>
      </c>
      <c r="M16" s="5">
        <f>IF(VLOOKUP(A16,Dividende_je_Aktie!A3:AM68,13,FALSE)&lt;&gt;"",IF(VLOOKUP(A16,Ergebnis_je_Aktie_verwässert!A3:AK68,13,FALSE)&lt;&gt;"",IF(VLOOKUP(A16,Ergebnis_je_Aktie_verwässert!A3:AK68,13,FALSE)&lt;=0,9.99999,VLOOKUP(A16,Dividende_je_Aktie!A3:AM68,13,FALSE)/VLOOKUP(A16,Ergebnis_je_Aktie_verwässert!A3:AK68,13,FALSE)),""),"")</f>
        <v>0.44354838709677424</v>
      </c>
      <c r="N16" s="5">
        <f>IF(VLOOKUP(A16,Dividende_je_Aktie!A3:AM68,14,FALSE)&lt;&gt;"",IF(VLOOKUP(A16,Ergebnis_je_Aktie_verwässert!A3:AK68,14,FALSE)&lt;&gt;"",IF(VLOOKUP(A16,Ergebnis_je_Aktie_verwässert!A3:AK68,14,FALSE)&lt;=0,9.99999,VLOOKUP(A16,Dividende_je_Aktie!A3:AM68,14,FALSE)/VLOOKUP(A16,Ergebnis_je_Aktie_verwässert!A3:AK68,14,FALSE)),""),"")</f>
        <v>1.1038961038961039</v>
      </c>
      <c r="O16" s="5">
        <f>IF(VLOOKUP(A16,Dividende_je_Aktie!A3:AM68,15,FALSE)&lt;&gt;"",IF(VLOOKUP(A16,Ergebnis_je_Aktie_verwässert!A3:AK68,15,FALSE)&lt;&gt;"",IF(VLOOKUP(A16,Ergebnis_je_Aktie_verwässert!A3:AK68,15,FALSE)&lt;=0,9.99999,VLOOKUP(A16,Dividende_je_Aktie!A3:AM68,15,FALSE)/VLOOKUP(A16,Ergebnis_je_Aktie_verwässert!A3:AK68,15,FALSE)),""),"")</f>
        <v>0.6230031948881789</v>
      </c>
      <c r="P16" s="5">
        <f>IF(VLOOKUP(A16,Dividende_je_Aktie!A3:AM68,16,FALSE)&lt;&gt;"",IF(VLOOKUP(A16,Ergebnis_je_Aktie_verwässert!A3:AK68,16,FALSE)&lt;&gt;"",IF(VLOOKUP(A16,Ergebnis_je_Aktie_verwässert!A3:AK68,16,FALSE)&lt;=0,9.99999,VLOOKUP(A16,Dividende_je_Aktie!A3:AM68,16,FALSE)/VLOOKUP(A16,Ergebnis_je_Aktie_verwässert!A3:AK68,16,FALSE)),""),"")</f>
        <v>0.46875</v>
      </c>
      <c r="Q16" s="5">
        <f>IF(VLOOKUP(A16,Dividende_je_Aktie!A3:AM68,17,FALSE)&lt;&gt;"",IF(VLOOKUP(A16,Ergebnis_je_Aktie_verwässert!A3:AK68,17,FALSE)&lt;&gt;"",IF(VLOOKUP(A16,Ergebnis_je_Aktie_verwässert!A3:AK68,17,FALSE)&lt;=0,9.99999,VLOOKUP(A16,Dividende_je_Aktie!A3:AM68,17,FALSE)/VLOOKUP(A16,Ergebnis_je_Aktie_verwässert!A3:AK68,17,FALSE)),""),"")</f>
        <v>0.47021943573667713</v>
      </c>
      <c r="R16" s="5">
        <f>IF(VLOOKUP(A16,Dividende_je_Aktie!A3:AM68,18,FALSE)&lt;&gt;"",IF(VLOOKUP(A16,Ergebnis_je_Aktie_verwässert!A3:AK68,18,FALSE)&lt;&gt;"",IF(VLOOKUP(A16,Ergebnis_je_Aktie_verwässert!A3:AK68,18,FALSE)&lt;=0,9.99999,VLOOKUP(A16,Dividende_je_Aktie!A3:AM68,18,FALSE)/VLOOKUP(A16,Ergebnis_je_Aktie_verwässert!A3:AK68,18,FALSE)),""),"")</f>
        <v>0.34843205574912889</v>
      </c>
      <c r="S16" s="10">
        <f t="shared" si="5"/>
        <v>0.53442393326164683</v>
      </c>
      <c r="T16" s="4">
        <f t="shared" ca="1" si="0"/>
        <v>0</v>
      </c>
      <c r="U16" s="4">
        <f t="shared" ca="1" si="1"/>
        <v>73</v>
      </c>
      <c r="V16" s="4">
        <f t="shared" ca="1" si="2"/>
        <v>287</v>
      </c>
      <c r="W16" s="10">
        <f t="shared" ca="1" si="3"/>
        <v>0.56144087069525672</v>
      </c>
      <c r="X16" s="5">
        <f t="shared" ca="1" si="4"/>
        <v>5.0553382347086506E-2</v>
      </c>
    </row>
    <row r="17" spans="1:24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5">
        <f>IF(VLOOKUP(A17,Dividende_je_Aktie!A3:AM68,6,FALSE)&lt;&gt;"",IF(VLOOKUP(A17,Ergebnis_je_Aktie_verwässert!A3:AK68,6,FALSE)&lt;&gt;"",IF(VLOOKUP(A17,Ergebnis_je_Aktie_verwässert!A3:AK68,6,FALSE)&lt;=0,9.99999,VLOOKUP(A17,Dividende_je_Aktie!A3:AM68,6,FALSE)/VLOOKUP(A17,Ergebnis_je_Aktie_verwässert!A3:AK68,6,FALSE)),""),"")</f>
        <v>0.43098591549295778</v>
      </c>
      <c r="G17" s="5">
        <f>IF(VLOOKUP(A17,Dividende_je_Aktie!A3:AM68,7,FALSE)&lt;&gt;"",IF(VLOOKUP(A17,Ergebnis_je_Aktie_verwässert!A3:AK68,7,FALSE)&lt;&gt;"",IF(VLOOKUP(A17,Ergebnis_je_Aktie_verwässert!A3:AK68,7,FALSE)&lt;=0,9.99999,VLOOKUP(A17,Dividende_je_Aktie!A3:AM68,7,FALSE)/VLOOKUP(A17,Ergebnis_je_Aktie_verwässert!A3:AK68,7,FALSE)),""),"")</f>
        <v>0.44019138755980863</v>
      </c>
      <c r="H17" s="5">
        <f>IF(VLOOKUP(A17,Dividende_je_Aktie!A3:AM68,8,FALSE)&lt;&gt;"",IF(VLOOKUP(A17,Ergebnis_je_Aktie_verwässert!A3:AK68,8,FALSE)&lt;&gt;"",IF(VLOOKUP(A17,Ergebnis_je_Aktie_verwässert!A3:AK68,8,FALSE)&lt;=0,9.99999,VLOOKUP(A17,Dividende_je_Aktie!A3:AM68,8,FALSE)/VLOOKUP(A17,Ergebnis_je_Aktie_verwässert!A3:AK68,8,FALSE)),""),"")</f>
        <v>0.48162475822050294</v>
      </c>
      <c r="I17" s="5">
        <f>IF(VLOOKUP(A17,Dividende_je_Aktie!A3:AM68,9,FALSE)&lt;&gt;"",IF(VLOOKUP(A17,Ergebnis_je_Aktie_verwässert!A3:AK68,9,FALSE)&lt;&gt;"",IF(VLOOKUP(A17,Ergebnis_je_Aktie_verwässert!A3:AK68,9,FALSE)&lt;=0,9.99999,VLOOKUP(A17,Dividende_je_Aktie!A3:AM68,9,FALSE)/VLOOKUP(A17,Ergebnis_je_Aktie_verwässert!A3:AK68,9,FALSE)),""),"")</f>
        <v>0.5434782608695653</v>
      </c>
      <c r="J17" s="5">
        <f>IF(VLOOKUP(A17,Dividende_je_Aktie!A3:AM68,10,FALSE)&lt;&gt;"",IF(VLOOKUP(A17,Ergebnis_je_Aktie_verwässert!A3:AK68,10,FALSE)&lt;&gt;"",IF(VLOOKUP(A17,Ergebnis_je_Aktie_verwässert!A3:AK68,10,FALSE)&lt;=0,9.99999,VLOOKUP(A17,Dividende_je_Aktie!A3:AM68,10,FALSE)/VLOOKUP(A17,Ergebnis_je_Aktie_verwässert!A3:AK68,10,FALSE)),""),"")</f>
        <v>0.54404145077720212</v>
      </c>
      <c r="K17" s="5">
        <f>IF(VLOOKUP(A17,Dividende_je_Aktie!A3:AM68,11,FALSE)&lt;&gt;"",IF(VLOOKUP(A17,Ergebnis_je_Aktie_verwässert!A3:AK68,11,FALSE)&lt;&gt;"",IF(VLOOKUP(A17,Ergebnis_je_Aktie_verwässert!A3:AK68,11,FALSE)&lt;=0,9.99999,VLOOKUP(A17,Dividende_je_Aktie!A3:AM68,11,FALSE)/VLOOKUP(A17,Ergebnis_je_Aktie_verwässert!A3:AK68,11,FALSE)),""),"")</f>
        <v>0.64189189189189189</v>
      </c>
      <c r="L17" s="5">
        <f>IF(VLOOKUP(A17,Dividende_je_Aktie!A3:AM68,12,FALSE)&lt;&gt;"",IF(VLOOKUP(A17,Ergebnis_je_Aktie_verwässert!A3:AK68,12,FALSE)&lt;&gt;"",IF(VLOOKUP(A17,Ergebnis_je_Aktie_verwässert!A3:AK68,12,FALSE)&lt;=0,9.99999,VLOOKUP(A17,Dividende_je_Aktie!A3:AM68,12,FALSE)/VLOOKUP(A17,Ergebnis_je_Aktie_verwässert!A3:AK68,12,FALSE)),""),"")</f>
        <v>0.55183946488294311</v>
      </c>
      <c r="M17" s="5">
        <f>IF(VLOOKUP(A17,Dividende_je_Aktie!A3:AM68,13,FALSE)&lt;&gt;"",IF(VLOOKUP(A17,Ergebnis_je_Aktie_verwässert!A3:AK68,13,FALSE)&lt;&gt;"",IF(VLOOKUP(A17,Ergebnis_je_Aktie_verwässert!A3:AK68,13,FALSE)&lt;=0,9.99999,VLOOKUP(A17,Dividende_je_Aktie!A3:AM68,13,FALSE)/VLOOKUP(A17,Ergebnis_je_Aktie_verwässert!A3:AK68,13,FALSE)),""),"")</f>
        <v>0.95541401273885351</v>
      </c>
      <c r="N17" s="5">
        <f>IF(VLOOKUP(A17,Dividende_je_Aktie!A3:AM68,14,FALSE)&lt;&gt;"",IF(VLOOKUP(A17,Ergebnis_je_Aktie_verwässert!A3:AK68,14,FALSE)&lt;&gt;"",IF(VLOOKUP(A17,Ergebnis_je_Aktie_verwässert!A3:AK68,14,FALSE)&lt;=0,9.99999,VLOOKUP(A17,Dividende_je_Aktie!A3:AM68,14,FALSE)/VLOOKUP(A17,Ergebnis_je_Aktie_verwässert!A3:AK68,14,FALSE)),""),"")</f>
        <v>0.82352941176470584</v>
      </c>
      <c r="O17" s="5">
        <f>IF(VLOOKUP(A17,Dividende_je_Aktie!A3:AM68,15,FALSE)&lt;&gt;"",IF(VLOOKUP(A17,Ergebnis_je_Aktie_verwässert!A3:AK68,15,FALSE)&lt;&gt;"",IF(VLOOKUP(A17,Ergebnis_je_Aktie_verwässert!A3:AK68,15,FALSE)&lt;=0,9.99999,VLOOKUP(A17,Dividende_je_Aktie!A3:AM68,15,FALSE)/VLOOKUP(A17,Ergebnis_je_Aktie_verwässert!A3:AK68,15,FALSE)),""),"")</f>
        <v>0.63063063063063052</v>
      </c>
      <c r="P17" s="5">
        <f>IF(VLOOKUP(A17,Dividende_je_Aktie!A3:AM68,16,FALSE)&lt;&gt;"",IF(VLOOKUP(A17,Ergebnis_je_Aktie_verwässert!A3:AK68,16,FALSE)&lt;&gt;"",IF(VLOOKUP(A17,Ergebnis_je_Aktie_verwässert!A3:AK68,16,FALSE)&lt;=0,9.99999,VLOOKUP(A17,Dividende_je_Aktie!A3:AM68,16,FALSE)/VLOOKUP(A17,Ergebnis_je_Aktie_verwässert!A3:AK68,16,FALSE)),""),"")</f>
        <v>0.35526315789473689</v>
      </c>
      <c r="Q17" s="5">
        <f>IF(VLOOKUP(A17,Dividende_je_Aktie!A3:AM68,17,FALSE)&lt;&gt;"",IF(VLOOKUP(A17,Ergebnis_je_Aktie_verwässert!A3:AK68,17,FALSE)&lt;&gt;"",IF(VLOOKUP(A17,Ergebnis_je_Aktie_verwässert!A3:AK68,17,FALSE)&lt;=0,9.99999,VLOOKUP(A17,Dividende_je_Aktie!A3:AM68,17,FALSE)/VLOOKUP(A17,Ergebnis_je_Aktie_verwässert!A3:AK68,17,FALSE)),""),"")</f>
        <v>0.4504504504504504</v>
      </c>
      <c r="R17" s="5">
        <f>IF(VLOOKUP(A17,Dividende_je_Aktie!A3:AM68,18,FALSE)&lt;&gt;"",IF(VLOOKUP(A17,Ergebnis_je_Aktie_verwässert!A3:AK68,18,FALSE)&lt;&gt;"",IF(VLOOKUP(A17,Ergebnis_je_Aktie_verwässert!A3:AK68,18,FALSE)&lt;=0,9.99999,VLOOKUP(A17,Dividende_je_Aktie!A3:AM68,18,FALSE)/VLOOKUP(A17,Ergebnis_je_Aktie_verwässert!A3:AK68,18,FALSE)),""),"")</f>
        <v>0.43378995433789952</v>
      </c>
      <c r="S17" s="10">
        <f t="shared" si="5"/>
        <v>0.56024082673170372</v>
      </c>
      <c r="T17" s="4">
        <f t="shared" ca="1" si="0"/>
        <v>0</v>
      </c>
      <c r="U17" s="4">
        <f t="shared" ca="1" si="1"/>
        <v>73</v>
      </c>
      <c r="V17" s="4">
        <f t="shared" ca="1" si="2"/>
        <v>287</v>
      </c>
      <c r="W17" s="10">
        <f t="shared" ca="1" si="3"/>
        <v>0.4732229913920844</v>
      </c>
      <c r="X17" s="5">
        <f t="shared" ca="1" si="4"/>
        <v>-0.15532219571939854</v>
      </c>
    </row>
    <row r="18" spans="1:24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5">
        <f>IF(VLOOKUP(A18,Dividende_je_Aktie!A3:AM68,6,FALSE)&lt;&gt;"",IF(VLOOKUP(A18,Ergebnis_je_Aktie_verwässert!A3:AK68,6,FALSE)&lt;&gt;"",IF(VLOOKUP(A18,Ergebnis_je_Aktie_verwässert!A3:AK68,6,FALSE)&lt;=0,9.99999,VLOOKUP(A18,Dividende_je_Aktie!A3:AM68,6,FALSE)/VLOOKUP(A18,Ergebnis_je_Aktie_verwässert!A3:AK68,6,FALSE)),""),"")</f>
        <v>0.38805970149253732</v>
      </c>
      <c r="G18" s="5">
        <f>IF(VLOOKUP(A18,Dividende_je_Aktie!A3:AM68,7,FALSE)&lt;&gt;"",IF(VLOOKUP(A18,Ergebnis_je_Aktie_verwässert!A3:AK68,7,FALSE)&lt;&gt;"",IF(VLOOKUP(A18,Ergebnis_je_Aktie_verwässert!A3:AK68,7,FALSE)&lt;=0,9.99999,VLOOKUP(A18,Dividende_je_Aktie!A3:AM68,7,FALSE)/VLOOKUP(A18,Ergebnis_je_Aktie_verwässert!A3:AK68,7,FALSE)),""),"")</f>
        <v>0.4098360655737705</v>
      </c>
      <c r="H18" s="5">
        <f>IF(VLOOKUP(A18,Dividende_je_Aktie!A3:AM68,8,FALSE)&lt;&gt;"",IF(VLOOKUP(A18,Ergebnis_je_Aktie_verwässert!A3:AK68,8,FALSE)&lt;&gt;"",IF(VLOOKUP(A18,Ergebnis_je_Aktie_verwässert!A3:AK68,8,FALSE)&lt;=0,9.99999,VLOOKUP(A18,Dividende_je_Aktie!A3:AM68,8,FALSE)/VLOOKUP(A18,Ergebnis_je_Aktie_verwässert!A3:AK68,8,FALSE)),""),"")</f>
        <v>0.39999999999999997</v>
      </c>
      <c r="I18" s="5">
        <f>IF(VLOOKUP(A18,Dividende_je_Aktie!A3:AM68,9,FALSE)&lt;&gt;"",IF(VLOOKUP(A18,Ergebnis_je_Aktie_verwässert!A3:AK68,9,FALSE)&lt;&gt;"",IF(VLOOKUP(A18,Ergebnis_je_Aktie_verwässert!A3:AK68,9,FALSE)&lt;=0,9.99999,VLOOKUP(A18,Dividende_je_Aktie!A3:AM68,9,FALSE)/VLOOKUP(A18,Ergebnis_je_Aktie_verwässert!A3:AK68,9,FALSE)),""),"")</f>
        <v>0.83333333333333337</v>
      </c>
      <c r="J18" s="5">
        <f>IF(VLOOKUP(A18,Dividende_je_Aktie!A3:AM68,10,FALSE)&lt;&gt;"",IF(VLOOKUP(A18,Ergebnis_je_Aktie_verwässert!A3:AK68,10,FALSE)&lt;&gt;"",IF(VLOOKUP(A18,Ergebnis_je_Aktie_verwässert!A3:AK68,10,FALSE)&lt;=0,9.99999,VLOOKUP(A18,Dividende_je_Aktie!A3:AM68,10,FALSE)/VLOOKUP(A18,Ergebnis_je_Aktie_verwässert!A3:AK68,10,FALSE)),""),"")</f>
        <v>1.4999999999999998</v>
      </c>
      <c r="K18" s="5">
        <f>IF(VLOOKUP(A18,Dividende_je_Aktie!A3:AM68,11,FALSE)&lt;&gt;"",IF(VLOOKUP(A18,Ergebnis_je_Aktie_verwässert!A3:AK68,11,FALSE)&lt;&gt;"",IF(VLOOKUP(A18,Ergebnis_je_Aktie_verwässert!A3:AK68,11,FALSE)&lt;=0,9.99999,VLOOKUP(A18,Dividende_je_Aktie!A3:AM68,11,FALSE)/VLOOKUP(A18,Ergebnis_je_Aktie_verwässert!A3:AK68,11,FALSE)),""),"")</f>
        <v>2.7272727272727271</v>
      </c>
      <c r="L18" s="5">
        <f>IF(VLOOKUP(A18,Dividende_je_Aktie!A3:AM68,12,FALSE)&lt;&gt;"",IF(VLOOKUP(A18,Ergebnis_je_Aktie_verwässert!A3:AK68,12,FALSE)&lt;&gt;"",IF(VLOOKUP(A18,Ergebnis_je_Aktie_verwässert!A3:AK68,12,FALSE)&lt;=0,9.99999,VLOOKUP(A18,Dividende_je_Aktie!A3:AM68,12,FALSE)/VLOOKUP(A18,Ergebnis_je_Aktie_verwässert!A3:AK68,12,FALSE)),""),"")</f>
        <v>1.3</v>
      </c>
      <c r="M18" s="5">
        <f>IF(VLOOKUP(A18,Dividende_je_Aktie!A3:AM68,13,FALSE)&lt;&gt;"",IF(VLOOKUP(A18,Ergebnis_je_Aktie_verwässert!A3:AK68,13,FALSE)&lt;&gt;"",IF(VLOOKUP(A18,Ergebnis_je_Aktie_verwässert!A3:AK68,13,FALSE)&lt;=0,9.99999,VLOOKUP(A18,Dividende_je_Aktie!A3:AM68,13,FALSE)/VLOOKUP(A18,Ergebnis_je_Aktie_verwässert!A3:AK68,13,FALSE)),""),"")</f>
        <v>0.63829787234042556</v>
      </c>
      <c r="N18" s="5">
        <f>IF(VLOOKUP(A18,Dividende_je_Aktie!A3:AM68,14,FALSE)&lt;&gt;"",IF(VLOOKUP(A18,Ergebnis_je_Aktie_verwässert!A3:AK68,14,FALSE)&lt;&gt;"",IF(VLOOKUP(A18,Ergebnis_je_Aktie_verwässert!A3:AK68,14,FALSE)&lt;=0,9.99999,VLOOKUP(A18,Dividende_je_Aktie!A3:AM68,14,FALSE)/VLOOKUP(A18,Ergebnis_je_Aktie_verwässert!A3:AK68,14,FALSE)),""),"")</f>
        <v>0.57692307692307687</v>
      </c>
      <c r="O18" s="5">
        <f>IF(VLOOKUP(A18,Dividende_je_Aktie!A3:AM68,15,FALSE)&lt;&gt;"",IF(VLOOKUP(A18,Ergebnis_je_Aktie_verwässert!A3:AK68,15,FALSE)&lt;&gt;"",IF(VLOOKUP(A18,Ergebnis_je_Aktie_verwässert!A3:AK68,15,FALSE)&lt;=0,9.99999,VLOOKUP(A18,Dividende_je_Aktie!A3:AM68,15,FALSE)/VLOOKUP(A18,Ergebnis_je_Aktie_verwässert!A3:AK68,15,FALSE)),""),"")</f>
        <v>0.53719008264462809</v>
      </c>
      <c r="P18" s="5">
        <f>IF(VLOOKUP(A18,Dividende_je_Aktie!A3:AM68,16,FALSE)&lt;&gt;"",IF(VLOOKUP(A18,Ergebnis_je_Aktie_verwässert!A3:AK68,16,FALSE)&lt;&gt;"",IF(VLOOKUP(A18,Ergebnis_je_Aktie_verwässert!A3:AK68,16,FALSE)&lt;=0,9.99999,VLOOKUP(A18,Dividende_je_Aktie!A3:AM68,16,FALSE)/VLOOKUP(A18,Ergebnis_je_Aktie_verwässert!A3:AK68,16,FALSE)),""),"")</f>
        <v>0.46099290780141849</v>
      </c>
      <c r="Q18" s="5">
        <f>IF(VLOOKUP(A18,Dividende_je_Aktie!A3:AM68,17,FALSE)&lt;&gt;"",IF(VLOOKUP(A18,Ergebnis_je_Aktie_verwässert!A3:AK68,17,FALSE)&lt;&gt;"",IF(VLOOKUP(A18,Ergebnis_je_Aktie_verwässert!A3:AK68,17,FALSE)&lt;=0,9.99999,VLOOKUP(A18,Dividende_je_Aktie!A3:AM68,17,FALSE)/VLOOKUP(A18,Ergebnis_je_Aktie_verwässert!A3:AK68,17,FALSE)),""),"")</f>
        <v>0.42975206611570249</v>
      </c>
      <c r="R18" s="5">
        <f>IF(VLOOKUP(A18,Dividende_je_Aktie!A3:AM68,18,FALSE)&lt;&gt;"",IF(VLOOKUP(A18,Ergebnis_je_Aktie_verwässert!A3:AK68,18,FALSE)&lt;&gt;"",IF(VLOOKUP(A18,Ergebnis_je_Aktie_verwässert!A3:AK68,18,FALSE)&lt;=0,9.99999,VLOOKUP(A18,Dividende_je_Aktie!A3:AM68,18,FALSE)/VLOOKUP(A18,Ergebnis_je_Aktie_verwässert!A3:AK68,18,FALSE)),""),"")</f>
        <v>0.42</v>
      </c>
      <c r="S18" s="10">
        <f t="shared" si="5"/>
        <v>0.81705060257674</v>
      </c>
      <c r="T18" s="4">
        <f t="shared" ca="1" si="0"/>
        <v>0</v>
      </c>
      <c r="U18" s="4">
        <f t="shared" ca="1" si="1"/>
        <v>73</v>
      </c>
      <c r="V18" s="4">
        <f t="shared" ca="1" si="2"/>
        <v>287</v>
      </c>
      <c r="W18" s="10">
        <f t="shared" ca="1" si="3"/>
        <v>0.40199453551912567</v>
      </c>
      <c r="X18" s="5">
        <f t="shared" ca="1" si="4"/>
        <v>-0.50799309828381278</v>
      </c>
    </row>
    <row r="19" spans="1:24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5">
        <f>IF(VLOOKUP(A19,Dividende_je_Aktie!A3:AM68,6,FALSE)&lt;&gt;"",IF(VLOOKUP(A19,Ergebnis_je_Aktie_verwässert!A3:AK68,6,FALSE)&lt;&gt;"",IF(VLOOKUP(A19,Ergebnis_je_Aktie_verwässert!A3:AK68,6,FALSE)&lt;=0,9.99999,VLOOKUP(A19,Dividende_je_Aktie!A3:AM68,6,FALSE)/VLOOKUP(A19,Ergebnis_je_Aktie_verwässert!A3:AK68,6,FALSE)),""),"")</f>
        <v>0.70754716981132071</v>
      </c>
      <c r="G19" s="5">
        <f>IF(VLOOKUP(A19,Dividende_je_Aktie!A3:AM68,7,FALSE)&lt;&gt;"",IF(VLOOKUP(A19,Ergebnis_je_Aktie_verwässert!A3:AK68,7,FALSE)&lt;&gt;"",IF(VLOOKUP(A19,Ergebnis_je_Aktie_verwässert!A3:AK68,7,FALSE)&lt;=0,9.99999,VLOOKUP(A19,Dividende_je_Aktie!A3:AM68,7,FALSE)/VLOOKUP(A19,Ergebnis_je_Aktie_verwässert!A3:AK68,7,FALSE)),""),"")</f>
        <v>0.74999999999999989</v>
      </c>
      <c r="H19" s="5">
        <f>IF(VLOOKUP(A19,Dividende_je_Aktie!A3:AM68,8,FALSE)&lt;&gt;"",IF(VLOOKUP(A19,Ergebnis_je_Aktie_verwässert!A3:AK68,8,FALSE)&lt;&gt;"",IF(VLOOKUP(A19,Ergebnis_je_Aktie_verwässert!A3:AK68,8,FALSE)&lt;=0,9.99999,VLOOKUP(A19,Dividende_je_Aktie!A3:AM68,8,FALSE)/VLOOKUP(A19,Ergebnis_je_Aktie_verwässert!A3:AK68,8,FALSE)),""),"")</f>
        <v>0.83529411764705885</v>
      </c>
      <c r="I19" s="5">
        <f>IF(VLOOKUP(A19,Dividende_je_Aktie!A3:AM68,9,FALSE)&lt;&gt;"",IF(VLOOKUP(A19,Ergebnis_je_Aktie_verwässert!A3:AK68,9,FALSE)&lt;&gt;"",IF(VLOOKUP(A19,Ergebnis_je_Aktie_verwässert!A3:AK68,9,FALSE)&lt;=0,9.99999,VLOOKUP(A19,Dividende_je_Aktie!A3:AM68,9,FALSE)/VLOOKUP(A19,Ergebnis_je_Aktie_verwässert!A3:AK68,9,FALSE)),""),"")</f>
        <v>0.65573770491803285</v>
      </c>
      <c r="J19" s="5">
        <f>IF(VLOOKUP(A19,Dividende_je_Aktie!A3:AM68,10,FALSE)&lt;&gt;"",IF(VLOOKUP(A19,Ergebnis_je_Aktie_verwässert!A3:AK68,10,FALSE)&lt;&gt;"",IF(VLOOKUP(A19,Ergebnis_je_Aktie_verwässert!A3:AK68,10,FALSE)&lt;=0,9.99999,VLOOKUP(A19,Dividende_je_Aktie!A3:AM68,10,FALSE)/VLOOKUP(A19,Ergebnis_je_Aktie_verwässert!A3:AK68,10,FALSE)),""),"")</f>
        <v>0.74257425742574257</v>
      </c>
      <c r="K19" s="5">
        <f>IF(VLOOKUP(A19,Dividende_je_Aktie!A3:AM68,11,FALSE)&lt;&gt;"",IF(VLOOKUP(A19,Ergebnis_je_Aktie_verwässert!A3:AK68,11,FALSE)&lt;&gt;"",IF(VLOOKUP(A19,Ergebnis_je_Aktie_verwässert!A3:AK68,11,FALSE)&lt;=0,9.99999,VLOOKUP(A19,Dividende_je_Aktie!A3:AM68,11,FALSE)/VLOOKUP(A19,Ergebnis_je_Aktie_verwässert!A3:AK68,11,FALSE)),""),"")</f>
        <v>0.94252873563218387</v>
      </c>
      <c r="L19" s="5">
        <f>IF(VLOOKUP(A19,Dividende_je_Aktie!A3:AM68,12,FALSE)&lt;&gt;"",IF(VLOOKUP(A19,Ergebnis_je_Aktie_verwässert!A3:AK68,12,FALSE)&lt;&gt;"",IF(VLOOKUP(A19,Ergebnis_je_Aktie_verwässert!A3:AK68,12,FALSE)&lt;=0,9.99999,VLOOKUP(A19,Dividende_je_Aktie!A3:AM68,12,FALSE)/VLOOKUP(A19,Ergebnis_je_Aktie_verwässert!A3:AK68,12,FALSE)),""),"")</f>
        <v>1.2666666666666668</v>
      </c>
      <c r="M19" s="5">
        <f>IF(VLOOKUP(A19,Dividende_je_Aktie!A3:AM68,13,FALSE)&lt;&gt;"",IF(VLOOKUP(A19,Ergebnis_je_Aktie_verwässert!A3:AK68,13,FALSE)&lt;&gt;"",IF(VLOOKUP(A19,Ergebnis_je_Aktie_verwässert!A3:AK68,13,FALSE)&lt;=0,9.99999,VLOOKUP(A19,Dividende_je_Aktie!A3:AM68,13,FALSE)/VLOOKUP(A19,Ergebnis_je_Aktie_verwässert!A3:AK68,13,FALSE)),""),"")</f>
        <v>0.57777777777777783</v>
      </c>
      <c r="N19" s="5">
        <f>IF(VLOOKUP(A19,Dividende_je_Aktie!A3:AM68,14,FALSE)&lt;&gt;"",IF(VLOOKUP(A19,Ergebnis_je_Aktie_verwässert!A3:AK68,14,FALSE)&lt;&gt;"",IF(VLOOKUP(A19,Ergebnis_je_Aktie_verwässert!A3:AK68,14,FALSE)&lt;=0,9.99999,VLOOKUP(A19,Dividende_je_Aktie!A3:AM68,14,FALSE)/VLOOKUP(A19,Ergebnis_je_Aktie_verwässert!A3:AK68,14,FALSE)),""),"")</f>
        <v>0.58479532163742687</v>
      </c>
      <c r="O19" s="5">
        <f>IF(VLOOKUP(A19,Dividende_je_Aktie!A3:AM68,15,FALSE)&lt;&gt;"",IF(VLOOKUP(A19,Ergebnis_je_Aktie_verwässert!A3:AK68,15,FALSE)&lt;&gt;"",IF(VLOOKUP(A19,Ergebnis_je_Aktie_verwässert!A3:AK68,15,FALSE)&lt;=0,9.99999,VLOOKUP(A19,Dividende_je_Aktie!A3:AM68,15,FALSE)/VLOOKUP(A19,Ergebnis_je_Aktie_verwässert!A3:AK68,15,FALSE)),""),"")</f>
        <v>0.55214723926380371</v>
      </c>
      <c r="P19" s="5">
        <f>IF(VLOOKUP(A19,Dividende_je_Aktie!A3:AM68,16,FALSE)&lt;&gt;"",IF(VLOOKUP(A19,Ergebnis_je_Aktie_verwässert!A3:AK68,16,FALSE)&lt;&gt;"",IF(VLOOKUP(A19,Ergebnis_je_Aktie_verwässert!A3:AK68,16,FALSE)&lt;=0,9.99999,VLOOKUP(A19,Dividende_je_Aktie!A3:AM68,16,FALSE)/VLOOKUP(A19,Ergebnis_je_Aktie_verwässert!A3:AK68,16,FALSE)),""),"")</f>
        <v>0.34759358288770054</v>
      </c>
      <c r="Q19" s="5">
        <f>IF(VLOOKUP(A19,Dividende_je_Aktie!A3:AM68,17,FALSE)&lt;&gt;"",IF(VLOOKUP(A19,Ergebnis_je_Aktie_verwässert!A3:AK68,17,FALSE)&lt;&gt;"",IF(VLOOKUP(A19,Ergebnis_je_Aktie_verwässert!A3:AK68,17,FALSE)&lt;=0,9.99999,VLOOKUP(A19,Dividende_je_Aktie!A3:AM68,17,FALSE)/VLOOKUP(A19,Ergebnis_je_Aktie_verwässert!A3:AK68,17,FALSE)),""),"")</f>
        <v>0.42307692307692307</v>
      </c>
      <c r="R19" s="5">
        <f>IF(VLOOKUP(A19,Dividende_je_Aktie!A3:AM68,18,FALSE)&lt;&gt;"",IF(VLOOKUP(A19,Ergebnis_je_Aktie_verwässert!A3:AK68,18,FALSE)&lt;&gt;"",IF(VLOOKUP(A19,Ergebnis_je_Aktie_verwässert!A3:AK68,18,FALSE)&lt;=0,9.99999,VLOOKUP(A19,Dividende_je_Aktie!A3:AM68,18,FALSE)/VLOOKUP(A19,Ergebnis_je_Aktie_verwässert!A3:AK68,18,FALSE)),""),"")</f>
        <v>0.54945054945054939</v>
      </c>
      <c r="S19" s="10">
        <f t="shared" si="5"/>
        <v>0.68732231124578358</v>
      </c>
      <c r="T19" s="4">
        <f t="shared" ca="1" si="0"/>
        <v>0</v>
      </c>
      <c r="U19" s="4">
        <f t="shared" ca="1" si="1"/>
        <v>73</v>
      </c>
      <c r="V19" s="4">
        <f t="shared" ca="1" si="2"/>
        <v>287</v>
      </c>
      <c r="W19" s="10">
        <f t="shared" ca="1" si="3"/>
        <v>0.81799836601307185</v>
      </c>
      <c r="X19" s="5">
        <f t="shared" ca="1" si="4"/>
        <v>0.19012340008348572</v>
      </c>
    </row>
    <row r="20" spans="1:24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5">
        <f>IF(VLOOKUP(A20,Dividende_je_Aktie!A3:AM68,6,FALSE)&lt;&gt;"",IF(VLOOKUP(A20,Ergebnis_je_Aktie_verwässert!A3:AK68,6,FALSE)&lt;&gt;"",IF(VLOOKUP(A20,Ergebnis_je_Aktie_verwässert!A3:AK68,6,FALSE)&lt;=0,9.99999,VLOOKUP(A20,Dividende_je_Aktie!A3:AM68,6,FALSE)/VLOOKUP(A20,Ergebnis_je_Aktie_verwässert!A3:AK68,6,FALSE)),""),"")</f>
        <v>0.4981884057971015</v>
      </c>
      <c r="G20" s="5">
        <f>IF(VLOOKUP(A20,Dividende_je_Aktie!A3:AM68,7,FALSE)&lt;&gt;"",IF(VLOOKUP(A20,Ergebnis_je_Aktie_verwässert!A3:AK68,7,FALSE)&lt;&gt;"",IF(VLOOKUP(A20,Ergebnis_je_Aktie_verwässert!A3:AK68,7,FALSE)&lt;=0,9.99999,VLOOKUP(A20,Dividende_je_Aktie!A3:AM68,7,FALSE)/VLOOKUP(A20,Ergebnis_je_Aktie_verwässert!A3:AK68,7,FALSE)),""),"")</f>
        <v>0.59471365638766527</v>
      </c>
      <c r="H20" s="5">
        <f>IF(VLOOKUP(A20,Dividende_je_Aktie!A3:AM68,8,FALSE)&lt;&gt;"",IF(VLOOKUP(A20,Ergebnis_je_Aktie_verwässert!A3:AK68,8,FALSE)&lt;&gt;"",IF(VLOOKUP(A20,Ergebnis_je_Aktie_verwässert!A3:AK68,8,FALSE)&lt;=0,9.99999,VLOOKUP(A20,Dividende_je_Aktie!A3:AM68,8,FALSE)/VLOOKUP(A20,Ergebnis_je_Aktie_verwässert!A3:AK68,8,FALSE)),""),"")</f>
        <v>0.81212121212121224</v>
      </c>
      <c r="I20" s="5">
        <f>IF(VLOOKUP(A20,Dividende_je_Aktie!A3:AM68,9,FALSE)&lt;&gt;"",IF(VLOOKUP(A20,Ergebnis_je_Aktie_verwässert!A3:AK68,9,FALSE)&lt;&gt;"",IF(VLOOKUP(A20,Ergebnis_je_Aktie_verwässert!A3:AK68,9,FALSE)&lt;=0,9.99999,VLOOKUP(A20,Dividende_je_Aktie!A3:AM68,9,FALSE)/VLOOKUP(A20,Ergebnis_je_Aktie_verwässert!A3:AK68,9,FALSE)),""),"")</f>
        <v>1.3109756097560976</v>
      </c>
      <c r="J20" s="5">
        <f>IF(VLOOKUP(A20,Dividende_je_Aktie!A3:AM68,10,FALSE)&lt;&gt;"",IF(VLOOKUP(A20,Ergebnis_je_Aktie_verwässert!A3:AK68,10,FALSE)&lt;&gt;"",IF(VLOOKUP(A20,Ergebnis_je_Aktie_verwässert!A3:AK68,10,FALSE)&lt;=0,9.99999,VLOOKUP(A20,Dividende_je_Aktie!A3:AM68,10,FALSE)/VLOOKUP(A20,Ergebnis_je_Aktie_verwässert!A3:AK68,10,FALSE)),""),"")</f>
        <v>0.63978494623655913</v>
      </c>
      <c r="K20" s="5">
        <f>IF(VLOOKUP(A20,Dividende_je_Aktie!A3:AM68,11,FALSE)&lt;&gt;"",IF(VLOOKUP(A20,Ergebnis_je_Aktie_verwässert!A3:AK68,11,FALSE)&lt;&gt;"",IF(VLOOKUP(A20,Ergebnis_je_Aktie_verwässert!A3:AK68,11,FALSE)&lt;=0,9.99999,VLOOKUP(A20,Dividende_je_Aktie!A3:AM68,11,FALSE)/VLOOKUP(A20,Ergebnis_je_Aktie_verwässert!A3:AK68,11,FALSE)),""),"")</f>
        <v>0.49576271186440679</v>
      </c>
      <c r="L20" s="5">
        <f>IF(VLOOKUP(A20,Dividende_je_Aktie!A3:AM68,12,FALSE)&lt;&gt;"",IF(VLOOKUP(A20,Ergebnis_je_Aktie_verwässert!A3:AK68,12,FALSE)&lt;&gt;"",IF(VLOOKUP(A20,Ergebnis_je_Aktie_verwässert!A3:AK68,12,FALSE)&lt;=0,9.99999,VLOOKUP(A20,Dividende_je_Aktie!A3:AM68,12,FALSE)/VLOOKUP(A20,Ergebnis_je_Aktie_verwässert!A3:AK68,12,FALSE)),""),"")</f>
        <v>0.41911764705882348</v>
      </c>
      <c r="M20" s="5">
        <f>IF(VLOOKUP(A20,Dividende_je_Aktie!A3:AM68,13,FALSE)&lt;&gt;"",IF(VLOOKUP(A20,Ergebnis_je_Aktie_verwässert!A3:AK68,13,FALSE)&lt;&gt;"",IF(VLOOKUP(A20,Ergebnis_je_Aktie_verwässert!A3:AK68,13,FALSE)&lt;=0,9.99999,VLOOKUP(A20,Dividende_je_Aktie!A3:AM68,13,FALSE)/VLOOKUP(A20,Ergebnis_je_Aktie_verwässert!A3:AK68,13,FALSE)),""),"")</f>
        <v>0.48407643312101906</v>
      </c>
      <c r="N20" s="5">
        <f>IF(VLOOKUP(A20,Dividende_je_Aktie!A3:AM68,14,FALSE)&lt;&gt;"",IF(VLOOKUP(A20,Ergebnis_je_Aktie_verwässert!A3:AK68,14,FALSE)&lt;&gt;"",IF(VLOOKUP(A20,Ergebnis_je_Aktie_verwässert!A3:AK68,14,FALSE)&lt;=0,9.99999,VLOOKUP(A20,Dividende_je_Aktie!A3:AM68,14,FALSE)/VLOOKUP(A20,Ergebnis_je_Aktie_verwässert!A3:AK68,14,FALSE)),""),"")</f>
        <v>0.60317460317460314</v>
      </c>
      <c r="O20" s="5">
        <f>IF(VLOOKUP(A20,Dividende_je_Aktie!A3:AM68,15,FALSE)&lt;&gt;"",IF(VLOOKUP(A20,Ergebnis_je_Aktie_verwässert!A3:AK68,15,FALSE)&lt;&gt;"",IF(VLOOKUP(A20,Ergebnis_je_Aktie_verwässert!A3:AK68,15,FALSE)&lt;=0,9.99999,VLOOKUP(A20,Dividende_je_Aktie!A3:AM68,15,FALSE)/VLOOKUP(A20,Ergebnis_je_Aktie_verwässert!A3:AK68,15,FALSE)),""),"")</f>
        <v>0.48407643312101906</v>
      </c>
      <c r="P20" s="5">
        <f>IF(VLOOKUP(A20,Dividende_je_Aktie!A3:AM68,16,FALSE)&lt;&gt;"",IF(VLOOKUP(A20,Ergebnis_je_Aktie_verwässert!A3:AK68,16,FALSE)&lt;&gt;"",IF(VLOOKUP(A20,Ergebnis_je_Aktie_verwässert!A3:AK68,16,FALSE)&lt;=0,9.99999,VLOOKUP(A20,Dividende_je_Aktie!A3:AM68,16,FALSE)/VLOOKUP(A20,Ergebnis_je_Aktie_verwässert!A3:AK68,16,FALSE)),""),"")</f>
        <v>0.35689655172413792</v>
      </c>
      <c r="Q20" s="5">
        <f>IF(VLOOKUP(A20,Dividende_je_Aktie!A3:AM68,17,FALSE)&lt;&gt;"",IF(VLOOKUP(A20,Ergebnis_je_Aktie_verwässert!A3:AK68,17,FALSE)&lt;&gt;"",IF(VLOOKUP(A20,Ergebnis_je_Aktie_verwässert!A3:AK68,17,FALSE)&lt;=0,9.99999,VLOOKUP(A20,Dividende_je_Aktie!A3:AM68,17,FALSE)/VLOOKUP(A20,Ergebnis_je_Aktie_verwässert!A3:AK68,17,FALSE)),""),"")</f>
        <v>0.36738703339882123</v>
      </c>
      <c r="R20" s="5">
        <f>IF(VLOOKUP(A20,Dividende_je_Aktie!A3:AM68,18,FALSE)&lt;&gt;"",IF(VLOOKUP(A20,Ergebnis_je_Aktie_verwässert!A3:AK68,18,FALSE)&lt;&gt;"",IF(VLOOKUP(A20,Ergebnis_je_Aktie_verwässert!A3:AK68,18,FALSE)&lt;=0,9.99999,VLOOKUP(A20,Dividende_je_Aktie!A3:AM68,18,FALSE)/VLOOKUP(A20,Ergebnis_je_Aktie_verwässert!A3:AK68,18,FALSE)),""),"")</f>
        <v>0.31153846153846154</v>
      </c>
      <c r="S20" s="10">
        <f t="shared" si="5"/>
        <v>0.56752413117691747</v>
      </c>
      <c r="T20" s="4">
        <f t="shared" ca="1" si="0"/>
        <v>0</v>
      </c>
      <c r="U20" s="4">
        <f t="shared" ca="1" si="1"/>
        <v>73</v>
      </c>
      <c r="V20" s="4">
        <f t="shared" ca="1" si="2"/>
        <v>287</v>
      </c>
      <c r="W20" s="10">
        <f t="shared" ca="1" si="3"/>
        <v>0.76803579109746534</v>
      </c>
      <c r="X20" s="5">
        <f t="shared" ca="1" si="4"/>
        <v>0.35330948748334579</v>
      </c>
    </row>
    <row r="21" spans="1:24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5">
        <f>IF(VLOOKUP(A21,Dividende_je_Aktie!A3:AM68,6,FALSE)&lt;&gt;"",IF(VLOOKUP(A21,Ergebnis_je_Aktie_verwässert!A3:AK68,6,FALSE)&lt;&gt;"",IF(VLOOKUP(A21,Ergebnis_je_Aktie_verwässert!A3:AK68,6,FALSE)&lt;=0,9.99999,VLOOKUP(A21,Dividende_je_Aktie!A3:AM68,6,FALSE)/VLOOKUP(A21,Ergebnis_je_Aktie_verwässert!A3:AK68,6,FALSE)),""),"")</f>
        <v>0.55855855855855863</v>
      </c>
      <c r="G21" s="5">
        <f>IF(VLOOKUP(A21,Dividende_je_Aktie!A3:AM68,7,FALSE)&lt;&gt;"",IF(VLOOKUP(A21,Ergebnis_je_Aktie_verwässert!A3:AK68,7,FALSE)&lt;&gt;"",IF(VLOOKUP(A21,Ergebnis_je_Aktie_verwässert!A3:AK68,7,FALSE)&lt;=0,9.99999,VLOOKUP(A21,Dividende_je_Aktie!A3:AM68,7,FALSE)/VLOOKUP(A21,Ergebnis_je_Aktie_verwässert!A3:AK68,7,FALSE)),""),"")</f>
        <v>0.55483870967741933</v>
      </c>
      <c r="H21" s="5">
        <f>IF(VLOOKUP(A21,Dividende_je_Aktie!A3:AM68,8,FALSE)&lt;&gt;"",IF(VLOOKUP(A21,Ergebnis_je_Aktie_verwässert!A3:AK68,8,FALSE)&lt;&gt;"",IF(VLOOKUP(A21,Ergebnis_je_Aktie_verwässert!A3:AK68,8,FALSE)&lt;=0,9.99999,VLOOKUP(A21,Dividende_je_Aktie!A3:AM68,8,FALSE)/VLOOKUP(A21,Ergebnis_je_Aktie_verwässert!A3:AK68,8,FALSE)),""),"")</f>
        <v>0.56382978723404265</v>
      </c>
      <c r="I21" s="5">
        <f>IF(VLOOKUP(A21,Dividende_je_Aktie!A3:AM68,9,FALSE)&lt;&gt;"",IF(VLOOKUP(A21,Ergebnis_je_Aktie_verwässert!A3:AK68,9,FALSE)&lt;&gt;"",IF(VLOOKUP(A21,Ergebnis_je_Aktie_verwässert!A3:AK68,9,FALSE)&lt;=0,9.99999,VLOOKUP(A21,Dividende_je_Aktie!A3:AM68,9,FALSE)/VLOOKUP(A21,Ergebnis_je_Aktie_verwässert!A3:AK68,9,FALSE)),""),"")</f>
        <v>0.53956834532374109</v>
      </c>
      <c r="J21" s="5">
        <f>IF(VLOOKUP(A21,Dividende_je_Aktie!A3:AM68,10,FALSE)&lt;&gt;"",IF(VLOOKUP(A21,Ergebnis_je_Aktie_verwässert!A3:AK68,10,FALSE)&lt;&gt;"",IF(VLOOKUP(A21,Ergebnis_je_Aktie_verwässert!A3:AK68,10,FALSE)&lt;=0,9.99999,VLOOKUP(A21,Dividende_je_Aktie!A3:AM68,10,FALSE)/VLOOKUP(A21,Ergebnis_je_Aktie_verwässert!A3:AK68,10,FALSE)),""),"")</f>
        <v>0.59917355371900827</v>
      </c>
      <c r="K21" s="5">
        <f>IF(VLOOKUP(A21,Dividende_je_Aktie!A3:AM68,11,FALSE)&lt;&gt;"",IF(VLOOKUP(A21,Ergebnis_je_Aktie_verwässert!A3:AK68,11,FALSE)&lt;&gt;"",IF(VLOOKUP(A21,Ergebnis_je_Aktie_verwässert!A3:AK68,11,FALSE)&lt;=0,9.99999,VLOOKUP(A21,Dividende_je_Aktie!A3:AM68,11,FALSE)/VLOOKUP(A21,Ergebnis_je_Aktie_verwässert!A3:AK68,11,FALSE)),""),"")</f>
        <v>0.52346570397111913</v>
      </c>
      <c r="L21" s="5">
        <f>IF(VLOOKUP(A21,Dividende_je_Aktie!A3:AM68,12,FALSE)&lt;&gt;"",IF(VLOOKUP(A21,Ergebnis_je_Aktie_verwässert!A3:AK68,12,FALSE)&lt;&gt;"",IF(VLOOKUP(A21,Ergebnis_je_Aktie_verwässert!A3:AK68,12,FALSE)&lt;=0,9.99999,VLOOKUP(A21,Dividende_je_Aktie!A3:AM68,12,FALSE)/VLOOKUP(A21,Ergebnis_je_Aktie_verwässert!A3:AK68,12,FALSE)),""),"")</f>
        <v>0.50180505415162446</v>
      </c>
      <c r="M21" s="5">
        <f>IF(VLOOKUP(A21,Dividende_je_Aktie!A3:AM68,13,FALSE)&lt;&gt;"",IF(VLOOKUP(A21,Ergebnis_je_Aktie_verwässert!A3:AK68,13,FALSE)&lt;&gt;"",IF(VLOOKUP(A21,Ergebnis_je_Aktie_verwässert!A3:AK68,13,FALSE)&lt;=0,9.99999,VLOOKUP(A21,Dividende_je_Aktie!A3:AM68,13,FALSE)/VLOOKUP(A21,Ergebnis_je_Aktie_verwässert!A3:AK68,13,FALSE)),""),"")</f>
        <v>0.42763157894736842</v>
      </c>
      <c r="N21" s="5">
        <f>IF(VLOOKUP(A21,Dividende_je_Aktie!A3:AM68,14,FALSE)&lt;&gt;"",IF(VLOOKUP(A21,Ergebnis_je_Aktie_verwässert!A3:AK68,14,FALSE)&lt;&gt;"",IF(VLOOKUP(A21,Ergebnis_je_Aktie_verwässert!A3:AK68,14,FALSE)&lt;=0,9.99999,VLOOKUP(A21,Dividende_je_Aktie!A3:AM68,14,FALSE)/VLOOKUP(A21,Ergebnis_je_Aktie_verwässert!A3:AK68,14,FALSE)),""),"")</f>
        <v>0.46692607003891051</v>
      </c>
      <c r="O21" s="5">
        <f>IF(VLOOKUP(A21,Dividende_je_Aktie!A3:AM68,15,FALSE)&lt;&gt;"",IF(VLOOKUP(A21,Ergebnis_je_Aktie_verwässert!A3:AK68,15,FALSE)&lt;&gt;"",IF(VLOOKUP(A21,Ergebnis_je_Aktie_verwässert!A3:AK68,15,FALSE)&lt;=0,9.99999,VLOOKUP(A21,Dividende_je_Aktie!A3:AM68,15,FALSE)/VLOOKUP(A21,Ergebnis_je_Aktie_verwässert!A3:AK68,15,FALSE)),""),"")</f>
        <v>0.43795620437956201</v>
      </c>
      <c r="P21" s="5">
        <f>IF(VLOOKUP(A21,Dividende_je_Aktie!A3:AM68,16,FALSE)&lt;&gt;"",IF(VLOOKUP(A21,Ergebnis_je_Aktie_verwässert!A3:AK68,16,FALSE)&lt;&gt;"",IF(VLOOKUP(A21,Ergebnis_je_Aktie_verwässert!A3:AK68,16,FALSE)&lt;=0,9.99999,VLOOKUP(A21,Dividende_je_Aktie!A3:AM68,16,FALSE)/VLOOKUP(A21,Ergebnis_je_Aktie_verwässert!A3:AK68,16,FALSE)),""),"")</f>
        <v>0.60109289617486339</v>
      </c>
      <c r="Q21" s="5">
        <f>IF(VLOOKUP(A21,Dividende_je_Aktie!A3:AM68,17,FALSE)&lt;&gt;"",IF(VLOOKUP(A21,Ergebnis_je_Aktie_verwässert!A3:AK68,17,FALSE)&lt;&gt;"",IF(VLOOKUP(A21,Ergebnis_je_Aktie_verwässert!A3:AK68,17,FALSE)&lt;=0,9.99999,VLOOKUP(A21,Dividende_je_Aktie!A3:AM68,17,FALSE)/VLOOKUP(A21,Ergebnis_je_Aktie_verwässert!A3:AK68,17,FALSE)),""),"")</f>
        <v>0.36101083032490977</v>
      </c>
      <c r="R21" s="5">
        <f>IF(VLOOKUP(A21,Dividende_je_Aktie!A3:AM68,18,FALSE)&lt;&gt;"",IF(VLOOKUP(A21,Ergebnis_je_Aktie_verwässert!A3:AK68,18,FALSE)&lt;&gt;"",IF(VLOOKUP(A21,Ergebnis_je_Aktie_verwässert!A3:AK68,18,FALSE)&lt;=0,9.99999,VLOOKUP(A21,Dividende_je_Aktie!A3:AM68,18,FALSE)/VLOOKUP(A21,Ergebnis_je_Aktie_verwässert!A3:AK68,18,FALSE)),""),"")</f>
        <v>0.28911564625850339</v>
      </c>
      <c r="S21" s="10">
        <f t="shared" si="5"/>
        <v>0.4942286875968947</v>
      </c>
      <c r="T21" s="4">
        <f t="shared" ca="1" si="0"/>
        <v>0</v>
      </c>
      <c r="U21" s="4">
        <f t="shared" ca="1" si="1"/>
        <v>73</v>
      </c>
      <c r="V21" s="4">
        <f t="shared" ca="1" si="2"/>
        <v>287</v>
      </c>
      <c r="W21" s="10">
        <f t="shared" ca="1" si="3"/>
        <v>0.56200659650728291</v>
      </c>
      <c r="X21" s="5">
        <f t="shared" ca="1" si="4"/>
        <v>0.13713875906303019</v>
      </c>
    </row>
    <row r="22" spans="1:24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5">
        <f>IF(VLOOKUP(A22,Dividende_je_Aktie!A3:AM68,6,FALSE)&lt;&gt;"",IF(VLOOKUP(A22,Ergebnis_je_Aktie_verwässert!A3:AK68,6,FALSE)&lt;&gt;"",IF(VLOOKUP(A22,Ergebnis_je_Aktie_verwässert!A3:AK68,6,FALSE)&lt;=0,9.99999,VLOOKUP(A22,Dividende_je_Aktie!A3:AM68,6,FALSE)/VLOOKUP(A22,Ergebnis_je_Aktie_verwässert!A3:AK68,6,FALSE)),""),"")</f>
        <v>0.67005076142131981</v>
      </c>
      <c r="G22" s="5">
        <f>IF(VLOOKUP(A22,Dividende_je_Aktie!A3:AM68,7,FALSE)&lt;&gt;"",IF(VLOOKUP(A22,Ergebnis_je_Aktie_verwässert!A3:AK68,7,FALSE)&lt;&gt;"",IF(VLOOKUP(A22,Ergebnis_je_Aktie_verwässert!A3:AK68,7,FALSE)&lt;=0,9.99999,VLOOKUP(A22,Dividende_je_Aktie!A3:AM68,7,FALSE)/VLOOKUP(A22,Ergebnis_je_Aktie_verwässert!A3:AK68,7,FALSE)),""),"")</f>
        <v>0.82692307692307687</v>
      </c>
      <c r="H22" s="5">
        <f>IF(VLOOKUP(A22,Dividende_je_Aktie!A3:AM68,8,FALSE)&lt;&gt;"",IF(VLOOKUP(A22,Ergebnis_je_Aktie_verwässert!A3:AK68,8,FALSE)&lt;&gt;"",IF(VLOOKUP(A22,Ergebnis_je_Aktie_verwässert!A3:AK68,8,FALSE)&lt;=0,9.99999,VLOOKUP(A22,Dividende_je_Aktie!A3:AM68,8,FALSE)/VLOOKUP(A22,Ergebnis_je_Aktie_verwässert!A3:AK68,8,FALSE)),""),"")</f>
        <v>0.81818181818181812</v>
      </c>
      <c r="I22" s="5">
        <f>IF(VLOOKUP(A22,Dividende_je_Aktie!A3:AM68,9,FALSE)&lt;&gt;"",IF(VLOOKUP(A22,Ergebnis_je_Aktie_verwässert!A3:AK68,9,FALSE)&lt;&gt;"",IF(VLOOKUP(A22,Ergebnis_je_Aktie_verwässert!A3:AK68,9,FALSE)&lt;=0,9.99999,VLOOKUP(A22,Dividende_je_Aktie!A3:AM68,9,FALSE)/VLOOKUP(A22,Ergebnis_je_Aktie_verwässert!A3:AK68,9,FALSE)),""),"")</f>
        <v>0.45559845559845558</v>
      </c>
      <c r="J22" s="5">
        <f>IF(VLOOKUP(A22,Dividende_je_Aktie!A3:AM68,10,FALSE)&lt;&gt;"",IF(VLOOKUP(A22,Ergebnis_je_Aktie_verwässert!A3:AK68,10,FALSE)&lt;&gt;"",IF(VLOOKUP(A22,Ergebnis_je_Aktie_verwässert!A3:AK68,10,FALSE)&lt;=0,9.99999,VLOOKUP(A22,Dividende_je_Aktie!A3:AM68,10,FALSE)/VLOOKUP(A22,Ergebnis_je_Aktie_verwässert!A3:AK68,10,FALSE)),""),"")</f>
        <v>0.56862745098039214</v>
      </c>
      <c r="K22" s="5">
        <f>IF(VLOOKUP(A22,Dividende_je_Aktie!A3:AM68,11,FALSE)&lt;&gt;"",IF(VLOOKUP(A22,Ergebnis_je_Aktie_verwässert!A3:AK68,11,FALSE)&lt;&gt;"",IF(VLOOKUP(A22,Ergebnis_je_Aktie_verwässert!A3:AK68,11,FALSE)&lt;=0,9.99999,VLOOKUP(A22,Dividende_je_Aktie!A3:AM68,11,FALSE)/VLOOKUP(A22,Ergebnis_je_Aktie_verwässert!A3:AK68,11,FALSE)),""),"")</f>
        <v>0.38888888888888895</v>
      </c>
      <c r="L22" s="5">
        <f>IF(VLOOKUP(A22,Dividende_je_Aktie!A3:AM68,12,FALSE)&lt;&gt;"",IF(VLOOKUP(A22,Ergebnis_je_Aktie_verwässert!A3:AK68,12,FALSE)&lt;&gt;"",IF(VLOOKUP(A22,Ergebnis_je_Aktie_verwässert!A3:AK68,12,FALSE)&lt;=0,9.99999,VLOOKUP(A22,Dividende_je_Aktie!A3:AM68,12,FALSE)/VLOOKUP(A22,Ergebnis_je_Aktie_verwässert!A3:AK68,12,FALSE)),""),"")</f>
        <v>0.23653395784543327</v>
      </c>
      <c r="M22" s="5">
        <f>IF(VLOOKUP(A22,Dividende_je_Aktie!A3:AM68,13,FALSE)&lt;&gt;"",IF(VLOOKUP(A22,Ergebnis_je_Aktie_verwässert!A3:AK68,13,FALSE)&lt;&gt;"",IF(VLOOKUP(A22,Ergebnis_je_Aktie_verwässert!A3:AK68,13,FALSE)&lt;=0,9.99999,VLOOKUP(A22,Dividende_je_Aktie!A3:AM68,13,FALSE)/VLOOKUP(A22,Ergebnis_je_Aktie_verwässert!A3:AK68,13,FALSE)),""),"")</f>
        <v>0.38157894736842107</v>
      </c>
      <c r="N22" s="5">
        <f>IF(VLOOKUP(A22,Dividende_je_Aktie!A3:AM68,14,FALSE)&lt;&gt;"",IF(VLOOKUP(A22,Ergebnis_je_Aktie_verwässert!A3:AK68,14,FALSE)&lt;&gt;"",IF(VLOOKUP(A22,Ergebnis_je_Aktie_verwässert!A3:AK68,14,FALSE)&lt;=0,9.99999,VLOOKUP(A22,Dividende_je_Aktie!A3:AM68,14,FALSE)/VLOOKUP(A22,Ergebnis_je_Aktie_verwässert!A3:AK68,14,FALSE)),""),"")</f>
        <v>0.78095238095238084</v>
      </c>
      <c r="O22" s="5">
        <f>IF(VLOOKUP(A22,Dividende_je_Aktie!A3:AM68,15,FALSE)&lt;&gt;"",IF(VLOOKUP(A22,Ergebnis_je_Aktie_verwässert!A3:AK68,15,FALSE)&lt;&gt;"",IF(VLOOKUP(A22,Ergebnis_je_Aktie_verwässert!A3:AK68,15,FALSE)&lt;=0,9.99999,VLOOKUP(A22,Dividende_je_Aktie!A3:AM68,15,FALSE)/VLOOKUP(A22,Ergebnis_je_Aktie_verwässert!A3:AK68,15,FALSE)),""),"")</f>
        <v>0.20363636363636364</v>
      </c>
      <c r="P22" s="5">
        <f>IF(VLOOKUP(A22,Dividende_je_Aktie!A3:AM68,16,FALSE)&lt;&gt;"",IF(VLOOKUP(A22,Ergebnis_je_Aktie_verwässert!A3:AK68,16,FALSE)&lt;&gt;"",IF(VLOOKUP(A22,Ergebnis_je_Aktie_verwässert!A3:AK68,16,FALSE)&lt;=0,9.99999,VLOOKUP(A22,Dividende_je_Aktie!A3:AM68,16,FALSE)/VLOOKUP(A22,Ergebnis_je_Aktie_verwässert!A3:AK68,16,FALSE)),""),"")</f>
        <v>0.1703056768558952</v>
      </c>
      <c r="Q22" s="5">
        <f>IF(VLOOKUP(A22,Dividende_je_Aktie!A3:AM68,17,FALSE)&lt;&gt;"",IF(VLOOKUP(A22,Ergebnis_je_Aktie_verwässert!A3:AK68,17,FALSE)&lt;&gt;"",IF(VLOOKUP(A22,Ergebnis_je_Aktie_verwässert!A3:AK68,17,FALSE)&lt;=0,9.99999,VLOOKUP(A22,Dividende_je_Aktie!A3:AM68,17,FALSE)/VLOOKUP(A22,Ergebnis_je_Aktie_verwässert!A3:AK68,17,FALSE)),""),"")</f>
        <v>0.18604651162790697</v>
      </c>
      <c r="R22" s="5">
        <f>IF(VLOOKUP(A22,Dividende_je_Aktie!A3:AM68,18,FALSE)&lt;&gt;"",IF(VLOOKUP(A22,Ergebnis_je_Aktie_verwässert!A3:AK68,18,FALSE)&lt;&gt;"",IF(VLOOKUP(A22,Ergebnis_je_Aktie_verwässert!A3:AK68,18,FALSE)&lt;=0,9.99999,VLOOKUP(A22,Dividende_je_Aktie!A3:AM68,18,FALSE)/VLOOKUP(A22,Ergebnis_je_Aktie_verwässert!A3:AK68,18,FALSE)),""),"")</f>
        <v>0.23</v>
      </c>
      <c r="S22" s="10">
        <f t="shared" si="5"/>
        <v>0.45517879156002716</v>
      </c>
      <c r="T22" s="4">
        <f t="shared" ca="1" si="0"/>
        <v>0</v>
      </c>
      <c r="U22" s="4">
        <f t="shared" ca="1" si="1"/>
        <v>254</v>
      </c>
      <c r="V22" s="4">
        <f t="shared" ca="1" si="2"/>
        <v>106</v>
      </c>
      <c r="W22" s="10">
        <f t="shared" ca="1" si="3"/>
        <v>0.82434926184926183</v>
      </c>
      <c r="X22" s="5">
        <f t="shared" ca="1" si="4"/>
        <v>0.81104497207346249</v>
      </c>
    </row>
    <row r="23" spans="1:24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5">
        <f>IF(VLOOKUP(A23,Dividende_je_Aktie!A3:AM68,6,FALSE)&lt;&gt;"",IF(VLOOKUP(A23,Ergebnis_je_Aktie_verwässert!A3:AK68,6,FALSE)&lt;&gt;"",IF(VLOOKUP(A23,Ergebnis_je_Aktie_verwässert!A3:AK68,6,FALSE)&lt;=0,9.99999,VLOOKUP(A23,Dividende_je_Aktie!A3:AM68,6,FALSE)/VLOOKUP(A23,Ergebnis_je_Aktie_verwässert!A3:AK68,6,FALSE)),""),"")</f>
        <v>0.70731707317073167</v>
      </c>
      <c r="G23" s="5">
        <f>IF(VLOOKUP(A23,Dividende_je_Aktie!A3:AM68,7,FALSE)&lt;&gt;"",IF(VLOOKUP(A23,Ergebnis_je_Aktie_verwässert!A3:AK68,7,FALSE)&lt;&gt;"",IF(VLOOKUP(A23,Ergebnis_je_Aktie_verwässert!A3:AK68,7,FALSE)&lt;=0,9.99999,VLOOKUP(A23,Dividende_je_Aktie!A3:AM68,7,FALSE)/VLOOKUP(A23,Ergebnis_je_Aktie_verwässert!A3:AK68,7,FALSE)),""),"")</f>
        <v>0.79185520361990946</v>
      </c>
      <c r="H23" s="5">
        <f>IF(VLOOKUP(A23,Dividende_je_Aktie!A3:AM68,8,FALSE)&lt;&gt;"",IF(VLOOKUP(A23,Ergebnis_je_Aktie_verwässert!A3:AK68,8,FALSE)&lt;&gt;"",IF(VLOOKUP(A23,Ergebnis_je_Aktie_verwässert!A3:AK68,8,FALSE)&lt;=0,9.99999,VLOOKUP(A23,Dividende_je_Aktie!A3:AM68,8,FALSE)/VLOOKUP(A23,Ergebnis_je_Aktie_verwässert!A3:AK68,8,FALSE)),""),"")</f>
        <v>0.75742574257425743</v>
      </c>
      <c r="I23" s="5">
        <f>IF(VLOOKUP(A23,Dividende_je_Aktie!A3:AM68,9,FALSE)&lt;&gt;"",IF(VLOOKUP(A23,Ergebnis_je_Aktie_verwässert!A3:AK68,9,FALSE)&lt;&gt;"",IF(VLOOKUP(A23,Ergebnis_je_Aktie_verwässert!A3:AK68,9,FALSE)&lt;=0,9.99999,VLOOKUP(A23,Dividende_je_Aktie!A3:AM68,9,FALSE)/VLOOKUP(A23,Ergebnis_je_Aktie_verwässert!A3:AK68,9,FALSE)),""),"")</f>
        <v>0.73469387755102045</v>
      </c>
      <c r="J23" s="5">
        <f>IF(VLOOKUP(A23,Dividende_je_Aktie!A3:AM68,10,FALSE)&lt;&gt;"",IF(VLOOKUP(A23,Ergebnis_je_Aktie_verwässert!A3:AK68,10,FALSE)&lt;&gt;"",IF(VLOOKUP(A23,Ergebnis_je_Aktie_verwässert!A3:AK68,10,FALSE)&lt;=0,9.99999,VLOOKUP(A23,Dividende_je_Aktie!A3:AM68,10,FALSE)/VLOOKUP(A23,Ergebnis_je_Aktie_verwässert!A3:AK68,10,FALSE)),""),"")</f>
        <v>0.69268292682926835</v>
      </c>
      <c r="K23" s="5">
        <f>IF(VLOOKUP(A23,Dividende_je_Aktie!A3:AM68,11,FALSE)&lt;&gt;"",IF(VLOOKUP(A23,Ergebnis_je_Aktie_verwässert!A3:AK68,11,FALSE)&lt;&gt;"",IF(VLOOKUP(A23,Ergebnis_je_Aktie_verwässert!A3:AK68,11,FALSE)&lt;=0,9.99999,VLOOKUP(A23,Dividende_je_Aktie!A3:AM68,11,FALSE)/VLOOKUP(A23,Ergebnis_je_Aktie_verwässert!A3:AK68,11,FALSE)),""),"")</f>
        <v>0.68527918781725894</v>
      </c>
      <c r="L23" s="5">
        <f>IF(VLOOKUP(A23,Dividende_je_Aktie!A3:AM68,12,FALSE)&lt;&gt;"",IF(VLOOKUP(A23,Ergebnis_je_Aktie_verwässert!A3:AK68,12,FALSE)&lt;&gt;"",IF(VLOOKUP(A23,Ergebnis_je_Aktie_verwässert!A3:AK68,12,FALSE)&lt;=0,9.99999,VLOOKUP(A23,Dividende_je_Aktie!A3:AM68,12,FALSE)/VLOOKUP(A23,Ergebnis_je_Aktie_verwässert!A3:AK68,12,FALSE)),""),"")</f>
        <v>0.8141025641025641</v>
      </c>
      <c r="M23" s="5">
        <f>IF(VLOOKUP(A23,Dividende_je_Aktie!A3:AM68,13,FALSE)&lt;&gt;"",IF(VLOOKUP(A23,Ergebnis_je_Aktie_verwässert!A3:AK68,13,FALSE)&lt;&gt;"",IF(VLOOKUP(A23,Ergebnis_je_Aktie_verwässert!A3:AK68,13,FALSE)&lt;=0,9.99999,VLOOKUP(A23,Dividende_je_Aktie!A3:AM68,13,FALSE)/VLOOKUP(A23,Ergebnis_je_Aktie_verwässert!A3:AK68,13,FALSE)),""),"")</f>
        <v>0.79166666666666663</v>
      </c>
      <c r="N23" s="5">
        <f>IF(VLOOKUP(A23,Dividende_je_Aktie!A3:AM68,14,FALSE)&lt;&gt;"",IF(VLOOKUP(A23,Ergebnis_je_Aktie_verwässert!A3:AK68,14,FALSE)&lt;&gt;"",IF(VLOOKUP(A23,Ergebnis_je_Aktie_verwässert!A3:AK68,14,FALSE)&lt;=0,9.99999,VLOOKUP(A23,Dividende_je_Aktie!A3:AM68,14,FALSE)/VLOOKUP(A23,Ergebnis_je_Aktie_verwässert!A3:AK68,14,FALSE)),""),"")</f>
        <v>0.73529411764705876</v>
      </c>
      <c r="O23" s="5">
        <f>IF(VLOOKUP(A23,Dividende_je_Aktie!A3:AM68,15,FALSE)&lt;&gt;"",IF(VLOOKUP(A23,Ergebnis_je_Aktie_verwässert!A3:AK68,15,FALSE)&lt;&gt;"",IF(VLOOKUP(A23,Ergebnis_je_Aktie_verwässert!A3:AK68,15,FALSE)&lt;=0,9.99999,VLOOKUP(A23,Dividende_je_Aktie!A3:AM68,15,FALSE)/VLOOKUP(A23,Ergebnis_je_Aktie_verwässert!A3:AK68,15,FALSE)),""),"")</f>
        <v>0.68292682926829262</v>
      </c>
      <c r="P23" s="5">
        <f>IF(VLOOKUP(A23,Dividende_je_Aktie!A3:AM68,16,FALSE)&lt;&gt;"",IF(VLOOKUP(A23,Ergebnis_je_Aktie_verwässert!A3:AK68,16,FALSE)&lt;&gt;"",IF(VLOOKUP(A23,Ergebnis_je_Aktie_verwässert!A3:AK68,16,FALSE)&lt;=0,9.99999,VLOOKUP(A23,Dividende_je_Aktie!A3:AM68,16,FALSE)/VLOOKUP(A23,Ergebnis_je_Aktie_verwässert!A3:AK68,16,FALSE)),""),"")</f>
        <v>0.63461538461538458</v>
      </c>
      <c r="Q23" s="5" t="str">
        <f>IF(VLOOKUP(A23,Dividende_je_Aktie!A3:AM68,17,FALSE)&lt;&gt;"",IF(VLOOKUP(A23,Ergebnis_je_Aktie_verwässert!A3:AK68,17,FALSE)&lt;&gt;"",IF(VLOOKUP(A23,Ergebnis_je_Aktie_verwässert!A3:AK68,17,FALSE)&lt;=0,9.99999,VLOOKUP(A23,Dividende_je_Aktie!A3:AM68,17,FALSE)/VLOOKUP(A23,Ergebnis_je_Aktie_verwässert!A3:AK68,17,FALSE)),""),"")</f>
        <v/>
      </c>
      <c r="R23" s="5" t="str">
        <f>IF(VLOOKUP(A23,Dividende_je_Aktie!A3:AM68,18,FALSE)&lt;&gt;"",IF(VLOOKUP(A23,Ergebnis_je_Aktie_verwässert!A3:AK68,18,FALSE)&lt;&gt;"",IF(VLOOKUP(A23,Ergebnis_je_Aktie_verwässert!A3:AK68,18,FALSE)&lt;=0,9.99999,VLOOKUP(A23,Dividende_je_Aktie!A3:AM68,18,FALSE)/VLOOKUP(A23,Ergebnis_je_Aktie_verwässert!A3:AK68,18,FALSE)),""),"")</f>
        <v/>
      </c>
      <c r="S23" s="10">
        <f t="shared" si="5"/>
        <v>0.72980541580567393</v>
      </c>
      <c r="T23" s="4">
        <f t="shared" ca="1" si="0"/>
        <v>0</v>
      </c>
      <c r="U23" s="4">
        <f t="shared" ca="1" si="1"/>
        <v>73</v>
      </c>
      <c r="V23" s="4">
        <f t="shared" ca="1" si="2"/>
        <v>287</v>
      </c>
      <c r="W23" s="10">
        <f t="shared" ca="1" si="3"/>
        <v>0.76440727217518134</v>
      </c>
      <c r="X23" s="5">
        <f t="shared" ca="1" si="4"/>
        <v>4.7412441207096867E-2</v>
      </c>
    </row>
    <row r="24" spans="1:24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5">
        <f>IF(VLOOKUP(A24,Dividende_je_Aktie!A3:AM68,6,FALSE)&lt;&gt;"",IF(VLOOKUP(A24,Ergebnis_je_Aktie_verwässert!A3:AK68,6,FALSE)&lt;&gt;"",IF(VLOOKUP(A24,Ergebnis_je_Aktie_verwässert!A3:AK68,6,FALSE)&lt;=0,9.99999,VLOOKUP(A24,Dividende_je_Aktie!A3:AM68,6,FALSE)/VLOOKUP(A24,Ergebnis_je_Aktie_verwässert!A3:AK68,6,FALSE)),""),"")</f>
        <v>0.85353535353535348</v>
      </c>
      <c r="G24" s="5">
        <f>IF(VLOOKUP(A24,Dividende_je_Aktie!A3:AM68,7,FALSE)&lt;&gt;"",IF(VLOOKUP(A24,Ergebnis_je_Aktie_verwässert!A3:AK68,7,FALSE)&lt;&gt;"",IF(VLOOKUP(A24,Ergebnis_je_Aktie_verwässert!A3:AK68,7,FALSE)&lt;=0,9.99999,VLOOKUP(A24,Dividende_je_Aktie!A3:AM68,7,FALSE)/VLOOKUP(A24,Ergebnis_je_Aktie_verwässert!A3:AK68,7,FALSE)),""),"")</f>
        <v>0.8651685393258427</v>
      </c>
      <c r="H24" s="5">
        <f>IF(VLOOKUP(A24,Dividende_je_Aktie!A3:AM68,8,FALSE)&lt;&gt;"",IF(VLOOKUP(A24,Ergebnis_je_Aktie_verwässert!A3:AK68,8,FALSE)&lt;&gt;"",IF(VLOOKUP(A24,Ergebnis_je_Aktie_verwässert!A3:AK68,8,FALSE)&lt;=0,9.99999,VLOOKUP(A24,Dividende_je_Aktie!A3:AM68,8,FALSE)/VLOOKUP(A24,Ergebnis_je_Aktie_verwässert!A3:AK68,8,FALSE)),""),"")</f>
        <v>0.84431137724550898</v>
      </c>
      <c r="I24" s="5">
        <f>IF(VLOOKUP(A24,Dividende_je_Aktie!A3:AM68,9,FALSE)&lt;&gt;"",IF(VLOOKUP(A24,Ergebnis_je_Aktie_verwässert!A3:AK68,9,FALSE)&lt;&gt;"",IF(VLOOKUP(A24,Ergebnis_je_Aktie_verwässert!A3:AK68,9,FALSE)&lt;=0,9.99999,VLOOKUP(A24,Dividende_je_Aktie!A3:AM68,9,FALSE)/VLOOKUP(A24,Ergebnis_je_Aktie_verwässert!A3:AK68,9,FALSE)),""),"")</f>
        <v>0.86486486486486491</v>
      </c>
      <c r="J24" s="5">
        <f>IF(VLOOKUP(A24,Dividende_je_Aktie!A3:AM68,10,FALSE)&lt;&gt;"",IF(VLOOKUP(A24,Ergebnis_je_Aktie_verwässert!A3:AK68,10,FALSE)&lt;&gt;"",IF(VLOOKUP(A24,Ergebnis_je_Aktie_verwässert!A3:AK68,10,FALSE)&lt;=0,9.99999,VLOOKUP(A24,Dividende_je_Aktie!A3:AM68,10,FALSE)/VLOOKUP(A24,Ergebnis_je_Aktie_verwässert!A3:AK68,10,FALSE)),""),"")</f>
        <v>1.2083333333333333</v>
      </c>
      <c r="K24" s="5">
        <f>IF(VLOOKUP(A24,Dividende_je_Aktie!A3:AM68,11,FALSE)&lt;&gt;"",IF(VLOOKUP(A24,Ergebnis_je_Aktie_verwässert!A3:AK68,11,FALSE)&lt;&gt;"",IF(VLOOKUP(A24,Ergebnis_je_Aktie_verwässert!A3:AK68,11,FALSE)&lt;=0,9.99999,VLOOKUP(A24,Dividende_je_Aktie!A3:AM68,11,FALSE)/VLOOKUP(A24,Ergebnis_je_Aktie_verwässert!A3:AK68,11,FALSE)),""),"")</f>
        <v>1.5588235294117647</v>
      </c>
      <c r="L24" s="5">
        <f>IF(VLOOKUP(A24,Dividende_je_Aktie!A3:AM68,12,FALSE)&lt;&gt;"",IF(VLOOKUP(A24,Ergebnis_je_Aktie_verwässert!A3:AK68,12,FALSE)&lt;&gt;"",IF(VLOOKUP(A24,Ergebnis_je_Aktie_verwässert!A3:AK68,12,FALSE)&lt;=0,9.99999,VLOOKUP(A24,Dividende_je_Aktie!A3:AM68,12,FALSE)/VLOOKUP(A24,Ergebnis_je_Aktie_verwässert!A3:AK68,12,FALSE)),""),"")</f>
        <v>0.53672316384180785</v>
      </c>
      <c r="M24" s="5">
        <f>IF(VLOOKUP(A24,Dividende_je_Aktie!A3:AM68,13,FALSE)&lt;&gt;"",IF(VLOOKUP(A24,Ergebnis_je_Aktie_verwässert!A3:AK68,13,FALSE)&lt;&gt;"",IF(VLOOKUP(A24,Ergebnis_je_Aktie_verwässert!A3:AK68,13,FALSE)&lt;=0,9.99999,VLOOKUP(A24,Dividende_je_Aktie!A3:AM68,13,FALSE)/VLOOKUP(A24,Ergebnis_je_Aktie_verwässert!A3:AK68,13,FALSE)),""),"")</f>
        <v>0.56756756756756754</v>
      </c>
      <c r="N24" s="5">
        <f>IF(VLOOKUP(A24,Dividende_je_Aktie!A3:AM68,14,FALSE)&lt;&gt;"",IF(VLOOKUP(A24,Ergebnis_je_Aktie_verwässert!A3:AK68,14,FALSE)&lt;&gt;"",IF(VLOOKUP(A24,Ergebnis_je_Aktie_verwässert!A3:AK68,14,FALSE)&lt;=0,9.99999,VLOOKUP(A24,Dividende_je_Aktie!A3:AM68,14,FALSE)/VLOOKUP(A24,Ergebnis_je_Aktie_verwässert!A3:AK68,14,FALSE)),""),"")</f>
        <v>1.1230769230769231</v>
      </c>
      <c r="O24" s="5">
        <f>IF(VLOOKUP(A24,Dividende_je_Aktie!A3:AM68,15,FALSE)&lt;&gt;"",IF(VLOOKUP(A24,Ergebnis_je_Aktie_verwässert!A3:AK68,15,FALSE)&lt;&gt;"",IF(VLOOKUP(A24,Ergebnis_je_Aktie_verwässert!A3:AK68,15,FALSE)&lt;=0,9.99999,VLOOKUP(A24,Dividende_je_Aktie!A3:AM68,15,FALSE)/VLOOKUP(A24,Ergebnis_je_Aktie_verwässert!A3:AK68,15,FALSE)),""),"")</f>
        <v>1.26</v>
      </c>
      <c r="P24" s="5">
        <f>IF(VLOOKUP(A24,Dividende_je_Aktie!A3:AM68,16,FALSE)&lt;&gt;"",IF(VLOOKUP(A24,Ergebnis_je_Aktie_verwässert!A3:AK68,16,FALSE)&lt;&gt;"",IF(VLOOKUP(A24,Ergebnis_je_Aktie_verwässert!A3:AK68,16,FALSE)&lt;=0,9.99999,VLOOKUP(A24,Dividende_je_Aktie!A3:AM68,16,FALSE)/VLOOKUP(A24,Ergebnis_je_Aktie_verwässert!A3:AK68,16,FALSE)),""),"")</f>
        <v>0.51724137931034486</v>
      </c>
      <c r="Q24" s="5" t="str">
        <f>IF(VLOOKUP(A24,Dividende_je_Aktie!A3:AM68,17,FALSE)&lt;&gt;"",IF(VLOOKUP(A24,Ergebnis_je_Aktie_verwässert!A3:AK68,17,FALSE)&lt;&gt;"",IF(VLOOKUP(A24,Ergebnis_je_Aktie_verwässert!A3:AK68,17,FALSE)&lt;=0,9.99999,VLOOKUP(A24,Dividende_je_Aktie!A3:AM68,17,FALSE)/VLOOKUP(A24,Ergebnis_je_Aktie_verwässert!A3:AK68,17,FALSE)),""),"")</f>
        <v/>
      </c>
      <c r="R24" s="5" t="str">
        <f>IF(VLOOKUP(A24,Dividende_je_Aktie!A3:AM68,18,FALSE)&lt;&gt;"",IF(VLOOKUP(A24,Ergebnis_je_Aktie_verwässert!A3:AK68,18,FALSE)&lt;&gt;"",IF(VLOOKUP(A24,Ergebnis_je_Aktie_verwässert!A3:AK68,18,FALSE)&lt;=0,9.99999,VLOOKUP(A24,Dividende_je_Aktie!A3:AM68,18,FALSE)/VLOOKUP(A24,Ergebnis_je_Aktie_verwässert!A3:AK68,18,FALSE)),""),"")</f>
        <v/>
      </c>
      <c r="S24" s="10">
        <f t="shared" si="5"/>
        <v>0.92724054831939184</v>
      </c>
      <c r="T24" s="4">
        <f t="shared" ca="1" si="0"/>
        <v>0</v>
      </c>
      <c r="U24" s="4">
        <f t="shared" ca="1" si="1"/>
        <v>164</v>
      </c>
      <c r="V24" s="4">
        <f t="shared" ca="1" si="2"/>
        <v>196</v>
      </c>
      <c r="W24" s="10">
        <f t="shared" ca="1" si="3"/>
        <v>0.8538129733043277</v>
      </c>
      <c r="X24" s="5">
        <f t="shared" ca="1" si="4"/>
        <v>-7.9189348597999087E-2</v>
      </c>
    </row>
    <row r="25" spans="1:24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5">
        <f>IF(VLOOKUP(A25,Dividende_je_Aktie!A3:AM68,6,FALSE)&lt;&gt;"",IF(VLOOKUP(A25,Ergebnis_je_Aktie_verwässert!A3:AK68,6,FALSE)&lt;&gt;"",IF(VLOOKUP(A25,Ergebnis_je_Aktie_verwässert!A3:AK68,6,FALSE)&lt;=0,9.99999,VLOOKUP(A25,Dividende_je_Aktie!A3:AM68,6,FALSE)/VLOOKUP(A25,Ergebnis_je_Aktie_verwässert!A3:AK68,6,FALSE)),""),"")</f>
        <v>0.65555555555555556</v>
      </c>
      <c r="G25" s="5">
        <f>IF(VLOOKUP(A25,Dividende_je_Aktie!A3:AM68,7,FALSE)&lt;&gt;"",IF(VLOOKUP(A25,Ergebnis_je_Aktie_verwässert!A3:AK68,7,FALSE)&lt;&gt;"",IF(VLOOKUP(A25,Ergebnis_je_Aktie_verwässert!A3:AK68,7,FALSE)&lt;=0,9.99999,VLOOKUP(A25,Dividende_je_Aktie!A3:AM68,7,FALSE)/VLOOKUP(A25,Ergebnis_je_Aktie_verwässert!A3:AK68,7,FALSE)),""),"")</f>
        <v>0.62921348314606751</v>
      </c>
      <c r="H25" s="5">
        <f>IF(VLOOKUP(A25,Dividende_je_Aktie!A3:AM68,8,FALSE)&lt;&gt;"",IF(VLOOKUP(A25,Ergebnis_je_Aktie_verwässert!A3:AK68,8,FALSE)&lt;&gt;"",IF(VLOOKUP(A25,Ergebnis_je_Aktie_verwässert!A3:AK68,8,FALSE)&lt;=0,9.99999,VLOOKUP(A25,Dividende_je_Aktie!A3:AM68,8,FALSE)/VLOOKUP(A25,Ergebnis_je_Aktie_verwässert!A3:AK68,8,FALSE)),""),"")</f>
        <v>0.63855421686746994</v>
      </c>
      <c r="I25" s="5">
        <f>IF(VLOOKUP(A25,Dividende_je_Aktie!A3:AM68,9,FALSE)&lt;&gt;"",IF(VLOOKUP(A25,Ergebnis_je_Aktie_verwässert!A3:AK68,9,FALSE)&lt;&gt;"",IF(VLOOKUP(A25,Ergebnis_je_Aktie_verwässert!A3:AK68,9,FALSE)&lt;=0,9.99999,VLOOKUP(A25,Dividende_je_Aktie!A3:AM68,9,FALSE)/VLOOKUP(A25,Ergebnis_je_Aktie_verwässert!A3:AK68,9,FALSE)),""),"")</f>
        <v>0.7246376811594204</v>
      </c>
      <c r="J25" s="5">
        <f>IF(VLOOKUP(A25,Dividende_je_Aktie!A3:AM68,10,FALSE)&lt;&gt;"",IF(VLOOKUP(A25,Ergebnis_je_Aktie_verwässert!A3:AK68,10,FALSE)&lt;&gt;"",IF(VLOOKUP(A25,Ergebnis_je_Aktie_verwässert!A3:AK68,10,FALSE)&lt;=0,9.99999,VLOOKUP(A25,Dividende_je_Aktie!A3:AM68,10,FALSE)/VLOOKUP(A25,Ergebnis_je_Aktie_verwässert!A3:AK68,10,FALSE)),""),"")</f>
        <v>0.58333333333333337</v>
      </c>
      <c r="K25" s="5">
        <f>IF(VLOOKUP(A25,Dividende_je_Aktie!A3:AM68,11,FALSE)&lt;&gt;"",IF(VLOOKUP(A25,Ergebnis_je_Aktie_verwässert!A3:AK68,11,FALSE)&lt;&gt;"",IF(VLOOKUP(A25,Ergebnis_je_Aktie_verwässert!A3:AK68,11,FALSE)&lt;=0,9.99999,VLOOKUP(A25,Dividende_je_Aktie!A3:AM68,11,FALSE)/VLOOKUP(A25,Ergebnis_je_Aktie_verwässert!A3:AK68,11,FALSE)),""),"")</f>
        <v>0.60810810810810811</v>
      </c>
      <c r="L25" s="5">
        <f>IF(VLOOKUP(A25,Dividende_je_Aktie!A3:AM68,12,FALSE)&lt;&gt;"",IF(VLOOKUP(A25,Ergebnis_je_Aktie_verwässert!A3:AK68,12,FALSE)&lt;&gt;"",IF(VLOOKUP(A25,Ergebnis_je_Aktie_verwässert!A3:AK68,12,FALSE)&lt;=0,9.99999,VLOOKUP(A25,Dividende_je_Aktie!A3:AM68,12,FALSE)/VLOOKUP(A25,Ergebnis_je_Aktie_verwässert!A3:AK68,12,FALSE)),""),"")</f>
        <v>0.4505494505494505</v>
      </c>
      <c r="M25" s="5">
        <f>IF(VLOOKUP(A25,Dividende_je_Aktie!A3:AM68,13,FALSE)&lt;&gt;"",IF(VLOOKUP(A25,Ergebnis_je_Aktie_verwässert!A3:AK68,13,FALSE)&lt;&gt;"",IF(VLOOKUP(A25,Ergebnis_je_Aktie_verwässert!A3:AK68,13,FALSE)&lt;=0,9.99999,VLOOKUP(A25,Dividende_je_Aktie!A3:AM68,13,FALSE)/VLOOKUP(A25,Ergebnis_je_Aktie_verwässert!A3:AK68,13,FALSE)),""),"")</f>
        <v>0.5</v>
      </c>
      <c r="N25" s="5">
        <f>IF(VLOOKUP(A25,Dividende_je_Aktie!A3:AM68,14,FALSE)&lt;&gt;"",IF(VLOOKUP(A25,Ergebnis_je_Aktie_verwässert!A3:AK68,14,FALSE)&lt;&gt;"",IF(VLOOKUP(A25,Ergebnis_je_Aktie_verwässert!A3:AK68,14,FALSE)&lt;=0,9.99999,VLOOKUP(A25,Dividende_je_Aktie!A3:AM68,14,FALSE)/VLOOKUP(A25,Ergebnis_je_Aktie_verwässert!A3:AK68,14,FALSE)),""),"")</f>
        <v>0.94117647058823528</v>
      </c>
      <c r="O25" s="5">
        <f>IF(VLOOKUP(A25,Dividende_je_Aktie!A3:AM68,15,FALSE)&lt;&gt;"",IF(VLOOKUP(A25,Ergebnis_je_Aktie_verwässert!A3:AK68,15,FALSE)&lt;&gt;"",IF(VLOOKUP(A25,Ergebnis_je_Aktie_verwässert!A3:AK68,15,FALSE)&lt;=0,9.99999,VLOOKUP(A25,Dividende_je_Aktie!A3:AM68,15,FALSE)/VLOOKUP(A25,Ergebnis_je_Aktie_verwässert!A3:AK68,15,FALSE)),""),"")</f>
        <v>1.9787234042553195</v>
      </c>
      <c r="P25" s="5">
        <f>IF(VLOOKUP(A25,Dividende_je_Aktie!A3:AM68,16,FALSE)&lt;&gt;"",IF(VLOOKUP(A25,Ergebnis_je_Aktie_verwässert!A3:AK68,16,FALSE)&lt;&gt;"",IF(VLOOKUP(A25,Ergebnis_je_Aktie_verwässert!A3:AK68,16,FALSE)&lt;=0,9.99999,VLOOKUP(A25,Dividende_je_Aktie!A3:AM68,16,FALSE)/VLOOKUP(A25,Ergebnis_je_Aktie_verwässert!A3:AK68,16,FALSE)),""),"")</f>
        <v>0.53374233128834359</v>
      </c>
      <c r="Q25" s="5">
        <f>IF(VLOOKUP(A25,Dividende_je_Aktie!A3:AM68,17,FALSE)&lt;&gt;"",IF(VLOOKUP(A25,Ergebnis_je_Aktie_verwässert!A3:AK68,17,FALSE)&lt;&gt;"",IF(VLOOKUP(A25,Ergebnis_je_Aktie_verwässert!A3:AK68,17,FALSE)&lt;=0,9.99999,VLOOKUP(A25,Dividende_je_Aktie!A3:AM68,17,FALSE)/VLOOKUP(A25,Ergebnis_je_Aktie_verwässert!A3:AK68,17,FALSE)),""),"")</f>
        <v>0.5467625899280576</v>
      </c>
      <c r="R25" s="5">
        <f>IF(VLOOKUP(A25,Dividende_je_Aktie!A3:AM68,18,FALSE)&lt;&gt;"",IF(VLOOKUP(A25,Ergebnis_je_Aktie_verwässert!A3:AK68,18,FALSE)&lt;&gt;"",IF(VLOOKUP(A25,Ergebnis_je_Aktie_verwässert!A3:AK68,18,FALSE)&lt;=0,9.99999,VLOOKUP(A25,Dividende_je_Aktie!A3:AM68,18,FALSE)/VLOOKUP(A25,Ergebnis_je_Aktie_verwässert!A3:AK68,18,FALSE)),""),"")</f>
        <v>0.51111111111111107</v>
      </c>
      <c r="S25" s="10">
        <f t="shared" si="5"/>
        <v>0.71549751814542095</v>
      </c>
      <c r="T25" s="4">
        <f t="shared" ca="1" si="0"/>
        <v>0</v>
      </c>
      <c r="U25" s="4">
        <f t="shared" ca="1" si="1"/>
        <v>73</v>
      </c>
      <c r="V25" s="4">
        <f t="shared" ca="1" si="2"/>
        <v>287</v>
      </c>
      <c r="W25" s="10">
        <f t="shared" ca="1" si="3"/>
        <v>0.63666012364062996</v>
      </c>
      <c r="X25" s="5">
        <f t="shared" ca="1" si="4"/>
        <v>-0.1101854199426695</v>
      </c>
    </row>
    <row r="26" spans="1:24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5">
        <f>IF(VLOOKUP(A26,Dividende_je_Aktie!A3:AM68,6,FALSE)&lt;&gt;"",IF(VLOOKUP(A26,Ergebnis_je_Aktie_verwässert!A3:AK68,6,FALSE)&lt;&gt;"",IF(VLOOKUP(A26,Ergebnis_je_Aktie_verwässert!A3:AK68,6,FALSE)&lt;=0,9.99999,VLOOKUP(A26,Dividende_je_Aktie!A3:AM68,6,FALSE)/VLOOKUP(A26,Ergebnis_je_Aktie_verwässert!A3:AK68,6,FALSE)),""),"")</f>
        <v>0.48275862068965519</v>
      </c>
      <c r="G26" s="5">
        <f>IF(VLOOKUP(A26,Dividende_je_Aktie!A3:AM68,7,FALSE)&lt;&gt;"",IF(VLOOKUP(A26,Ergebnis_je_Aktie_verwässert!A3:AK68,7,FALSE)&lt;&gt;"",IF(VLOOKUP(A26,Ergebnis_je_Aktie_verwässert!A3:AK68,7,FALSE)&lt;=0,9.99999,VLOOKUP(A26,Dividende_je_Aktie!A3:AM68,7,FALSE)/VLOOKUP(A26,Ergebnis_je_Aktie_verwässert!A3:AK68,7,FALSE)),""),"")</f>
        <v>0.54625550660792954</v>
      </c>
      <c r="H26" s="5">
        <f>IF(VLOOKUP(A26,Dividende_je_Aktie!A3:AM68,8,FALSE)&lt;&gt;"",IF(VLOOKUP(A26,Ergebnis_je_Aktie_verwässert!A3:AK68,8,FALSE)&lt;&gt;"",IF(VLOOKUP(A26,Ergebnis_je_Aktie_verwässert!A3:AK68,8,FALSE)&lt;=0,9.99999,VLOOKUP(A26,Dividende_je_Aktie!A3:AM68,8,FALSE)/VLOOKUP(A26,Ergebnis_je_Aktie_verwässert!A3:AK68,8,FALSE)),""),"")</f>
        <v>0.61052631578947369</v>
      </c>
      <c r="I26" s="5">
        <f>IF(VLOOKUP(A26,Dividende_je_Aktie!A3:AM68,9,FALSE)&lt;&gt;"",IF(VLOOKUP(A26,Ergebnis_je_Aktie_verwässert!A3:AK68,9,FALSE)&lt;&gt;"",IF(VLOOKUP(A26,Ergebnis_je_Aktie_verwässert!A3:AK68,9,FALSE)&lt;=0,9.99999,VLOOKUP(A26,Dividende_je_Aktie!A3:AM68,9,FALSE)/VLOOKUP(A26,Ergebnis_je_Aktie_verwässert!A3:AK68,9,FALSE)),""),"")</f>
        <v>0.61253561253561251</v>
      </c>
      <c r="J26" s="5">
        <f>IF(VLOOKUP(A26,Dividende_je_Aktie!A3:AM68,10,FALSE)&lt;&gt;"",IF(VLOOKUP(A26,Ergebnis_je_Aktie_verwässert!A3:AK68,10,FALSE)&lt;&gt;"",IF(VLOOKUP(A26,Ergebnis_je_Aktie_verwässert!A3:AK68,10,FALSE)&lt;=0,9.99999,VLOOKUP(A26,Dividende_je_Aktie!A3:AM68,10,FALSE)/VLOOKUP(A26,Ergebnis_je_Aktie_verwässert!A3:AK68,10,FALSE)),""),"")</f>
        <v>1.4568527918781726</v>
      </c>
      <c r="K26" s="5">
        <f>IF(VLOOKUP(A26,Dividende_je_Aktie!A3:AM68,11,FALSE)&lt;&gt;"",IF(VLOOKUP(A26,Ergebnis_je_Aktie_verwässert!A3:AK68,11,FALSE)&lt;&gt;"",IF(VLOOKUP(A26,Ergebnis_je_Aktie_verwässert!A3:AK68,11,FALSE)&lt;=0,9.99999,VLOOKUP(A26,Dividende_je_Aktie!A3:AM68,11,FALSE)/VLOOKUP(A26,Ergebnis_je_Aktie_verwässert!A3:AK68,11,FALSE)),""),"")</f>
        <v>9.9999900000000004</v>
      </c>
      <c r="L26" s="5">
        <f>IF(VLOOKUP(A26,Dividende_je_Aktie!A3:AM68,12,FALSE)&lt;&gt;"",IF(VLOOKUP(A26,Ergebnis_je_Aktie_verwässert!A3:AK68,12,FALSE)&lt;&gt;"",IF(VLOOKUP(A26,Ergebnis_je_Aktie_verwässert!A3:AK68,12,FALSE)&lt;=0,9.99999,VLOOKUP(A26,Dividende_je_Aktie!A3:AM68,12,FALSE)/VLOOKUP(A26,Ergebnis_je_Aktie_verwässert!A3:AK68,12,FALSE)),""),"")</f>
        <v>0.6887417218543046</v>
      </c>
      <c r="M26" s="5">
        <f>IF(VLOOKUP(A26,Dividende_je_Aktie!A3:AM68,13,FALSE)&lt;&gt;"",IF(VLOOKUP(A26,Ergebnis_je_Aktie_verwässert!A3:AK68,13,FALSE)&lt;&gt;"",IF(VLOOKUP(A26,Ergebnis_je_Aktie_verwässert!A3:AK68,13,FALSE)&lt;=0,9.99999,VLOOKUP(A26,Dividende_je_Aktie!A3:AM68,13,FALSE)/VLOOKUP(A26,Ergebnis_je_Aktie_verwässert!A3:AK68,13,FALSE)),""),"")</f>
        <v>0.21074380165289258</v>
      </c>
      <c r="N26" s="5">
        <f>IF(VLOOKUP(A26,Dividende_je_Aktie!A3:AM68,14,FALSE)&lt;&gt;"",IF(VLOOKUP(A26,Ergebnis_je_Aktie_verwässert!A3:AK68,14,FALSE)&lt;&gt;"",IF(VLOOKUP(A26,Ergebnis_je_Aktie_verwässert!A3:AK68,14,FALSE)&lt;=0,9.99999,VLOOKUP(A26,Dividende_je_Aktie!A3:AM68,14,FALSE)/VLOOKUP(A26,Ergebnis_je_Aktie_verwässert!A3:AK68,14,FALSE)),""),"")</f>
        <v>0.36727272727272725</v>
      </c>
      <c r="O26" s="5">
        <f>IF(VLOOKUP(A26,Dividende_je_Aktie!A3:AM68,15,FALSE)&lt;&gt;"",IF(VLOOKUP(A26,Ergebnis_je_Aktie_verwässert!A3:AK68,15,FALSE)&lt;&gt;"",IF(VLOOKUP(A26,Ergebnis_je_Aktie_verwässert!A3:AK68,15,FALSE)&lt;=0,9.99999,VLOOKUP(A26,Dividende_je_Aktie!A3:AM68,15,FALSE)/VLOOKUP(A26,Ergebnis_je_Aktie_verwässert!A3:AK68,15,FALSE)),""),"")</f>
        <v>0.58119658119658124</v>
      </c>
      <c r="P26" s="5">
        <f>IF(VLOOKUP(A26,Dividende_je_Aktie!A3:AM68,16,FALSE)&lt;&gt;"",IF(VLOOKUP(A26,Ergebnis_je_Aktie_verwässert!A3:AK68,16,FALSE)&lt;&gt;"",IF(VLOOKUP(A26,Ergebnis_je_Aktie_verwässert!A3:AK68,16,FALSE)&lt;=0,9.99999,VLOOKUP(A26,Dividende_je_Aktie!A3:AM68,16,FALSE)/VLOOKUP(A26,Ergebnis_je_Aktie_verwässert!A3:AK68,16,FALSE)),""),"")</f>
        <v>0.24028268551236751</v>
      </c>
      <c r="Q26" s="5">
        <f>IF(VLOOKUP(A26,Dividende_je_Aktie!A3:AM68,17,FALSE)&lt;&gt;"",IF(VLOOKUP(A26,Ergebnis_je_Aktie_verwässert!A3:AK68,17,FALSE)&lt;&gt;"",IF(VLOOKUP(A26,Ergebnis_je_Aktie_verwässert!A3:AK68,17,FALSE)&lt;=0,9.99999,VLOOKUP(A26,Dividende_je_Aktie!A3:AM68,17,FALSE)/VLOOKUP(A26,Ergebnis_je_Aktie_verwässert!A3:AK68,17,FALSE)),""),"")</f>
        <v>0.18705035971223025</v>
      </c>
      <c r="R26" s="5">
        <f>IF(VLOOKUP(A26,Dividende_je_Aktie!A3:AM68,18,FALSE)&lt;&gt;"",IF(VLOOKUP(A26,Ergebnis_je_Aktie_verwässert!A3:AK68,18,FALSE)&lt;&gt;"",IF(VLOOKUP(A26,Ergebnis_je_Aktie_verwässert!A3:AK68,18,FALSE)&lt;=0,9.99999,VLOOKUP(A26,Dividende_je_Aktie!A3:AM68,18,FALSE)/VLOOKUP(A26,Ergebnis_je_Aktie_verwässert!A3:AK68,18,FALSE)),""),"")</f>
        <v>0.20997375328083989</v>
      </c>
      <c r="S26" s="10">
        <f t="shared" si="5"/>
        <v>1.2457061906140605</v>
      </c>
      <c r="T26" s="4">
        <f t="shared" ca="1" si="0"/>
        <v>0</v>
      </c>
      <c r="U26" s="4">
        <f t="shared" ca="1" si="1"/>
        <v>73</v>
      </c>
      <c r="V26" s="4">
        <f t="shared" ca="1" si="2"/>
        <v>287</v>
      </c>
      <c r="W26" s="10">
        <f t="shared" ca="1" si="3"/>
        <v>0.59749362392766059</v>
      </c>
      <c r="X26" s="5">
        <f t="shared" ca="1" si="4"/>
        <v>-0.52035750610412312</v>
      </c>
    </row>
    <row r="27" spans="1:24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5">
        <f>IF(VLOOKUP(A27,Dividende_je_Aktie!A3:AM68,6,FALSE)&lt;&gt;"",IF(VLOOKUP(A27,Ergebnis_je_Aktie_verwässert!A3:AK68,6,FALSE)&lt;&gt;"",IF(VLOOKUP(A27,Ergebnis_je_Aktie_verwässert!A3:AK68,6,FALSE)&lt;=0,9.99999,VLOOKUP(A27,Dividende_je_Aktie!A3:AM68,6,FALSE)/VLOOKUP(A27,Ergebnis_je_Aktie_verwässert!A3:AK68,6,FALSE)),""),"")</f>
        <v>0.65151515151515149</v>
      </c>
      <c r="G27" s="5">
        <f>IF(VLOOKUP(A27,Dividende_je_Aktie!A3:AM68,7,FALSE)&lt;&gt;"",IF(VLOOKUP(A27,Ergebnis_je_Aktie_verwässert!A3:AK68,7,FALSE)&lt;&gt;"",IF(VLOOKUP(A27,Ergebnis_je_Aktie_verwässert!A3:AK68,7,FALSE)&lt;=0,9.99999,VLOOKUP(A27,Dividende_je_Aktie!A3:AM68,7,FALSE)/VLOOKUP(A27,Ergebnis_je_Aktie_verwässert!A3:AK68,7,FALSE)),""),"")</f>
        <v>0.75925925925925919</v>
      </c>
      <c r="H27" s="5">
        <f>IF(VLOOKUP(A27,Dividende_je_Aktie!A3:AM68,8,FALSE)&lt;&gt;"",IF(VLOOKUP(A27,Ergebnis_je_Aktie_verwässert!A3:AK68,8,FALSE)&lt;&gt;"",IF(VLOOKUP(A27,Ergebnis_je_Aktie_verwässert!A3:AK68,8,FALSE)&lt;=0,9.99999,VLOOKUP(A27,Dividende_je_Aktie!A3:AM68,8,FALSE)/VLOOKUP(A27,Ergebnis_je_Aktie_verwässert!A3:AK68,8,FALSE)),""),"")</f>
        <v>1.142857142857143</v>
      </c>
      <c r="I27" s="5">
        <f>IF(VLOOKUP(A27,Dividende_je_Aktie!A3:AM68,9,FALSE)&lt;&gt;"",IF(VLOOKUP(A27,Ergebnis_je_Aktie_verwässert!A3:AK68,9,FALSE)&lt;&gt;"",IF(VLOOKUP(A27,Ergebnis_je_Aktie_verwässert!A3:AK68,9,FALSE)&lt;=0,9.99999,VLOOKUP(A27,Dividende_je_Aktie!A3:AM68,9,FALSE)/VLOOKUP(A27,Ergebnis_je_Aktie_verwässert!A3:AK68,9,FALSE)),""),"")</f>
        <v>1.1499999999999999</v>
      </c>
      <c r="J27" s="5">
        <f>IF(VLOOKUP(A27,Dividende_je_Aktie!A3:AM68,10,FALSE)&lt;&gt;"",IF(VLOOKUP(A27,Ergebnis_je_Aktie_verwässert!A3:AK68,10,FALSE)&lt;&gt;"",IF(VLOOKUP(A27,Ergebnis_je_Aktie_verwässert!A3:AK68,10,FALSE)&lt;=0,9.99999,VLOOKUP(A27,Dividende_je_Aktie!A3:AM68,10,FALSE)/VLOOKUP(A27,Ergebnis_je_Aktie_verwässert!A3:AK68,10,FALSE)),""),"")</f>
        <v>0.17886178861788618</v>
      </c>
      <c r="K27" s="5">
        <f>IF(VLOOKUP(A27,Dividende_je_Aktie!A3:AM68,11,FALSE)&lt;&gt;"",IF(VLOOKUP(A27,Ergebnis_je_Aktie_verwässert!A3:AK68,11,FALSE)&lt;&gt;"",IF(VLOOKUP(A27,Ergebnis_je_Aktie_verwässert!A3:AK68,11,FALSE)&lt;=0,9.99999,VLOOKUP(A27,Dividende_je_Aktie!A3:AM68,11,FALSE)/VLOOKUP(A27,Ergebnis_je_Aktie_verwässert!A3:AK68,11,FALSE)),""),"")</f>
        <v>0.55000000000000004</v>
      </c>
      <c r="L27" s="5">
        <f>IF(VLOOKUP(A27,Dividende_je_Aktie!A3:AM68,12,FALSE)&lt;&gt;"",IF(VLOOKUP(A27,Ergebnis_je_Aktie_verwässert!A3:AK68,12,FALSE)&lt;&gt;"",IF(VLOOKUP(A27,Ergebnis_je_Aktie_verwässert!A3:AK68,12,FALSE)&lt;=0,9.99999,VLOOKUP(A27,Dividende_je_Aktie!A3:AM68,12,FALSE)/VLOOKUP(A27,Ergebnis_je_Aktie_verwässert!A3:AK68,12,FALSE)),""),"")</f>
        <v>0.20895522388059704</v>
      </c>
      <c r="M27" s="5">
        <f>IF(VLOOKUP(A27,Dividende_je_Aktie!A3:AM68,13,FALSE)&lt;&gt;"",IF(VLOOKUP(A27,Ergebnis_je_Aktie_verwässert!A3:AK68,13,FALSE)&lt;&gt;"",IF(VLOOKUP(A27,Ergebnis_je_Aktie_verwässert!A3:AK68,13,FALSE)&lt;=0,9.99999,VLOOKUP(A27,Dividende_je_Aktie!A3:AM68,13,FALSE)/VLOOKUP(A27,Ergebnis_je_Aktie_verwässert!A3:AK68,13,FALSE)),""),"")</f>
        <v>9.9999900000000004</v>
      </c>
      <c r="N27" s="5">
        <f>IF(VLOOKUP(A27,Dividende_je_Aktie!A3:AM68,14,FALSE)&lt;&gt;"",IF(VLOOKUP(A27,Ergebnis_je_Aktie_verwässert!A3:AK68,14,FALSE)&lt;&gt;"",IF(VLOOKUP(A27,Ergebnis_je_Aktie_verwässert!A3:AK68,14,FALSE)&lt;=0,9.99999,VLOOKUP(A27,Dividende_je_Aktie!A3:AM68,14,FALSE)/VLOOKUP(A27,Ergebnis_je_Aktie_verwässert!A3:AK68,14,FALSE)),""),"")</f>
        <v>0.63636363636363646</v>
      </c>
      <c r="O27" s="5">
        <f>IF(VLOOKUP(A27,Dividende_je_Aktie!A3:AM68,15,FALSE)&lt;&gt;"",IF(VLOOKUP(A27,Ergebnis_je_Aktie_verwässert!A3:AK68,15,FALSE)&lt;&gt;"",IF(VLOOKUP(A27,Ergebnis_je_Aktie_verwässert!A3:AK68,15,FALSE)&lt;=0,9.99999,VLOOKUP(A27,Dividende_je_Aktie!A3:AM68,15,FALSE)/VLOOKUP(A27,Ergebnis_je_Aktie_verwässert!A3:AK68,15,FALSE)),""),"")</f>
        <v>0.49107142857142855</v>
      </c>
      <c r="P27" s="5">
        <f>IF(VLOOKUP(A27,Dividende_je_Aktie!A3:AM68,16,FALSE)&lt;&gt;"",IF(VLOOKUP(A27,Ergebnis_je_Aktie_verwässert!A3:AK68,16,FALSE)&lt;&gt;"",IF(VLOOKUP(A27,Ergebnis_je_Aktie_verwässert!A3:AK68,16,FALSE)&lt;=0,9.99999,VLOOKUP(A27,Dividende_je_Aktie!A3:AM68,16,FALSE)/VLOOKUP(A27,Ergebnis_je_Aktie_verwässert!A3:AK68,16,FALSE)),""),"")</f>
        <v>0.38888888888888884</v>
      </c>
      <c r="Q27" s="5">
        <f>IF(VLOOKUP(A27,Dividende_je_Aktie!A3:AM68,17,FALSE)&lt;&gt;"",IF(VLOOKUP(A27,Ergebnis_je_Aktie_verwässert!A3:AK68,17,FALSE)&lt;&gt;"",IF(VLOOKUP(A27,Ergebnis_je_Aktie_verwässert!A3:AK68,17,FALSE)&lt;=0,9.99999,VLOOKUP(A27,Dividende_je_Aktie!A3:AM68,17,FALSE)/VLOOKUP(A27,Ergebnis_je_Aktie_verwässert!A3:AK68,17,FALSE)),""),"")</f>
        <v>0.34862385321100914</v>
      </c>
      <c r="R27" s="5">
        <f>IF(VLOOKUP(A27,Dividende_je_Aktie!A3:AM68,18,FALSE)&lt;&gt;"",IF(VLOOKUP(A27,Ergebnis_je_Aktie_verwässert!A3:AK68,18,FALSE)&lt;&gt;"",IF(VLOOKUP(A27,Ergebnis_je_Aktie_verwässert!A3:AK68,18,FALSE)&lt;=0,9.99999,VLOOKUP(A27,Dividende_je_Aktie!A3:AM68,18,FALSE)/VLOOKUP(A27,Ergebnis_je_Aktie_verwässert!A3:AK68,18,FALSE)),""),"")</f>
        <v>0.33653846153846151</v>
      </c>
      <c r="S27" s="10">
        <f t="shared" si="5"/>
        <v>1.295609602669497</v>
      </c>
      <c r="T27" s="4">
        <f t="shared" ca="1" si="0"/>
        <v>0</v>
      </c>
      <c r="U27" s="4">
        <f t="shared" ca="1" si="1"/>
        <v>73</v>
      </c>
      <c r="V27" s="4">
        <f t="shared" ca="1" si="2"/>
        <v>287</v>
      </c>
      <c r="W27" s="10">
        <f t="shared" ca="1" si="3"/>
        <v>1.0650720164609053</v>
      </c>
      <c r="X27" s="5">
        <f t="shared" ca="1" si="4"/>
        <v>-0.17793754054739019</v>
      </c>
    </row>
    <row r="28" spans="1:24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5">
        <f>IF(VLOOKUP(A28,Dividende_je_Aktie!A3:AM68,6,FALSE)&lt;&gt;"",IF(VLOOKUP(A28,Ergebnis_je_Aktie_verwässert!A3:AK68,6,FALSE)&lt;&gt;"",IF(VLOOKUP(A28,Ergebnis_je_Aktie_verwässert!A3:AK68,6,FALSE)&lt;=0,9.99999,VLOOKUP(A28,Dividende_je_Aktie!A3:AM68,6,FALSE)/VLOOKUP(A28,Ergebnis_je_Aktie_verwässert!A3:AK68,6,FALSE)),""),"")</f>
        <v>0.52222222222222214</v>
      </c>
      <c r="G28" s="5">
        <f>IF(VLOOKUP(A28,Dividende_je_Aktie!A3:AM68,7,FALSE)&lt;&gt;"",IF(VLOOKUP(A28,Ergebnis_je_Aktie_verwässert!A3:AK68,7,FALSE)&lt;&gt;"",IF(VLOOKUP(A28,Ergebnis_je_Aktie_verwässert!A3:AK68,7,FALSE)&lt;=0,9.99999,VLOOKUP(A28,Dividende_je_Aktie!A3:AM68,7,FALSE)/VLOOKUP(A28,Ergebnis_je_Aktie_verwässert!A3:AK68,7,FALSE)),""),"")</f>
        <v>0.63291139240506322</v>
      </c>
      <c r="H28" s="5">
        <f>IF(VLOOKUP(A28,Dividende_je_Aktie!A3:AM68,8,FALSE)&lt;&gt;"",IF(VLOOKUP(A28,Ergebnis_je_Aktie_verwässert!A3:AK68,8,FALSE)&lt;&gt;"",IF(VLOOKUP(A28,Ergebnis_je_Aktie_verwässert!A3:AK68,8,FALSE)&lt;=0,9.99999,VLOOKUP(A28,Dividende_je_Aktie!A3:AM68,8,FALSE)/VLOOKUP(A28,Ergebnis_je_Aktie_verwässert!A3:AK68,8,FALSE)),""),"")</f>
        <v>0.75862068965517249</v>
      </c>
      <c r="I28" s="5">
        <f>IF(VLOOKUP(A28,Dividende_je_Aktie!A3:AM68,9,FALSE)&lt;&gt;"",IF(VLOOKUP(A28,Ergebnis_je_Aktie_verwässert!A3:AK68,9,FALSE)&lt;&gt;"",IF(VLOOKUP(A28,Ergebnis_je_Aktie_verwässert!A3:AK68,9,FALSE)&lt;=0,9.99999,VLOOKUP(A28,Dividende_je_Aktie!A3:AM68,9,FALSE)/VLOOKUP(A28,Ergebnis_je_Aktie_verwässert!A3:AK68,9,FALSE)),""),"")</f>
        <v>0.78991596638655459</v>
      </c>
      <c r="J28" s="5">
        <f>IF(VLOOKUP(A28,Dividende_je_Aktie!A3:AM68,10,FALSE)&lt;&gt;"",IF(VLOOKUP(A28,Ergebnis_je_Aktie_verwässert!A3:AK68,10,FALSE)&lt;&gt;"",IF(VLOOKUP(A28,Ergebnis_je_Aktie_verwässert!A3:AK68,10,FALSE)&lt;=0,9.99999,VLOOKUP(A28,Dividende_je_Aktie!A3:AM68,10,FALSE)/VLOOKUP(A28,Ergebnis_je_Aktie_verwässert!A3:AK68,10,FALSE)),""),"")</f>
        <v>0.69230769230769229</v>
      </c>
      <c r="K28" s="5">
        <f>IF(VLOOKUP(A28,Dividende_je_Aktie!A3:AM68,11,FALSE)&lt;&gt;"",IF(VLOOKUP(A28,Ergebnis_je_Aktie_verwässert!A3:AK68,11,FALSE)&lt;&gt;"",IF(VLOOKUP(A28,Ergebnis_je_Aktie_verwässert!A3:AK68,11,FALSE)&lt;=0,9.99999,VLOOKUP(A28,Dividende_je_Aktie!A3:AM68,11,FALSE)/VLOOKUP(A28,Ergebnis_je_Aktie_verwässert!A3:AK68,11,FALSE)),""),"")</f>
        <v>0.40566037735849053</v>
      </c>
      <c r="L28" s="5">
        <f>IF(VLOOKUP(A28,Dividende_je_Aktie!A3:AM68,12,FALSE)&lt;&gt;"",IF(VLOOKUP(A28,Ergebnis_je_Aktie_verwässert!A3:AK68,12,FALSE)&lt;&gt;"",IF(VLOOKUP(A28,Ergebnis_je_Aktie_verwässert!A3:AK68,12,FALSE)&lt;=0,9.99999,VLOOKUP(A28,Dividende_je_Aktie!A3:AM68,12,FALSE)/VLOOKUP(A28,Ergebnis_je_Aktie_verwässert!A3:AK68,12,FALSE)),""),"")</f>
        <v>0.3380281690140845</v>
      </c>
      <c r="M28" s="5">
        <f>IF(VLOOKUP(A28,Dividende_je_Aktie!A3:AM68,13,FALSE)&lt;&gt;"",IF(VLOOKUP(A28,Ergebnis_je_Aktie_verwässert!A3:AK68,13,FALSE)&lt;&gt;"",IF(VLOOKUP(A28,Ergebnis_je_Aktie_verwässert!A3:AK68,13,FALSE)&lt;=0,9.99999,VLOOKUP(A28,Dividende_je_Aktie!A3:AM68,13,FALSE)/VLOOKUP(A28,Ergebnis_je_Aktie_verwässert!A3:AK68,13,FALSE)),""),"")</f>
        <v>0.51219512195121952</v>
      </c>
      <c r="N28" s="5">
        <f>IF(VLOOKUP(A28,Dividende_je_Aktie!A3:AM68,14,FALSE)&lt;&gt;"",IF(VLOOKUP(A28,Ergebnis_je_Aktie_verwässert!A3:AK68,14,FALSE)&lt;&gt;"",IF(VLOOKUP(A28,Ergebnis_je_Aktie_verwässert!A3:AK68,14,FALSE)&lt;=0,9.99999,VLOOKUP(A28,Dividende_je_Aktie!A3:AM68,14,FALSE)/VLOOKUP(A28,Ergebnis_je_Aktie_verwässert!A3:AK68,14,FALSE)),""),"")</f>
        <v>0.81372549019607843</v>
      </c>
      <c r="O28" s="5">
        <f>IF(VLOOKUP(A28,Dividende_je_Aktie!A3:AM68,15,FALSE)&lt;&gt;"",IF(VLOOKUP(A28,Ergebnis_je_Aktie_verwässert!A3:AK68,15,FALSE)&lt;&gt;"",IF(VLOOKUP(A28,Ergebnis_je_Aktie_verwässert!A3:AK68,15,FALSE)&lt;=0,9.99999,VLOOKUP(A28,Dividende_je_Aktie!A3:AM68,15,FALSE)/VLOOKUP(A28,Ergebnis_je_Aktie_verwässert!A3:AK68,15,FALSE)),""),"")</f>
        <v>0.37558685446009393</v>
      </c>
      <c r="P28" s="5">
        <f>IF(VLOOKUP(A28,Dividende_je_Aktie!A3:AM68,16,FALSE)&lt;&gt;"",IF(VLOOKUP(A28,Ergebnis_je_Aktie_verwässert!A3:AK68,16,FALSE)&lt;&gt;"",IF(VLOOKUP(A28,Ergebnis_je_Aktie_verwässert!A3:AK68,16,FALSE)&lt;=0,9.99999,VLOOKUP(A28,Dividende_je_Aktie!A3:AM68,16,FALSE)/VLOOKUP(A28,Ergebnis_je_Aktie_verwässert!A3:AK68,16,FALSE)),""),"")</f>
        <v>0.28857715430861719</v>
      </c>
      <c r="Q28" s="5">
        <f>IF(VLOOKUP(A28,Dividende_je_Aktie!A3:AM68,17,FALSE)&lt;&gt;"",IF(VLOOKUP(A28,Ergebnis_je_Aktie_verwässert!A3:AK68,17,FALSE)&lt;&gt;"",IF(VLOOKUP(A28,Ergebnis_je_Aktie_verwässert!A3:AK68,17,FALSE)&lt;=0,9.99999,VLOOKUP(A28,Dividende_je_Aktie!A3:AM68,17,FALSE)/VLOOKUP(A28,Ergebnis_je_Aktie_verwässert!A3:AK68,17,FALSE)),""),"")</f>
        <v>0.32151898734177214</v>
      </c>
      <c r="R28" s="5">
        <f>IF(VLOOKUP(A28,Dividende_je_Aktie!A3:AM68,18,FALSE)&lt;&gt;"",IF(VLOOKUP(A28,Ergebnis_je_Aktie_verwässert!A3:AK68,18,FALSE)&lt;&gt;"",IF(VLOOKUP(A28,Ergebnis_je_Aktie_verwässert!A3:AK68,18,FALSE)&lt;=0,9.99999,VLOOKUP(A28,Dividende_je_Aktie!A3:AM68,18,FALSE)/VLOOKUP(A28,Ergebnis_je_Aktie_verwässert!A3:AK68,18,FALSE)),""),"")</f>
        <v>0.29894179894179895</v>
      </c>
      <c r="S28" s="10">
        <f t="shared" si="5"/>
        <v>0.5192470705037584</v>
      </c>
      <c r="T28" s="4">
        <f t="shared" ca="1" si="0"/>
        <v>0</v>
      </c>
      <c r="U28" s="4">
        <f t="shared" ca="1" si="1"/>
        <v>73</v>
      </c>
      <c r="V28" s="4">
        <f t="shared" ca="1" si="2"/>
        <v>287</v>
      </c>
      <c r="W28" s="10">
        <f t="shared" ca="1" si="3"/>
        <v>0.73312963771278927</v>
      </c>
      <c r="X28" s="5">
        <f t="shared" ca="1" si="4"/>
        <v>0.41190904938862394</v>
      </c>
    </row>
    <row r="29" spans="1:24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5">
        <f>IF(VLOOKUP(A29,Dividende_je_Aktie!A3:AM68,6,FALSE)&lt;&gt;"",IF(VLOOKUP(A29,Ergebnis_je_Aktie_verwässert!A3:AK68,6,FALSE)&lt;&gt;"",IF(VLOOKUP(A29,Ergebnis_je_Aktie_verwässert!A3:AK68,6,FALSE)&lt;=0,9.99999,VLOOKUP(A29,Dividende_je_Aktie!A3:AM68,6,FALSE)/VLOOKUP(A29,Ergebnis_je_Aktie_verwässert!A3:AK68,6,FALSE)),""),"")</f>
        <v>2.0458553791887124</v>
      </c>
      <c r="G29" s="5">
        <f>IF(VLOOKUP(A29,Dividende_je_Aktie!A3:AM68,7,FALSE)&lt;&gt;"",IF(VLOOKUP(A29,Ergebnis_je_Aktie_verwässert!A3:AK68,7,FALSE)&lt;&gt;"",IF(VLOOKUP(A29,Ergebnis_je_Aktie_verwässert!A3:AK68,7,FALSE)&lt;=0,9.99999,VLOOKUP(A29,Dividende_je_Aktie!A3:AM68,7,FALSE)/VLOOKUP(A29,Ergebnis_je_Aktie_verwässert!A3:AK68,7,FALSE)),""),"")</f>
        <v>3.2670454545454546</v>
      </c>
      <c r="H29" s="5">
        <f>IF(VLOOKUP(A29,Dividende_je_Aktie!A3:AM68,8,FALSE)&lt;&gt;"",IF(VLOOKUP(A29,Ergebnis_je_Aktie_verwässert!A3:AK68,8,FALSE)&lt;&gt;"",IF(VLOOKUP(A29,Ergebnis_je_Aktie_verwässert!A3:AK68,8,FALSE)&lt;=0,9.99999,VLOOKUP(A29,Dividende_je_Aktie!A3:AM68,8,FALSE)/VLOOKUP(A29,Ergebnis_je_Aktie_verwässert!A3:AK68,8,FALSE)),""),"")</f>
        <v>0.6384180790960452</v>
      </c>
      <c r="I29" s="5">
        <f>IF(VLOOKUP(A29,Dividende_je_Aktie!A3:AM68,9,FALSE)&lt;&gt;"",IF(VLOOKUP(A29,Ergebnis_je_Aktie_verwässert!A3:AK68,9,FALSE)&lt;&gt;"",IF(VLOOKUP(A29,Ergebnis_je_Aktie_verwässert!A3:AK68,9,FALSE)&lt;=0,9.99999,VLOOKUP(A29,Dividende_je_Aktie!A3:AM68,9,FALSE)/VLOOKUP(A29,Ergebnis_je_Aktie_verwässert!A3:AK68,9,FALSE)),""),"")</f>
        <v>0.26378896882494007</v>
      </c>
      <c r="J29" s="5">
        <f>IF(VLOOKUP(A29,Dividende_je_Aktie!A3:AM68,10,FALSE)&lt;&gt;"",IF(VLOOKUP(A29,Ergebnis_je_Aktie_verwässert!A3:AK68,10,FALSE)&lt;&gt;"",IF(VLOOKUP(A29,Ergebnis_je_Aktie_verwässert!A3:AK68,10,FALSE)&lt;=0,9.99999,VLOOKUP(A29,Dividende_je_Aktie!A3:AM68,10,FALSE)/VLOOKUP(A29,Ergebnis_je_Aktie_verwässert!A3:AK68,10,FALSE)),""),"")</f>
        <v>11.494252873563219</v>
      </c>
      <c r="K29" s="5">
        <f>IF(VLOOKUP(A29,Dividende_je_Aktie!A3:AM68,11,FALSE)&lt;&gt;"",IF(VLOOKUP(A29,Ergebnis_je_Aktie_verwässert!A3:AK68,11,FALSE)&lt;&gt;"",IF(VLOOKUP(A29,Ergebnis_je_Aktie_verwässert!A3:AK68,11,FALSE)&lt;=0,9.99999,VLOOKUP(A29,Dividende_je_Aktie!A3:AM68,11,FALSE)/VLOOKUP(A29,Ergebnis_je_Aktie_verwässert!A3:AK68,11,FALSE)),""),"")</f>
        <v>0.67857142857142849</v>
      </c>
      <c r="L29" s="5">
        <f>IF(VLOOKUP(A29,Dividende_je_Aktie!A3:AM68,12,FALSE)&lt;&gt;"",IF(VLOOKUP(A29,Ergebnis_je_Aktie_verwässert!A3:AK68,12,FALSE)&lt;&gt;"",IF(VLOOKUP(A29,Ergebnis_je_Aktie_verwässert!A3:AK68,12,FALSE)&lt;=0,9.99999,VLOOKUP(A29,Dividende_je_Aktie!A3:AM68,12,FALSE)/VLOOKUP(A29,Ergebnis_je_Aktie_verwässert!A3:AK68,12,FALSE)),""),"")</f>
        <v>0.59333333333333338</v>
      </c>
      <c r="M29" s="5">
        <f>IF(VLOOKUP(A29,Dividende_je_Aktie!A3:AM68,13,FALSE)&lt;&gt;"",IF(VLOOKUP(A29,Ergebnis_je_Aktie_verwässert!A3:AK68,13,FALSE)&lt;&gt;"",IF(VLOOKUP(A29,Ergebnis_je_Aktie_verwässert!A3:AK68,13,FALSE)&lt;=0,9.99999,VLOOKUP(A29,Dividende_je_Aktie!A3:AM68,13,FALSE)/VLOOKUP(A29,Ergebnis_je_Aktie_verwässert!A3:AK68,13,FALSE)),""),"")</f>
        <v>0.51875000000000004</v>
      </c>
      <c r="N29" s="5">
        <f>IF(VLOOKUP(A29,Dividende_je_Aktie!A3:AM68,14,FALSE)&lt;&gt;"",IF(VLOOKUP(A29,Ergebnis_je_Aktie_verwässert!A3:AK68,14,FALSE)&lt;&gt;"",IF(VLOOKUP(A29,Ergebnis_je_Aktie_verwässert!A3:AK68,14,FALSE)&lt;=0,9.99999,VLOOKUP(A29,Dividende_je_Aktie!A3:AM68,14,FALSE)/VLOOKUP(A29,Ergebnis_je_Aktie_verwässert!A3:AK68,14,FALSE)),""),"")</f>
        <v>0.93333333333333335</v>
      </c>
      <c r="O29" s="5">
        <f>IF(VLOOKUP(A29,Dividende_je_Aktie!A3:AM68,15,FALSE)&lt;&gt;"",IF(VLOOKUP(A29,Ergebnis_je_Aktie_verwässert!A3:AK68,15,FALSE)&lt;&gt;"",IF(VLOOKUP(A29,Ergebnis_je_Aktie_verwässert!A3:AK68,15,FALSE)&lt;=0,9.99999,VLOOKUP(A29,Dividende_je_Aktie!A3:AM68,15,FALSE)/VLOOKUP(A29,Ergebnis_je_Aktie_verwässert!A3:AK68,15,FALSE)),""),"")</f>
        <v>0.57692307692307687</v>
      </c>
      <c r="P29" s="5">
        <f>IF(VLOOKUP(A29,Dividende_je_Aktie!A3:AM68,16,FALSE)&lt;&gt;"",IF(VLOOKUP(A29,Ergebnis_je_Aktie_verwässert!A3:AK68,16,FALSE)&lt;&gt;"",IF(VLOOKUP(A29,Ergebnis_je_Aktie_verwässert!A3:AK68,16,FALSE)&lt;=0,9.99999,VLOOKUP(A29,Dividende_je_Aktie!A3:AM68,16,FALSE)/VLOOKUP(A29,Ergebnis_je_Aktie_verwässert!A3:AK68,16,FALSE)),""),"")</f>
        <v>9.9999900000000004</v>
      </c>
      <c r="Q29" s="5">
        <f>IF(VLOOKUP(A29,Dividende_je_Aktie!A3:AM68,17,FALSE)&lt;&gt;"",IF(VLOOKUP(A29,Ergebnis_je_Aktie_verwässert!A3:AK68,17,FALSE)&lt;&gt;"",IF(VLOOKUP(A29,Ergebnis_je_Aktie_verwässert!A3:AK68,17,FALSE)&lt;=0,9.99999,VLOOKUP(A29,Dividende_je_Aktie!A3:AM68,17,FALSE)/VLOOKUP(A29,Ergebnis_je_Aktie_verwässert!A3:AK68,17,FALSE)),""),"")</f>
        <v>9.9999900000000004</v>
      </c>
      <c r="R29" s="5">
        <f>IF(VLOOKUP(A29,Dividende_je_Aktie!A3:AM68,18,FALSE)&lt;&gt;"",IF(VLOOKUP(A29,Ergebnis_je_Aktie_verwässert!A3:AK68,18,FALSE)&lt;&gt;"",IF(VLOOKUP(A29,Ergebnis_je_Aktie_verwässert!A3:AK68,18,FALSE)&lt;=0,9.99999,VLOOKUP(A29,Dividende_je_Aktie!A3:AM68,18,FALSE)/VLOOKUP(A29,Ergebnis_je_Aktie_verwässert!A3:AK68,18,FALSE)),""),"")</f>
        <v>9.9999900000000004</v>
      </c>
      <c r="S29" s="10">
        <f t="shared" si="5"/>
        <v>3.92386476364458</v>
      </c>
      <c r="T29" s="4">
        <f t="shared" ca="1" si="0"/>
        <v>0</v>
      </c>
      <c r="U29" s="4">
        <f t="shared" ca="1" si="1"/>
        <v>343</v>
      </c>
      <c r="V29" s="4">
        <f t="shared" ca="1" si="2"/>
        <v>17</v>
      </c>
      <c r="W29" s="10">
        <f t="shared" ca="1" si="3"/>
        <v>3.1429158284825656</v>
      </c>
      <c r="X29" s="5">
        <f t="shared" ca="1" si="4"/>
        <v>-0.19902544613608197</v>
      </c>
    </row>
    <row r="30" spans="1:24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5">
        <f>IF(VLOOKUP(A30,Dividende_je_Aktie!A3:AM68,6,FALSE)&lt;&gt;"",IF(VLOOKUP(A30,Ergebnis_je_Aktie_verwässert!A3:AK68,6,FALSE)&lt;&gt;"",IF(VLOOKUP(A30,Ergebnis_je_Aktie_verwässert!A3:AK68,6,FALSE)&lt;=0,9.99999,VLOOKUP(A30,Dividende_je_Aktie!A3:AM68,6,FALSE)/VLOOKUP(A30,Ergebnis_je_Aktie_verwässert!A3:AK68,6,FALSE)),""),"")</f>
        <v>0.66504854368932043</v>
      </c>
      <c r="G30" s="5">
        <f>IF(VLOOKUP(A30,Dividende_je_Aktie!A3:AM68,7,FALSE)&lt;&gt;"",IF(VLOOKUP(A30,Ergebnis_je_Aktie_verwässert!A3:AK68,7,FALSE)&lt;&gt;"",IF(VLOOKUP(A30,Ergebnis_je_Aktie_verwässert!A3:AK68,7,FALSE)&lt;=0,9.99999,VLOOKUP(A30,Dividende_je_Aktie!A3:AM68,7,FALSE)/VLOOKUP(A30,Ergebnis_je_Aktie_verwässert!A3:AK68,7,FALSE)),""),"")</f>
        <v>0.66666666666666674</v>
      </c>
      <c r="H30" s="5">
        <f>IF(VLOOKUP(A30,Dividende_je_Aktie!A3:AM68,8,FALSE)&lt;&gt;"",IF(VLOOKUP(A30,Ergebnis_je_Aktie_verwässert!A3:AK68,8,FALSE)&lt;&gt;"",IF(VLOOKUP(A30,Ergebnis_je_Aktie_verwässert!A3:AK68,8,FALSE)&lt;=0,9.99999,VLOOKUP(A30,Dividende_je_Aktie!A3:AM68,8,FALSE)/VLOOKUP(A30,Ergebnis_je_Aktie_verwässert!A3:AK68,8,FALSE)),""),"")</f>
        <v>0.67045454545454541</v>
      </c>
      <c r="I30" s="5">
        <f>IF(VLOOKUP(A30,Dividende_je_Aktie!A3:AM68,9,FALSE)&lt;&gt;"",IF(VLOOKUP(A30,Ergebnis_je_Aktie_verwässert!A3:AK68,9,FALSE)&lt;&gt;"",IF(VLOOKUP(A30,Ergebnis_je_Aktie_verwässert!A3:AK68,9,FALSE)&lt;=0,9.99999,VLOOKUP(A30,Dividende_je_Aktie!A3:AM68,9,FALSE)/VLOOKUP(A30,Ergebnis_je_Aktie_verwässert!A3:AK68,9,FALSE)),""),"")</f>
        <v>0.62569832402234637</v>
      </c>
      <c r="J30" s="5">
        <f>IF(VLOOKUP(A30,Dividende_je_Aktie!A3:AM68,10,FALSE)&lt;&gt;"",IF(VLOOKUP(A30,Ergebnis_je_Aktie_verwässert!A3:AK68,10,FALSE)&lt;&gt;"",IF(VLOOKUP(A30,Ergebnis_je_Aktie_verwässert!A3:AK68,10,FALSE)&lt;=0,9.99999,VLOOKUP(A30,Dividende_je_Aktie!A3:AM68,10,FALSE)/VLOOKUP(A30,Ergebnis_je_Aktie_verwässert!A3:AK68,10,FALSE)),""),"")</f>
        <v>0.6325301204819278</v>
      </c>
      <c r="K30" s="5">
        <f>IF(VLOOKUP(A30,Dividende_je_Aktie!A3:AM68,11,FALSE)&lt;&gt;"",IF(VLOOKUP(A30,Ergebnis_je_Aktie_verwässert!A3:AK68,11,FALSE)&lt;&gt;"",IF(VLOOKUP(A30,Ergebnis_je_Aktie_verwässert!A3:AK68,11,FALSE)&lt;=0,9.99999,VLOOKUP(A30,Dividende_je_Aktie!A3:AM68,11,FALSE)/VLOOKUP(A30,Ergebnis_je_Aktie_verwässert!A3:AK68,11,FALSE)),""),"")</f>
        <v>0.6298701298701298</v>
      </c>
      <c r="L30" s="5">
        <f>IF(VLOOKUP(A30,Dividende_je_Aktie!A3:AM68,12,FALSE)&lt;&gt;"",IF(VLOOKUP(A30,Ergebnis_je_Aktie_verwässert!A3:AK68,12,FALSE)&lt;&gt;"",IF(VLOOKUP(A30,Ergebnis_je_Aktie_verwässert!A3:AK68,12,FALSE)&lt;=0,9.99999,VLOOKUP(A30,Dividende_je_Aktie!A3:AM68,12,FALSE)/VLOOKUP(A30,Ergebnis_je_Aktie_verwässert!A3:AK68,12,FALSE)),""),"")</f>
        <v>0.61643835616438358</v>
      </c>
      <c r="M30" s="5">
        <f>IF(VLOOKUP(A30,Dividende_je_Aktie!A3:AM68,13,FALSE)&lt;&gt;"",IF(VLOOKUP(A30,Ergebnis_je_Aktie_verwässert!A3:AK68,13,FALSE)&lt;&gt;"",IF(VLOOKUP(A30,Ergebnis_je_Aktie_verwässert!A3:AK68,13,FALSE)&lt;=0,9.99999,VLOOKUP(A30,Dividende_je_Aktie!A3:AM68,13,FALSE)/VLOOKUP(A30,Ergebnis_je_Aktie_verwässert!A3:AK68,13,FALSE)),""),"")</f>
        <v>0.56849315068493145</v>
      </c>
      <c r="N30" s="5">
        <f>IF(VLOOKUP(A30,Dividende_je_Aktie!A3:AM68,14,FALSE)&lt;&gt;"",IF(VLOOKUP(A30,Ergebnis_je_Aktie_verwässert!A3:AK68,14,FALSE)&lt;&gt;"",IF(VLOOKUP(A30,Ergebnis_je_Aktie_verwässert!A3:AK68,14,FALSE)&lt;=0,9.99999,VLOOKUP(A30,Dividende_je_Aktie!A3:AM68,14,FALSE)/VLOOKUP(A30,Ergebnis_je_Aktie_verwässert!A3:AK68,14,FALSE)),""),"")</f>
        <v>0.39316239316239321</v>
      </c>
      <c r="O30" s="5">
        <f>IF(VLOOKUP(A30,Dividende_je_Aktie!A3:AM68,15,FALSE)&lt;&gt;"",IF(VLOOKUP(A30,Ergebnis_je_Aktie_verwässert!A3:AK68,15,FALSE)&lt;&gt;"",IF(VLOOKUP(A30,Ergebnis_je_Aktie_verwässert!A3:AK68,15,FALSE)&lt;=0,9.99999,VLOOKUP(A30,Dividende_je_Aktie!A3:AM68,15,FALSE)/VLOOKUP(A30,Ergebnis_je_Aktie_verwässert!A3:AK68,15,FALSE)),""),"")</f>
        <v>0.44508670520231214</v>
      </c>
      <c r="P30" s="5">
        <f>IF(VLOOKUP(A30,Dividende_je_Aktie!A3:AM68,16,FALSE)&lt;&gt;"",IF(VLOOKUP(A30,Ergebnis_je_Aktie_verwässert!A3:AK68,16,FALSE)&lt;&gt;"",IF(VLOOKUP(A30,Ergebnis_je_Aktie_verwässert!A3:AK68,16,FALSE)&lt;=0,9.99999,VLOOKUP(A30,Dividende_je_Aktie!A3:AM68,16,FALSE)/VLOOKUP(A30,Ergebnis_je_Aktie_verwässert!A3:AK68,16,FALSE)),""),"")</f>
        <v>0.5725190839694656</v>
      </c>
      <c r="Q30" s="5">
        <f>IF(VLOOKUP(A30,Dividende_je_Aktie!A3:AM68,17,FALSE)&lt;&gt;"",IF(VLOOKUP(A30,Ergebnis_je_Aktie_verwässert!A3:AK68,17,FALSE)&lt;&gt;"",IF(VLOOKUP(A30,Ergebnis_je_Aktie_verwässert!A3:AK68,17,FALSE)&lt;=0,9.99999,VLOOKUP(A30,Dividende_je_Aktie!A3:AM68,17,FALSE)/VLOOKUP(A30,Ergebnis_je_Aktie_verwässert!A3:AK68,17,FALSE)),""),"")</f>
        <v>0.6</v>
      </c>
      <c r="R30" s="5">
        <f>IF(VLOOKUP(A30,Dividende_je_Aktie!A3:AM68,18,FALSE)&lt;&gt;"",IF(VLOOKUP(A30,Ergebnis_je_Aktie_verwässert!A3:AK68,18,FALSE)&lt;&gt;"",IF(VLOOKUP(A30,Ergebnis_je_Aktie_verwässert!A3:AK68,18,FALSE)&lt;=0,9.99999,VLOOKUP(A30,Dividende_je_Aktie!A3:AM68,18,FALSE)/VLOOKUP(A30,Ergebnis_je_Aktie_verwässert!A3:AK68,18,FALSE)),""),"")</f>
        <v>0.52800000000000002</v>
      </c>
      <c r="S30" s="10">
        <f t="shared" si="5"/>
        <v>0.58568984764372489</v>
      </c>
      <c r="T30" s="4">
        <f t="shared" ca="1" si="0"/>
        <v>0</v>
      </c>
      <c r="U30" s="4">
        <f t="shared" ca="1" si="1"/>
        <v>73</v>
      </c>
      <c r="V30" s="4">
        <f t="shared" ca="1" si="2"/>
        <v>287</v>
      </c>
      <c r="W30" s="10">
        <f t="shared" ca="1" si="3"/>
        <v>0.66968644781144782</v>
      </c>
      <c r="X30" s="5">
        <f t="shared" ca="1" si="4"/>
        <v>0.14341481332764716</v>
      </c>
    </row>
    <row r="31" spans="1:24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5">
        <f>IF(VLOOKUP(A31,Dividende_je_Aktie!A3:AM68,6,FALSE)&lt;&gt;"",IF(VLOOKUP(A31,Ergebnis_je_Aktie_verwässert!A3:AK68,6,FALSE)&lt;&gt;"",IF(VLOOKUP(A31,Ergebnis_je_Aktie_verwässert!A3:AK68,6,FALSE)&lt;=0,9.99999,VLOOKUP(A31,Dividende_je_Aktie!A3:AM68,6,FALSE)/VLOOKUP(A31,Ergebnis_je_Aktie_verwässert!A3:AK68,6,FALSE)),""),"")</f>
        <v>0.72592592592592586</v>
      </c>
      <c r="G31" s="5">
        <f>IF(VLOOKUP(A31,Dividende_je_Aktie!A3:AM68,7,FALSE)&lt;&gt;"",IF(VLOOKUP(A31,Ergebnis_je_Aktie_verwässert!A3:AK68,7,FALSE)&lt;&gt;"",IF(VLOOKUP(A31,Ergebnis_je_Aktie_verwässert!A3:AK68,7,FALSE)&lt;=0,9.99999,VLOOKUP(A31,Dividende_je_Aktie!A3:AM68,7,FALSE)/VLOOKUP(A31,Ergebnis_je_Aktie_verwässert!A3:AK68,7,FALSE)),""),"")</f>
        <v>0.73946360153256707</v>
      </c>
      <c r="H31" s="5">
        <f>IF(VLOOKUP(A31,Dividende_je_Aktie!A3:AM68,8,FALSE)&lt;&gt;"",IF(VLOOKUP(A31,Ergebnis_je_Aktie_verwässert!A3:AK68,8,FALSE)&lt;&gt;"",IF(VLOOKUP(A31,Ergebnis_je_Aktie_verwässert!A3:AK68,8,FALSE)&lt;=0,9.99999,VLOOKUP(A31,Dividende_je_Aktie!A3:AM68,8,FALSE)/VLOOKUP(A31,Ergebnis_je_Aktie_verwässert!A3:AK68,8,FALSE)),""),"")</f>
        <v>0.74409448818897628</v>
      </c>
      <c r="I31" s="5">
        <f>IF(VLOOKUP(A31,Dividende_je_Aktie!A3:AM68,9,FALSE)&lt;&gt;"",IF(VLOOKUP(A31,Ergebnis_je_Aktie_verwässert!A3:AK68,9,FALSE)&lt;&gt;"",IF(VLOOKUP(A31,Ergebnis_je_Aktie_verwässert!A3:AK68,9,FALSE)&lt;=0,9.99999,VLOOKUP(A31,Dividende_je_Aktie!A3:AM68,9,FALSE)/VLOOKUP(A31,Ergebnis_je_Aktie_verwässert!A3:AK68,9,FALSE)),""),"")</f>
        <v>0.85253456221198165</v>
      </c>
      <c r="J31" s="5">
        <f>IF(VLOOKUP(A31,Dividende_je_Aktie!A3:AM68,10,FALSE)&lt;&gt;"",IF(VLOOKUP(A31,Ergebnis_je_Aktie_verwässert!A3:AK68,10,FALSE)&lt;&gt;"",IF(VLOOKUP(A31,Ergebnis_je_Aktie_verwässert!A3:AK68,10,FALSE)&lt;=0,9.99999,VLOOKUP(A31,Dividende_je_Aktie!A3:AM68,10,FALSE)/VLOOKUP(A31,Ergebnis_je_Aktie_verwässert!A3:AK68,10,FALSE)),""),"")</f>
        <v>0.7357723577235773</v>
      </c>
      <c r="K31" s="5">
        <f>IF(VLOOKUP(A31,Dividende_je_Aktie!A3:AM68,11,FALSE)&lt;&gt;"",IF(VLOOKUP(A31,Ergebnis_je_Aktie_verwässert!A3:AK68,11,FALSE)&lt;&gt;"",IF(VLOOKUP(A31,Ergebnis_je_Aktie_verwässert!A3:AK68,11,FALSE)&lt;=0,9.99999,VLOOKUP(A31,Dividende_je_Aktie!A3:AM68,11,FALSE)/VLOOKUP(A31,Ergebnis_je_Aktie_verwässert!A3:AK68,11,FALSE)),""),"")</f>
        <v>0.72244897959183674</v>
      </c>
      <c r="L31" s="5">
        <f>IF(VLOOKUP(A31,Dividende_je_Aktie!A3:AM68,12,FALSE)&lt;&gt;"",IF(VLOOKUP(A31,Ergebnis_je_Aktie_verwässert!A3:AK68,12,FALSE)&lt;&gt;"",IF(VLOOKUP(A31,Ergebnis_je_Aktie_verwässert!A3:AK68,12,FALSE)&lt;=0,9.99999,VLOOKUP(A31,Dividende_je_Aktie!A3:AM68,12,FALSE)/VLOOKUP(A31,Ergebnis_je_Aktie_verwässert!A3:AK68,12,FALSE)),""),"")</f>
        <v>0.87309644670050757</v>
      </c>
      <c r="M31" s="5">
        <f>IF(VLOOKUP(A31,Dividende_je_Aktie!A3:AM68,13,FALSE)&lt;&gt;"",IF(VLOOKUP(A31,Ergebnis_je_Aktie_verwässert!A3:AK68,13,FALSE)&lt;&gt;"",IF(VLOOKUP(A31,Ergebnis_je_Aktie_verwässert!A3:AK68,13,FALSE)&lt;=0,9.99999,VLOOKUP(A31,Dividende_je_Aktie!A3:AM68,13,FALSE)/VLOOKUP(A31,Ergebnis_je_Aktie_verwässert!A3:AK68,13,FALSE)),""),"")</f>
        <v>0.52173913043478259</v>
      </c>
      <c r="N31" s="5">
        <f>IF(VLOOKUP(A31,Dividende_je_Aktie!A3:AM68,14,FALSE)&lt;&gt;"",IF(VLOOKUP(A31,Ergebnis_je_Aktie_verwässert!A3:AK68,14,FALSE)&lt;&gt;"",IF(VLOOKUP(A31,Ergebnis_je_Aktie_verwässert!A3:AK68,14,FALSE)&lt;=0,9.99999,VLOOKUP(A31,Dividende_je_Aktie!A3:AM68,14,FALSE)/VLOOKUP(A31,Ergebnis_je_Aktie_verwässert!A3:AK68,14,FALSE)),""),"")</f>
        <v>0.77830188679245271</v>
      </c>
      <c r="O31" s="5">
        <f>IF(VLOOKUP(A31,Dividende_je_Aktie!A3:AM68,15,FALSE)&lt;&gt;"",IF(VLOOKUP(A31,Ergebnis_je_Aktie_verwässert!A3:AK68,15,FALSE)&lt;&gt;"",IF(VLOOKUP(A31,Ergebnis_je_Aktie_verwässert!A3:AK68,15,FALSE)&lt;=0,9.99999,VLOOKUP(A31,Dividende_je_Aktie!A3:AM68,15,FALSE)/VLOOKUP(A31,Ergebnis_je_Aktie_verwässert!A3:AK68,15,FALSE)),""),"")</f>
        <v>0.74537037037037035</v>
      </c>
      <c r="P31" s="5">
        <f>IF(VLOOKUP(A31,Dividende_je_Aktie!A3:AM68,16,FALSE)&lt;&gt;"",IF(VLOOKUP(A31,Ergebnis_je_Aktie_verwässert!A3:AK68,16,FALSE)&lt;&gt;"",IF(VLOOKUP(A31,Ergebnis_je_Aktie_verwässert!A3:AK68,16,FALSE)&lt;=0,9.99999,VLOOKUP(A31,Dividende_je_Aktie!A3:AM68,16,FALSE)/VLOOKUP(A31,Ergebnis_je_Aktie_verwässert!A3:AK68,16,FALSE)),""),"")</f>
        <v>0.75773195876288657</v>
      </c>
      <c r="Q31" s="5">
        <f>IF(VLOOKUP(A31,Dividende_je_Aktie!A3:AM68,17,FALSE)&lt;&gt;"",IF(VLOOKUP(A31,Ergebnis_je_Aktie_verwässert!A3:AK68,17,FALSE)&lt;&gt;"",IF(VLOOKUP(A31,Ergebnis_je_Aktie_verwässert!A3:AK68,17,FALSE)&lt;=0,9.99999,VLOOKUP(A31,Dividende_je_Aktie!A3:AM68,17,FALSE)/VLOOKUP(A31,Ergebnis_je_Aktie_verwässert!A3:AK68,17,FALSE)),""),"")</f>
        <v>0.71428571428571441</v>
      </c>
      <c r="R31" s="5">
        <f>IF(VLOOKUP(A31,Dividende_je_Aktie!A3:AM68,18,FALSE)&lt;&gt;"",IF(VLOOKUP(A31,Ergebnis_je_Aktie_verwässert!A3:AK68,18,FALSE)&lt;&gt;"",IF(VLOOKUP(A31,Ergebnis_je_Aktie_verwässert!A3:AK68,18,FALSE)&lt;=0,9.99999,VLOOKUP(A31,Dividende_je_Aktie!A3:AM68,18,FALSE)/VLOOKUP(A31,Ergebnis_je_Aktie_verwässert!A3:AK68,18,FALSE)),""),"")</f>
        <v>0.91549295774647899</v>
      </c>
      <c r="S31" s="10">
        <f t="shared" si="5"/>
        <v>0.75586602925138913</v>
      </c>
      <c r="T31" s="4">
        <f t="shared" ca="1" si="0"/>
        <v>0</v>
      </c>
      <c r="U31" s="4">
        <f t="shared" ca="1" si="1"/>
        <v>73</v>
      </c>
      <c r="V31" s="4">
        <f t="shared" ca="1" si="2"/>
        <v>287</v>
      </c>
      <c r="W31" s="10">
        <f t="shared" ca="1" si="3"/>
        <v>0.7431554472836488</v>
      </c>
      <c r="X31" s="5">
        <f t="shared" ca="1" si="4"/>
        <v>-1.6815919059530837E-2</v>
      </c>
    </row>
    <row r="32" spans="1:24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5">
        <f>IF(VLOOKUP(A32,Dividende_je_Aktie!A3:AM68,6,FALSE)&lt;&gt;"",IF(VLOOKUP(A32,Ergebnis_je_Aktie_verwässert!A3:AK68,6,FALSE)&lt;&gt;"",IF(VLOOKUP(A32,Ergebnis_je_Aktie_verwässert!A3:AK68,6,FALSE)&lt;=0,9.99999,VLOOKUP(A32,Dividende_je_Aktie!A3:AM68,6,FALSE)/VLOOKUP(A32,Ergebnis_je_Aktie_verwässert!A3:AK68,6,FALSE)),""),"")</f>
        <v>0.52</v>
      </c>
      <c r="G32" s="5">
        <f>IF(VLOOKUP(A32,Dividende_je_Aktie!A3:AM68,7,FALSE)&lt;&gt;"",IF(VLOOKUP(A32,Ergebnis_je_Aktie_verwässert!A3:AK68,7,FALSE)&lt;&gt;"",IF(VLOOKUP(A32,Ergebnis_je_Aktie_verwässert!A3:AK68,7,FALSE)&lt;=0,9.99999,VLOOKUP(A32,Dividende_je_Aktie!A3:AM68,7,FALSE)/VLOOKUP(A32,Ergebnis_je_Aktie_verwässert!A3:AK68,7,FALSE)),""),"")</f>
        <v>0.68072289156626498</v>
      </c>
      <c r="H32" s="5">
        <f>IF(VLOOKUP(A32,Dividende_je_Aktie!A3:AM68,8,FALSE)&lt;&gt;"",IF(VLOOKUP(A32,Ergebnis_je_Aktie_verwässert!A3:AK68,8,FALSE)&lt;&gt;"",IF(VLOOKUP(A32,Ergebnis_je_Aktie_verwässert!A3:AK68,8,FALSE)&lt;=0,9.99999,VLOOKUP(A32,Dividende_je_Aktie!A3:AM68,8,FALSE)/VLOOKUP(A32,Ergebnis_je_Aktie_verwässert!A3:AK68,8,FALSE)),""),"")</f>
        <v>1.1815718157181574</v>
      </c>
      <c r="I32" s="5">
        <f>IF(VLOOKUP(A32,Dividende_je_Aktie!A3:AM68,9,FALSE)&lt;&gt;"",IF(VLOOKUP(A32,Ergebnis_je_Aktie_verwässert!A3:AK68,9,FALSE)&lt;&gt;"",IF(VLOOKUP(A32,Ergebnis_je_Aktie_verwässert!A3:AK68,9,FALSE)&lt;=0,9.99999,VLOOKUP(A32,Dividende_je_Aktie!A3:AM68,9,FALSE)/VLOOKUP(A32,Ergebnis_je_Aktie_verwässert!A3:AK68,9,FALSE)),""),"")</f>
        <v>0.41518737672583822</v>
      </c>
      <c r="J32" s="5">
        <f>IF(VLOOKUP(A32,Dividende_je_Aktie!A3:AM68,10,FALSE)&lt;&gt;"",IF(VLOOKUP(A32,Ergebnis_je_Aktie_verwässert!A3:AK68,10,FALSE)&lt;&gt;"",IF(VLOOKUP(A32,Ergebnis_je_Aktie_verwässert!A3:AK68,10,FALSE)&lt;=0,9.99999,VLOOKUP(A32,Dividende_je_Aktie!A3:AM68,10,FALSE)/VLOOKUP(A32,Ergebnis_je_Aktie_verwässert!A3:AK68,10,FALSE)),""),"")</f>
        <v>0.35166816952209196</v>
      </c>
      <c r="K32" s="5">
        <f>IF(VLOOKUP(A32,Dividende_je_Aktie!A3:AM68,11,FALSE)&lt;&gt;"",IF(VLOOKUP(A32,Ergebnis_je_Aktie_verwässert!A3:AK68,11,FALSE)&lt;&gt;"",IF(VLOOKUP(A32,Ergebnis_je_Aktie_verwässert!A3:AK68,11,FALSE)&lt;=0,9.99999,VLOOKUP(A32,Dividende_je_Aktie!A3:AM68,11,FALSE)/VLOOKUP(A32,Ergebnis_je_Aktie_verwässert!A3:AK68,11,FALSE)),""),"")</f>
        <v>0.26351351351351349</v>
      </c>
      <c r="L32" s="5">
        <f>IF(VLOOKUP(A32,Dividende_je_Aktie!A3:AM68,12,FALSE)&lt;&gt;"",IF(VLOOKUP(A32,Ergebnis_je_Aktie_verwässert!A3:AK68,12,FALSE)&lt;&gt;"",IF(VLOOKUP(A32,Ergebnis_je_Aktie_verwässert!A3:AK68,12,FALSE)&lt;=0,9.99999,VLOOKUP(A32,Dividende_je_Aktie!A3:AM68,12,FALSE)/VLOOKUP(A32,Ergebnis_je_Aktie_verwässert!A3:AK68,12,FALSE)),""),"")</f>
        <v>0.22991071428571427</v>
      </c>
      <c r="M32" s="5">
        <f>IF(VLOOKUP(A32,Dividende_je_Aktie!A3:AM68,13,FALSE)&lt;&gt;"",IF(VLOOKUP(A32,Ergebnis_je_Aktie_verwässert!A3:AK68,13,FALSE)&lt;&gt;"",IF(VLOOKUP(A32,Ergebnis_je_Aktie_verwässert!A3:AK68,13,FALSE)&lt;=0,9.99999,VLOOKUP(A32,Dividende_je_Aktie!A3:AM68,13,FALSE)/VLOOKUP(A32,Ergebnis_je_Aktie_verwässert!A3:AK68,13,FALSE)),""),"")</f>
        <v>0.29957805907172991</v>
      </c>
      <c r="N32" s="5">
        <f>IF(VLOOKUP(A32,Dividende_je_Aktie!A3:AM68,14,FALSE)&lt;&gt;"",IF(VLOOKUP(A32,Ergebnis_je_Aktie_verwässert!A3:AK68,14,FALSE)&lt;&gt;"",IF(VLOOKUP(A32,Ergebnis_je_Aktie_verwässert!A3:AK68,14,FALSE)&lt;=0,9.99999,VLOOKUP(A32,Dividende_je_Aktie!A3:AM68,14,FALSE)/VLOOKUP(A32,Ergebnis_je_Aktie_verwässert!A3:AK68,14,FALSE)),""),"")</f>
        <v>0.50763358778625955</v>
      </c>
      <c r="O32" s="5">
        <f>IF(VLOOKUP(A32,Dividende_je_Aktie!A3:AM68,15,FALSE)&lt;&gt;"",IF(VLOOKUP(A32,Ergebnis_je_Aktie_verwässert!A3:AK68,15,FALSE)&lt;&gt;"",IF(VLOOKUP(A32,Ergebnis_je_Aktie_verwässert!A3:AK68,15,FALSE)&lt;=0,9.99999,VLOOKUP(A32,Dividende_je_Aktie!A3:AM68,15,FALSE)/VLOOKUP(A32,Ergebnis_je_Aktie_verwässert!A3:AK68,15,FALSE)),""),"")</f>
        <v>0.21679520137103683</v>
      </c>
      <c r="P32" s="5">
        <f>IF(VLOOKUP(A32,Dividende_je_Aktie!A3:AM68,16,FALSE)&lt;&gt;"",IF(VLOOKUP(A32,Ergebnis_je_Aktie_verwässert!A3:AK68,16,FALSE)&lt;&gt;"",IF(VLOOKUP(A32,Ergebnis_je_Aktie_verwässert!A3:AK68,16,FALSE)&lt;=0,9.99999,VLOOKUP(A32,Dividende_je_Aktie!A3:AM68,16,FALSE)/VLOOKUP(A32,Ergebnis_je_Aktie_verwässert!A3:AK68,16,FALSE)),""),"")</f>
        <v>0.25769669327251993</v>
      </c>
      <c r="Q32" s="5">
        <f>IF(VLOOKUP(A32,Dividende_je_Aktie!A3:AM68,17,FALSE)&lt;&gt;"",IF(VLOOKUP(A32,Ergebnis_je_Aktie_verwässert!A3:AK68,17,FALSE)&lt;&gt;"",IF(VLOOKUP(A32,Ergebnis_je_Aktie_verwässert!A3:AK68,17,FALSE)&lt;=0,9.99999,VLOOKUP(A32,Dividende_je_Aktie!A3:AM68,17,FALSE)/VLOOKUP(A32,Ergebnis_je_Aktie_verwässert!A3:AK68,17,FALSE)),""),"")</f>
        <v>0.25769230769230766</v>
      </c>
      <c r="R32" s="5">
        <f>IF(VLOOKUP(A32,Dividende_je_Aktie!A3:AM68,18,FALSE)&lt;&gt;"",IF(VLOOKUP(A32,Ergebnis_je_Aktie_verwässert!A3:AK68,18,FALSE)&lt;&gt;"",IF(VLOOKUP(A32,Ergebnis_je_Aktie_verwässert!A3:AK68,18,FALSE)&lt;=0,9.99999,VLOOKUP(A32,Dividende_je_Aktie!A3:AM68,18,FALSE)/VLOOKUP(A32,Ergebnis_je_Aktie_verwässert!A3:AK68,18,FALSE)),""),"")</f>
        <v>0.26758409785932724</v>
      </c>
      <c r="S32" s="10">
        <f t="shared" si="5"/>
        <v>0.4191964944911355</v>
      </c>
      <c r="T32" s="4">
        <f t="shared" ca="1" si="0"/>
        <v>0</v>
      </c>
      <c r="U32" s="4">
        <f t="shared" ca="1" si="1"/>
        <v>73</v>
      </c>
      <c r="V32" s="4">
        <f t="shared" ca="1" si="2"/>
        <v>287</v>
      </c>
      <c r="W32" s="10">
        <f t="shared" ca="1" si="3"/>
        <v>1.0800107838762458</v>
      </c>
      <c r="X32" s="5">
        <f t="shared" ca="1" si="4"/>
        <v>1.5763831474480141</v>
      </c>
    </row>
    <row r="33" spans="1:24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5">
        <f>IF(VLOOKUP(A33,Dividende_je_Aktie!A3:AM68,6,FALSE)&lt;&gt;"",IF(VLOOKUP(A33,Ergebnis_je_Aktie_verwässert!A3:AK68,6,FALSE)&lt;&gt;"",IF(VLOOKUP(A33,Ergebnis_je_Aktie_verwässert!A3:AK68,6,FALSE)&lt;=0,9.99999,VLOOKUP(A33,Dividende_je_Aktie!A3:AM68,6,FALSE)/VLOOKUP(A33,Ergebnis_je_Aktie_verwässert!A3:AK68,6,FALSE)),""),"")</f>
        <v>0.64806866952789699</v>
      </c>
      <c r="G33" s="5">
        <f>IF(VLOOKUP(A33,Dividende_je_Aktie!A3:AM68,7,FALSE)&lt;&gt;"",IF(VLOOKUP(A33,Ergebnis_je_Aktie_verwässert!A3:AK68,7,FALSE)&lt;&gt;"",IF(VLOOKUP(A33,Ergebnis_je_Aktie_verwässert!A3:AK68,7,FALSE)&lt;=0,9.99999,VLOOKUP(A33,Dividende_je_Aktie!A3:AM68,7,FALSE)/VLOOKUP(A33,Ergebnis_je_Aktie_verwässert!A3:AK68,7,FALSE)),""),"")</f>
        <v>0.66822429906542047</v>
      </c>
      <c r="H33" s="5">
        <f>IF(VLOOKUP(A33,Dividende_je_Aktie!A3:AM68,8,FALSE)&lt;&gt;"",IF(VLOOKUP(A33,Ergebnis_je_Aktie_verwässert!A3:AK68,8,FALSE)&lt;&gt;"",IF(VLOOKUP(A33,Ergebnis_je_Aktie_verwässert!A3:AK68,8,FALSE)&lt;=0,9.99999,VLOOKUP(A33,Dividende_je_Aktie!A3:AM68,8,FALSE)/VLOOKUP(A33,Ergebnis_je_Aktie_verwässert!A3:AK68,8,FALSE)),""),"")</f>
        <v>0.67171717171717171</v>
      </c>
      <c r="I33" s="5">
        <f>IF(VLOOKUP(A33,Dividende_je_Aktie!A3:AM68,9,FALSE)&lt;&gt;"",IF(VLOOKUP(A33,Ergebnis_je_Aktie_verwässert!A3:AK68,9,FALSE)&lt;&gt;"",IF(VLOOKUP(A33,Ergebnis_je_Aktie_verwässert!A3:AK68,9,FALSE)&lt;=0,9.99999,VLOOKUP(A33,Dividende_je_Aktie!A3:AM68,9,FALSE)/VLOOKUP(A33,Ergebnis_je_Aktie_verwässert!A3:AK68,9,FALSE)),""),"")</f>
        <v>0.76249999999999996</v>
      </c>
      <c r="J33" s="5">
        <f>IF(VLOOKUP(A33,Dividende_je_Aktie!A3:AM68,10,FALSE)&lt;&gt;"",IF(VLOOKUP(A33,Ergebnis_je_Aktie_verwässert!A3:AK68,10,FALSE)&lt;&gt;"",IF(VLOOKUP(A33,Ergebnis_je_Aktie_verwässert!A3:AK68,10,FALSE)&lt;=0,9.99999,VLOOKUP(A33,Dividende_je_Aktie!A3:AM68,10,FALSE)/VLOOKUP(A33,Ergebnis_je_Aktie_verwässert!A3:AK68,10,FALSE)),""),"")</f>
        <v>0.58947368421052637</v>
      </c>
      <c r="K33" s="5">
        <f>IF(VLOOKUP(A33,Dividende_je_Aktie!A3:AM68,11,FALSE)&lt;&gt;"",IF(VLOOKUP(A33,Ergebnis_je_Aktie_verwässert!A3:AK68,11,FALSE)&lt;&gt;"",IF(VLOOKUP(A33,Ergebnis_je_Aktie_verwässert!A3:AK68,11,FALSE)&lt;=0,9.99999,VLOOKUP(A33,Dividende_je_Aktie!A3:AM68,11,FALSE)/VLOOKUP(A33,Ergebnis_je_Aktie_verwässert!A3:AK68,11,FALSE)),""),"")</f>
        <v>0.51776649746192893</v>
      </c>
      <c r="L33" s="5">
        <f>IF(VLOOKUP(A33,Dividende_je_Aktie!A3:AM68,12,FALSE)&lt;&gt;"",IF(VLOOKUP(A33,Ergebnis_je_Aktie_verwässert!A3:AK68,12,FALSE)&lt;&gt;"",IF(VLOOKUP(A33,Ergebnis_je_Aktie_verwässert!A3:AK68,12,FALSE)&lt;=0,9.99999,VLOOKUP(A33,Dividende_je_Aktie!A3:AM68,12,FALSE)/VLOOKUP(A33,Ergebnis_je_Aktie_verwässert!A3:AK68,12,FALSE)),""),"")</f>
        <v>0.50810810810810803</v>
      </c>
      <c r="M33" s="5">
        <f>IF(VLOOKUP(A33,Dividende_je_Aktie!A3:AM68,13,FALSE)&lt;&gt;"",IF(VLOOKUP(A33,Ergebnis_je_Aktie_verwässert!A3:AK68,13,FALSE)&lt;&gt;"",IF(VLOOKUP(A33,Ergebnis_je_Aktie_verwässert!A3:AK68,13,FALSE)&lt;=0,9.99999,VLOOKUP(A33,Dividende_je_Aktie!A3:AM68,13,FALSE)/VLOOKUP(A33,Ergebnis_je_Aktie_verwässert!A3:AK68,13,FALSE)),""),"")</f>
        <v>0.54658385093167694</v>
      </c>
      <c r="N33" s="5">
        <f>IF(VLOOKUP(A33,Dividende_je_Aktie!A3:AM68,14,FALSE)&lt;&gt;"",IF(VLOOKUP(A33,Ergebnis_je_Aktie_verwässert!A3:AK68,14,FALSE)&lt;&gt;"",IF(VLOOKUP(A33,Ergebnis_je_Aktie_verwässert!A3:AK68,14,FALSE)&lt;=0,9.99999,VLOOKUP(A33,Dividende_je_Aktie!A3:AM68,14,FALSE)/VLOOKUP(A33,Ergebnis_je_Aktie_verwässert!A3:AK68,14,FALSE)),""),"")</f>
        <v>0.55782312925170063</v>
      </c>
      <c r="O33" s="5">
        <f>IF(VLOOKUP(A33,Dividende_je_Aktie!A3:AM68,15,FALSE)&lt;&gt;"",IF(VLOOKUP(A33,Ergebnis_je_Aktie_verwässert!A3:AK68,15,FALSE)&lt;&gt;"",IF(VLOOKUP(A33,Ergebnis_je_Aktie_verwässert!A3:AK68,15,FALSE)&lt;=0,9.99999,VLOOKUP(A33,Dividende_je_Aktie!A3:AM68,15,FALSE)/VLOOKUP(A33,Ergebnis_je_Aktie_verwässert!A3:AK68,15,FALSE)),""),"")</f>
        <v>0.50331125827814571</v>
      </c>
      <c r="P33" s="5">
        <f>IF(VLOOKUP(A33,Dividende_je_Aktie!A3:AM68,16,FALSE)&lt;&gt;"",IF(VLOOKUP(A33,Ergebnis_je_Aktie_verwässert!A3:AK68,16,FALSE)&lt;&gt;"",IF(VLOOKUP(A33,Ergebnis_je_Aktie_verwässert!A3:AK68,16,FALSE)&lt;=0,9.99999,VLOOKUP(A33,Dividende_je_Aktie!A3:AM68,16,FALSE)/VLOOKUP(A33,Ergebnis_je_Aktie_verwässert!A3:AK68,16,FALSE)),""),"")</f>
        <v>0.52713178294573648</v>
      </c>
      <c r="Q33" s="5">
        <f>IF(VLOOKUP(A33,Dividende_je_Aktie!A3:AM68,17,FALSE)&lt;&gt;"",IF(VLOOKUP(A33,Ergebnis_je_Aktie_verwässert!A3:AK68,17,FALSE)&lt;&gt;"",IF(VLOOKUP(A33,Ergebnis_je_Aktie_verwässert!A3:AK68,17,FALSE)&lt;=0,9.99999,VLOOKUP(A33,Dividende_je_Aktie!A3:AM68,17,FALSE)/VLOOKUP(A33,Ergebnis_je_Aktie_verwässert!A3:AK68,17,FALSE)),""),"")</f>
        <v>0.57407407407407407</v>
      </c>
      <c r="R33" s="5">
        <f>IF(VLOOKUP(A33,Dividende_je_Aktie!A3:AM68,18,FALSE)&lt;&gt;"",IF(VLOOKUP(A33,Ergebnis_je_Aktie_verwässert!A3:AK68,18,FALSE)&lt;&gt;"",IF(VLOOKUP(A33,Ergebnis_je_Aktie_verwässert!A3:AK68,18,FALSE)&lt;=0,9.99999,VLOOKUP(A33,Dividende_je_Aktie!A3:AM68,18,FALSE)/VLOOKUP(A33,Ergebnis_je_Aktie_verwässert!A3:AK68,18,FALSE)),""),"")</f>
        <v>0.5490196078431373</v>
      </c>
      <c r="S33" s="10">
        <f t="shared" si="5"/>
        <v>0.58644631795504032</v>
      </c>
      <c r="T33" s="4">
        <f t="shared" ca="1" si="0"/>
        <v>0</v>
      </c>
      <c r="U33" s="4">
        <f t="shared" ca="1" si="1"/>
        <v>73</v>
      </c>
      <c r="V33" s="4">
        <f t="shared" ca="1" si="2"/>
        <v>287</v>
      </c>
      <c r="W33" s="10">
        <f t="shared" ca="1" si="3"/>
        <v>0.6710088947627888</v>
      </c>
      <c r="X33" s="5">
        <f t="shared" ca="1" si="4"/>
        <v>0.14419491472403001</v>
      </c>
    </row>
    <row r="34" spans="1:24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5">
        <f>IF(VLOOKUP(A34,Dividende_je_Aktie!A3:AM68,6,FALSE)&lt;&gt;"",IF(VLOOKUP(A34,Ergebnis_je_Aktie_verwässert!A3:AK68,6,FALSE)&lt;&gt;"",IF(VLOOKUP(A34,Ergebnis_je_Aktie_verwässert!A3:AK68,6,FALSE)&lt;=0,9.99999,VLOOKUP(A34,Dividende_je_Aktie!A3:AM68,6,FALSE)/VLOOKUP(A34,Ergebnis_je_Aktie_verwässert!A3:AK68,6,FALSE)),""),"")</f>
        <v>0.50139275766016711</v>
      </c>
      <c r="G34" s="5">
        <f>IF(VLOOKUP(A34,Dividende_je_Aktie!A3:AM68,7,FALSE)&lt;&gt;"",IF(VLOOKUP(A34,Ergebnis_je_Aktie_verwässert!A3:AK68,7,FALSE)&lt;&gt;"",IF(VLOOKUP(A34,Ergebnis_je_Aktie_verwässert!A3:AK68,7,FALSE)&lt;=0,9.99999,VLOOKUP(A34,Dividende_je_Aktie!A3:AM68,7,FALSE)/VLOOKUP(A34,Ergebnis_je_Aktie_verwässert!A3:AK68,7,FALSE)),""),"")</f>
        <v>0.5109034267912772</v>
      </c>
      <c r="H34" s="5">
        <f>IF(VLOOKUP(A34,Dividende_je_Aktie!A3:AM68,8,FALSE)&lt;&gt;"",IF(VLOOKUP(A34,Ergebnis_je_Aktie_verwässert!A3:AK68,8,FALSE)&lt;&gt;"",IF(VLOOKUP(A34,Ergebnis_je_Aktie_verwässert!A3:AK68,8,FALSE)&lt;=0,9.99999,VLOOKUP(A34,Dividende_je_Aktie!A3:AM68,8,FALSE)/VLOOKUP(A34,Ergebnis_je_Aktie_verwässert!A3:AK68,8,FALSE)),""),"")</f>
        <v>0.52577319587628868</v>
      </c>
      <c r="I34" s="5">
        <f>IF(VLOOKUP(A34,Dividende_je_Aktie!A3:AM68,9,FALSE)&lt;&gt;"",IF(VLOOKUP(A34,Ergebnis_je_Aktie_verwässert!A3:AK68,9,FALSE)&lt;&gt;"",IF(VLOOKUP(A34,Ergebnis_je_Aktie_verwässert!A3:AK68,9,FALSE)&lt;=0,9.99999,VLOOKUP(A34,Dividende_je_Aktie!A3:AM68,9,FALSE)/VLOOKUP(A34,Ergebnis_je_Aktie_verwässert!A3:AK68,9,FALSE)),""),"")</f>
        <v>0.60169491525423724</v>
      </c>
      <c r="J34" s="5">
        <f>IF(VLOOKUP(A34,Dividende_je_Aktie!A3:AM68,10,FALSE)&lt;&gt;"",IF(VLOOKUP(A34,Ergebnis_je_Aktie_verwässert!A3:AK68,10,FALSE)&lt;&gt;"",IF(VLOOKUP(A34,Ergebnis_je_Aktie_verwässert!A3:AK68,10,FALSE)&lt;=0,9.99999,VLOOKUP(A34,Dividende_je_Aktie!A3:AM68,10,FALSE)/VLOOKUP(A34,Ergebnis_je_Aktie_verwässert!A3:AK68,10,FALSE)),""),"")</f>
        <v>0.55882352941176472</v>
      </c>
      <c r="K34" s="5">
        <f>IF(VLOOKUP(A34,Dividende_je_Aktie!A3:AM68,11,FALSE)&lt;&gt;"",IF(VLOOKUP(A34,Ergebnis_je_Aktie_verwässert!A3:AK68,11,FALSE)&lt;&gt;"",IF(VLOOKUP(A34,Ergebnis_je_Aktie_verwässert!A3:AK68,11,FALSE)&lt;=0,9.99999,VLOOKUP(A34,Dividende_je_Aktie!A3:AM68,11,FALSE)/VLOOKUP(A34,Ergebnis_je_Aktie_verwässert!A3:AK68,11,FALSE)),""),"")</f>
        <v>0.47286821705426352</v>
      </c>
      <c r="L34" s="5">
        <f>IF(VLOOKUP(A34,Dividende_je_Aktie!A3:AM68,12,FALSE)&lt;&gt;"",IF(VLOOKUP(A34,Ergebnis_je_Aktie_verwässert!A3:AK68,12,FALSE)&lt;&gt;"",IF(VLOOKUP(A34,Ergebnis_je_Aktie_verwässert!A3:AK68,12,FALSE)&lt;=0,9.99999,VLOOKUP(A34,Dividende_je_Aktie!A3:AM68,12,FALSE)/VLOOKUP(A34,Ergebnis_je_Aktie_verwässert!A3:AK68,12,FALSE)),""),"")</f>
        <v>0.46153846153846145</v>
      </c>
      <c r="M34" s="5">
        <f>IF(VLOOKUP(A34,Dividende_je_Aktie!A3:AM68,13,FALSE)&lt;&gt;"",IF(VLOOKUP(A34,Ergebnis_je_Aktie_verwässert!A3:AK68,13,FALSE)&lt;&gt;"",IF(VLOOKUP(A34,Ergebnis_je_Aktie_verwässert!A3:AK68,13,FALSE)&lt;=0,9.99999,VLOOKUP(A34,Dividende_je_Aktie!A3:AM68,13,FALSE)/VLOOKUP(A34,Ergebnis_je_Aktie_verwässert!A3:AK68,13,FALSE)),""),"")</f>
        <v>0.46976744186046515</v>
      </c>
      <c r="N34" s="5">
        <f>IF(VLOOKUP(A34,Dividende_je_Aktie!A3:AM68,14,FALSE)&lt;&gt;"",IF(VLOOKUP(A34,Ergebnis_je_Aktie_verwässert!A3:AK68,14,FALSE)&lt;&gt;"",IF(VLOOKUP(A34,Ergebnis_je_Aktie_verwässert!A3:AK68,14,FALSE)&lt;=0,9.99999,VLOOKUP(A34,Dividende_je_Aktie!A3:AM68,14,FALSE)/VLOOKUP(A34,Ergebnis_je_Aktie_verwässert!A3:AK68,14,FALSE)),""),"")</f>
        <v>0.39269406392694062</v>
      </c>
      <c r="O34" s="5">
        <f>IF(VLOOKUP(A34,Dividende_je_Aktie!A3:AM68,15,FALSE)&lt;&gt;"",IF(VLOOKUP(A34,Ergebnis_je_Aktie_verwässert!A3:AK68,15,FALSE)&lt;&gt;"",IF(VLOOKUP(A34,Ergebnis_je_Aktie_verwässert!A3:AK68,15,FALSE)&lt;=0,9.99999,VLOOKUP(A34,Dividende_je_Aktie!A3:AM68,15,FALSE)/VLOOKUP(A34,Ergebnis_je_Aktie_verwässert!A3:AK68,15,FALSE)),""),"")</f>
        <v>0.42622950819672129</v>
      </c>
      <c r="P34" s="5">
        <f>IF(VLOOKUP(A34,Dividende_je_Aktie!A3:AM68,16,FALSE)&lt;&gt;"",IF(VLOOKUP(A34,Ergebnis_je_Aktie_verwässert!A3:AK68,16,FALSE)&lt;&gt;"",IF(VLOOKUP(A34,Ergebnis_je_Aktie_verwässert!A3:AK68,16,FALSE)&lt;=0,9.99999,VLOOKUP(A34,Dividende_je_Aktie!A3:AM68,16,FALSE)/VLOOKUP(A34,Ergebnis_je_Aktie_verwässert!A3:AK68,16,FALSE)),""),"")</f>
        <v>0.43749999999999994</v>
      </c>
      <c r="Q34" s="5">
        <f>IF(VLOOKUP(A34,Dividende_je_Aktie!A3:AM68,17,FALSE)&lt;&gt;"",IF(VLOOKUP(A34,Ergebnis_je_Aktie_verwässert!A3:AK68,17,FALSE)&lt;&gt;"",IF(VLOOKUP(A34,Ergebnis_je_Aktie_verwässert!A3:AK68,17,FALSE)&lt;=0,9.99999,VLOOKUP(A34,Dividende_je_Aktie!A3:AM68,17,FALSE)/VLOOKUP(A34,Ergebnis_je_Aktie_verwässert!A3:AK68,17,FALSE)),""),"")</f>
        <v>0.51219512195121952</v>
      </c>
      <c r="R34" s="5">
        <f>IF(VLOOKUP(A34,Dividende_je_Aktie!A3:AM68,18,FALSE)&lt;&gt;"",IF(VLOOKUP(A34,Ergebnis_je_Aktie_verwässert!A3:AK68,18,FALSE)&lt;&gt;"",IF(VLOOKUP(A34,Ergebnis_je_Aktie_verwässert!A3:AK68,18,FALSE)&lt;=0,9.99999,VLOOKUP(A34,Dividende_je_Aktie!A3:AM68,18,FALSE)/VLOOKUP(A34,Ergebnis_je_Aktie_verwässert!A3:AK68,18,FALSE)),""),"")</f>
        <v>0.45901639344262302</v>
      </c>
      <c r="S34" s="10">
        <f t="shared" si="5"/>
        <v>0.4869536179203407</v>
      </c>
      <c r="T34" s="4">
        <f t="shared" ca="1" si="0"/>
        <v>0</v>
      </c>
      <c r="U34" s="4">
        <f t="shared" ca="1" si="1"/>
        <v>73</v>
      </c>
      <c r="V34" s="4">
        <f t="shared" ca="1" si="2"/>
        <v>287</v>
      </c>
      <c r="W34" s="10">
        <f t="shared" ca="1" si="3"/>
        <v>0.52275793714516139</v>
      </c>
      <c r="X34" s="5">
        <f t="shared" ca="1" si="4"/>
        <v>7.3527165436684028E-2</v>
      </c>
    </row>
    <row r="35" spans="1:24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5">
        <f>IF(VLOOKUP(A35,Dividende_je_Aktie!A3:AM68,6,FALSE)&lt;&gt;"",IF(VLOOKUP(A35,Ergebnis_je_Aktie_verwässert!A3:AK68,6,FALSE)&lt;&gt;"",IF(VLOOKUP(A35,Ergebnis_je_Aktie_verwässert!A3:AK68,6,FALSE)&lt;=0,9.99999,VLOOKUP(A35,Dividende_je_Aktie!A3:AM68,6,FALSE)/VLOOKUP(A35,Ergebnis_je_Aktie_verwässert!A3:AK68,6,FALSE)),""),"")</f>
        <v>0.46445497630331756</v>
      </c>
      <c r="G35" s="5">
        <f>IF(VLOOKUP(A35,Dividende_je_Aktie!A3:AM68,7,FALSE)&lt;&gt;"",IF(VLOOKUP(A35,Ergebnis_je_Aktie_verwässert!A3:AK68,7,FALSE)&lt;&gt;"",IF(VLOOKUP(A35,Ergebnis_je_Aktie_verwässert!A3:AK68,7,FALSE)&lt;=0,9.99999,VLOOKUP(A35,Dividende_je_Aktie!A3:AM68,7,FALSE)/VLOOKUP(A35,Ergebnis_je_Aktie_verwässert!A3:AK68,7,FALSE)),""),"")</f>
        <v>0.47802197802197799</v>
      </c>
      <c r="H35" s="5">
        <f>IF(VLOOKUP(A35,Dividende_je_Aktie!A3:AM68,8,FALSE)&lt;&gt;"",IF(VLOOKUP(A35,Ergebnis_je_Aktie_verwässert!A3:AK68,8,FALSE)&lt;&gt;"",IF(VLOOKUP(A35,Ergebnis_je_Aktie_verwässert!A3:AK68,8,FALSE)&lt;=0,9.99999,VLOOKUP(A35,Dividende_je_Aktie!A3:AM68,8,FALSE)/VLOOKUP(A35,Ergebnis_je_Aktie_verwässert!A3:AK68,8,FALSE)),""),"")</f>
        <v>0.55067567567567566</v>
      </c>
      <c r="I35" s="5">
        <f>IF(VLOOKUP(A35,Dividende_je_Aktie!A3:AM68,9,FALSE)&lt;&gt;"",IF(VLOOKUP(A35,Ergebnis_je_Aktie_verwässert!A3:AK68,9,FALSE)&lt;&gt;"",IF(VLOOKUP(A35,Ergebnis_je_Aktie_verwässert!A3:AK68,9,FALSE)&lt;=0,9.99999,VLOOKUP(A35,Dividende_je_Aktie!A3:AM68,9,FALSE)/VLOOKUP(A35,Ergebnis_je_Aktie_verwässert!A3:AK68,9,FALSE)),""),"")</f>
        <v>0.5331010452961672</v>
      </c>
      <c r="J35" s="5">
        <f>IF(VLOOKUP(A35,Dividende_je_Aktie!A3:AM68,10,FALSE)&lt;&gt;"",IF(VLOOKUP(A35,Ergebnis_je_Aktie_verwässert!A3:AK68,10,FALSE)&lt;&gt;"",IF(VLOOKUP(A35,Ergebnis_je_Aktie_verwässert!A3:AK68,10,FALSE)&lt;=0,9.99999,VLOOKUP(A35,Dividende_je_Aktie!A3:AM68,10,FALSE)/VLOOKUP(A35,Ergebnis_je_Aktie_verwässert!A3:AK68,10,FALSE)),""),"")</f>
        <v>0.34782608695652173</v>
      </c>
      <c r="K35" s="5">
        <f>IF(VLOOKUP(A35,Dividende_je_Aktie!A3:AM68,11,FALSE)&lt;&gt;"",IF(VLOOKUP(A35,Ergebnis_je_Aktie_verwässert!A3:AK68,11,FALSE)&lt;&gt;"",IF(VLOOKUP(A35,Ergebnis_je_Aktie_verwässert!A3:AK68,11,FALSE)&lt;=0,9.99999,VLOOKUP(A35,Dividende_je_Aktie!A3:AM68,11,FALSE)/VLOOKUP(A35,Ergebnis_je_Aktie_verwässert!A3:AK68,11,FALSE)),""),"")</f>
        <v>1.7285714285714286</v>
      </c>
      <c r="L35" s="5">
        <f>IF(VLOOKUP(A35,Dividende_je_Aktie!A3:AM68,12,FALSE)&lt;&gt;"",IF(VLOOKUP(A35,Ergebnis_je_Aktie_verwässert!A3:AK68,12,FALSE)&lt;&gt;"",IF(VLOOKUP(A35,Ergebnis_je_Aktie_verwässert!A3:AK68,12,FALSE)&lt;=0,9.99999,VLOOKUP(A35,Dividende_je_Aktie!A3:AM68,12,FALSE)/VLOOKUP(A35,Ergebnis_je_Aktie_verwässert!A3:AK68,12,FALSE)),""),"")</f>
        <v>0.4390243902439025</v>
      </c>
      <c r="M35" s="5">
        <f>IF(VLOOKUP(A35,Dividende_je_Aktie!A3:AM68,13,FALSE)&lt;&gt;"",IF(VLOOKUP(A35,Ergebnis_je_Aktie_verwässert!A3:AK68,13,FALSE)&lt;&gt;"",IF(VLOOKUP(A35,Ergebnis_je_Aktie_verwässert!A3:AK68,13,FALSE)&lt;=0,9.99999,VLOOKUP(A35,Dividende_je_Aktie!A3:AM68,13,FALSE)/VLOOKUP(A35,Ergebnis_je_Aktie_verwässert!A3:AK68,13,FALSE)),""),"")</f>
        <v>0.34883720930232559</v>
      </c>
      <c r="N35" s="5">
        <f>IF(VLOOKUP(A35,Dividende_je_Aktie!A3:AM68,14,FALSE)&lt;&gt;"",IF(VLOOKUP(A35,Ergebnis_je_Aktie_verwässert!A3:AK68,14,FALSE)&lt;&gt;"",IF(VLOOKUP(A35,Ergebnis_je_Aktie_verwässert!A3:AK68,14,FALSE)&lt;=0,9.99999,VLOOKUP(A35,Dividende_je_Aktie!A3:AM68,14,FALSE)/VLOOKUP(A35,Ergebnis_je_Aktie_verwässert!A3:AK68,14,FALSE)),""),"")</f>
        <v>1.875</v>
      </c>
      <c r="O35" s="5">
        <f>IF(VLOOKUP(A35,Dividende_je_Aktie!A3:AM68,15,FALSE)&lt;&gt;"",IF(VLOOKUP(A35,Ergebnis_je_Aktie_verwässert!A3:AK68,15,FALSE)&lt;&gt;"",IF(VLOOKUP(A35,Ergebnis_je_Aktie_verwässert!A3:AK68,15,FALSE)&lt;=0,9.99999,VLOOKUP(A35,Dividende_je_Aktie!A3:AM68,15,FALSE)/VLOOKUP(A35,Ergebnis_je_Aktie_verwässert!A3:AK68,15,FALSE)),""),"")</f>
        <v>2.7096774193548385</v>
      </c>
      <c r="P35" s="5">
        <f>IF(VLOOKUP(A35,Dividende_je_Aktie!A3:AM68,16,FALSE)&lt;&gt;"",IF(VLOOKUP(A35,Ergebnis_je_Aktie_verwässert!A3:AK68,16,FALSE)&lt;&gt;"",IF(VLOOKUP(A35,Ergebnis_je_Aktie_verwässert!A3:AK68,16,FALSE)&lt;=0,9.99999,VLOOKUP(A35,Dividende_je_Aktie!A3:AM68,16,FALSE)/VLOOKUP(A35,Ergebnis_je_Aktie_verwässert!A3:AK68,16,FALSE)),""),"")</f>
        <v>0.5317725752508361</v>
      </c>
      <c r="Q35" s="5">
        <f>IF(VLOOKUP(A35,Dividende_je_Aktie!A3:AM68,17,FALSE)&lt;&gt;"",IF(VLOOKUP(A35,Ergebnis_je_Aktie_verwässert!A3:AK68,17,FALSE)&lt;&gt;"",IF(VLOOKUP(A35,Ergebnis_je_Aktie_verwässert!A3:AK68,17,FALSE)&lt;=0,9.99999,VLOOKUP(A35,Dividende_je_Aktie!A3:AM68,17,FALSE)/VLOOKUP(A35,Ergebnis_je_Aktie_verwässert!A3:AK68,17,FALSE)),""),"")</f>
        <v>0.38219895287958117</v>
      </c>
      <c r="R35" s="5">
        <f>IF(VLOOKUP(A35,Dividende_je_Aktie!A3:AM68,18,FALSE)&lt;&gt;"",IF(VLOOKUP(A35,Ergebnis_je_Aktie_verwässert!A3:AK68,18,FALSE)&lt;&gt;"",IF(VLOOKUP(A35,Ergebnis_je_Aktie_verwässert!A3:AK68,18,FALSE)&lt;=0,9.99999,VLOOKUP(A35,Dividende_je_Aktie!A3:AM68,18,FALSE)/VLOOKUP(A35,Ergebnis_je_Aktie_verwässert!A3:AK68,18,FALSE)),""),"")</f>
        <v>0.29004329004329005</v>
      </c>
      <c r="S35" s="10">
        <f t="shared" si="5"/>
        <v>0.82147730983845091</v>
      </c>
      <c r="T35" s="4">
        <f t="shared" ca="1" si="0"/>
        <v>0</v>
      </c>
      <c r="U35" s="4">
        <f t="shared" ca="1" si="1"/>
        <v>73</v>
      </c>
      <c r="V35" s="4">
        <f t="shared" ca="1" si="2"/>
        <v>287</v>
      </c>
      <c r="W35" s="10">
        <f t="shared" ca="1" si="3"/>
        <v>0.5359431203181203</v>
      </c>
      <c r="X35" s="5">
        <f t="shared" ca="1" si="4"/>
        <v>-0.34758621583410854</v>
      </c>
    </row>
    <row r="36" spans="1:24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5">
        <f>IF(VLOOKUP(A36,Dividende_je_Aktie!A3:AM68,6,FALSE)&lt;&gt;"",IF(VLOOKUP(A36,Ergebnis_je_Aktie_verwässert!A3:AK68,6,FALSE)&lt;&gt;"",IF(VLOOKUP(A36,Ergebnis_je_Aktie_verwässert!A3:AK68,6,FALSE)&lt;=0,9.99999,VLOOKUP(A36,Dividende_je_Aktie!A3:AM68,6,FALSE)/VLOOKUP(A36,Ergebnis_je_Aktie_verwässert!A3:AK68,6,FALSE)),""),"")</f>
        <v>0.47192716236722304</v>
      </c>
      <c r="G36" s="5">
        <f>IF(VLOOKUP(A36,Dividende_je_Aktie!A3:AM68,7,FALSE)&lt;&gt;"",IF(VLOOKUP(A36,Ergebnis_je_Aktie_verwässert!A3:AK68,7,FALSE)&lt;&gt;"",IF(VLOOKUP(A36,Ergebnis_je_Aktie_verwässert!A3:AK68,7,FALSE)&lt;=0,9.99999,VLOOKUP(A36,Dividende_je_Aktie!A3:AM68,7,FALSE)/VLOOKUP(A36,Ergebnis_je_Aktie_verwässert!A3:AK68,7,FALSE)),""),"")</f>
        <v>0.54296160877513722</v>
      </c>
      <c r="H36" s="5">
        <f>IF(VLOOKUP(A36,Dividende_je_Aktie!A3:AM68,8,FALSE)&lt;&gt;"",IF(VLOOKUP(A36,Ergebnis_je_Aktie_verwässert!A3:AK68,8,FALSE)&lt;&gt;"",IF(VLOOKUP(A36,Ergebnis_je_Aktie_verwässert!A3:AK68,8,FALSE)&lt;=0,9.99999,VLOOKUP(A36,Dividende_je_Aktie!A3:AM68,8,FALSE)/VLOOKUP(A36,Ergebnis_je_Aktie_verwässert!A3:AK68,8,FALSE)),""),"")</f>
        <v>0.7573333333333333</v>
      </c>
      <c r="I36" s="5">
        <f>IF(VLOOKUP(A36,Dividende_je_Aktie!A3:AM68,9,FALSE)&lt;&gt;"",IF(VLOOKUP(A36,Ergebnis_je_Aktie_verwässert!A3:AK68,9,FALSE)&lt;&gt;"",IF(VLOOKUP(A36,Ergebnis_je_Aktie_verwässert!A3:AK68,9,FALSE)&lt;=0,9.99999,VLOOKUP(A36,Dividende_je_Aktie!A3:AM68,9,FALSE)/VLOOKUP(A36,Ergebnis_je_Aktie_verwässert!A3:AK68,9,FALSE)),""),"")</f>
        <v>0.35526315789473689</v>
      </c>
      <c r="J36" s="5">
        <f>IF(VLOOKUP(A36,Dividende_je_Aktie!A3:AM68,10,FALSE)&lt;&gt;"",IF(VLOOKUP(A36,Ergebnis_je_Aktie_verwässert!A3:AK68,10,FALSE)&lt;&gt;"",IF(VLOOKUP(A36,Ergebnis_je_Aktie_verwässert!A3:AK68,10,FALSE)&lt;=0,9.99999,VLOOKUP(A36,Dividende_je_Aktie!A3:AM68,10,FALSE)/VLOOKUP(A36,Ergebnis_je_Aktie_verwässert!A3:AK68,10,FALSE)),""),"")</f>
        <v>0.3337856173677069</v>
      </c>
      <c r="K36" s="5">
        <f>IF(VLOOKUP(A36,Dividende_je_Aktie!A3:AM68,11,FALSE)&lt;&gt;"",IF(VLOOKUP(A36,Ergebnis_je_Aktie_verwässert!A3:AK68,11,FALSE)&lt;&gt;"",IF(VLOOKUP(A36,Ergebnis_je_Aktie_verwässert!A3:AK68,11,FALSE)&lt;=0,9.99999,VLOOKUP(A36,Dividende_je_Aktie!A3:AM68,11,FALSE)/VLOOKUP(A36,Ergebnis_je_Aktie_verwässert!A3:AK68,11,FALSE)),""),"")</f>
        <v>0.22474226804123715</v>
      </c>
      <c r="L36" s="5">
        <f>IF(VLOOKUP(A36,Dividende_je_Aktie!A3:AM68,12,FALSE)&lt;&gt;"",IF(VLOOKUP(A36,Ergebnis_je_Aktie_verwässert!A3:AK68,12,FALSE)&lt;&gt;"",IF(VLOOKUP(A36,Ergebnis_je_Aktie_verwässert!A3:AK68,12,FALSE)&lt;=0,9.99999,VLOOKUP(A36,Dividende_je_Aktie!A3:AM68,12,FALSE)/VLOOKUP(A36,Ergebnis_je_Aktie_verwässert!A3:AK68,12,FALSE)),""),"")</f>
        <v>0.21971496437054633</v>
      </c>
      <c r="M36" s="5">
        <f>IF(VLOOKUP(A36,Dividende_je_Aktie!A3:AM68,13,FALSE)&lt;&gt;"",IF(VLOOKUP(A36,Ergebnis_je_Aktie_verwässert!A3:AK68,13,FALSE)&lt;&gt;"",IF(VLOOKUP(A36,Ergebnis_je_Aktie_verwässert!A3:AK68,13,FALSE)&lt;=0,9.99999,VLOOKUP(A36,Dividende_je_Aktie!A3:AM68,13,FALSE)/VLOOKUP(A36,Ergebnis_je_Aktie_verwässert!A3:AK68,13,FALSE)),""),"")</f>
        <v>0.27974276527331193</v>
      </c>
      <c r="N36" s="5">
        <f>IF(VLOOKUP(A36,Dividende_je_Aktie!A3:AM68,14,FALSE)&lt;&gt;"",IF(VLOOKUP(A36,Ergebnis_je_Aktie_verwässert!A3:AK68,14,FALSE)&lt;&gt;"",IF(VLOOKUP(A36,Ergebnis_je_Aktie_verwässert!A3:AK68,14,FALSE)&lt;=0,9.99999,VLOOKUP(A36,Dividende_je_Aktie!A3:AM68,14,FALSE)/VLOOKUP(A36,Ergebnis_je_Aktie_verwässert!A3:AK68,14,FALSE)),""),"")</f>
        <v>0.41708542713567837</v>
      </c>
      <c r="O36" s="5">
        <f>IF(VLOOKUP(A36,Dividende_je_Aktie!A3:AM68,15,FALSE)&lt;&gt;"",IF(VLOOKUP(A36,Ergebnis_je_Aktie_verwässert!A3:AK68,15,FALSE)&lt;&gt;"",IF(VLOOKUP(A36,Ergebnis_je_Aktie_verwässert!A3:AK68,15,FALSE)&lt;=0,9.99999,VLOOKUP(A36,Dividende_je_Aktie!A3:AM68,15,FALSE)/VLOOKUP(A36,Ergebnis_je_Aktie_verwässert!A3:AK68,15,FALSE)),""),"")</f>
        <v>0.17836593785960875</v>
      </c>
      <c r="P36" s="5">
        <f>IF(VLOOKUP(A36,Dividende_je_Aktie!A3:AM68,16,FALSE)&lt;&gt;"",IF(VLOOKUP(A36,Ergebnis_je_Aktie_verwässert!A3:AK68,16,FALSE)&lt;&gt;"",IF(VLOOKUP(A36,Ergebnis_je_Aktie_verwässert!A3:AK68,16,FALSE)&lt;=0,9.99999,VLOOKUP(A36,Dividende_je_Aktie!A3:AM68,16,FALSE)/VLOOKUP(A36,Ergebnis_je_Aktie_verwässert!A3:AK68,16,FALSE)),""),"")</f>
        <v>0.18818681318681318</v>
      </c>
      <c r="Q36" s="5">
        <f>IF(VLOOKUP(A36,Dividende_je_Aktie!A3:AM68,17,FALSE)&lt;&gt;"",IF(VLOOKUP(A36,Ergebnis_je_Aktie_verwässert!A3:AK68,17,FALSE)&lt;&gt;"",IF(VLOOKUP(A36,Ergebnis_je_Aktie_verwässert!A3:AK68,17,FALSE)&lt;=0,9.99999,VLOOKUP(A36,Dividende_je_Aktie!A3:AM68,17,FALSE)/VLOOKUP(A36,Ergebnis_je_Aktie_verwässert!A3:AK68,17,FALSE)),""),"")</f>
        <v>0.19335347432024169</v>
      </c>
      <c r="R36" s="5">
        <f>IF(VLOOKUP(A36,Dividende_je_Aktie!A3:AM68,18,FALSE)&lt;&gt;"",IF(VLOOKUP(A36,Ergebnis_je_Aktie_verwässert!A3:AK68,18,FALSE)&lt;&gt;"",IF(VLOOKUP(A36,Ergebnis_je_Aktie_verwässert!A3:AK68,18,FALSE)&lt;=0,9.99999,VLOOKUP(A36,Dividende_je_Aktie!A3:AM68,18,FALSE)/VLOOKUP(A36,Ergebnis_je_Aktie_verwässert!A3:AK68,18,FALSE)),""),"")</f>
        <v>0.19964973730297722</v>
      </c>
      <c r="S36" s="10">
        <f t="shared" si="5"/>
        <v>0.33554709747911937</v>
      </c>
      <c r="T36" s="4">
        <f t="shared" ref="T36:T67" ca="1" si="6">IF(DAYS360(TODAY(),DATE(E36+2,D36,C36))&gt;=720,0,360-U36)</f>
        <v>0</v>
      </c>
      <c r="U36" s="4">
        <f t="shared" ref="U36:U67" ca="1" si="7">IF(DAYS360(TODAY(),DATE(E36+1,D36,C36))&lt;=360,DAYS360(TODAY(),DATE(E36+1,D36,C36)),360-V36)</f>
        <v>73</v>
      </c>
      <c r="V36" s="4">
        <f t="shared" ref="V36:V68" ca="1" si="8">IF(DATE(E36,D36,C36)&lt;=TODAY(),0,DAYS360(TODAY(),DATE(E36,D36,C36)))</f>
        <v>287</v>
      </c>
      <c r="W36" s="10">
        <f t="shared" ref="W36:W67" ca="1" si="9">IF(T36&gt;0,(F36/360*T36)+(G36/360*U36)+(H36/360*V36),(G36/360*U36)+(H36/360*V36))</f>
        <v>0.71386351140903248</v>
      </c>
      <c r="X36" s="5">
        <f t="shared" ref="X36:X67" ca="1" si="10">(W36/S36)-1</f>
        <v>1.1274614406505341</v>
      </c>
    </row>
    <row r="37" spans="1:24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5">
        <f>IF(VLOOKUP(A37,Dividende_je_Aktie!A3:AM68,6,FALSE)&lt;&gt;"",IF(VLOOKUP(A37,Ergebnis_je_Aktie_verwässert!A3:AK68,6,FALSE)&lt;&gt;"",IF(VLOOKUP(A37,Ergebnis_je_Aktie_verwässert!A3:AK68,6,FALSE)&lt;=0,9.99999,VLOOKUP(A37,Dividende_je_Aktie!A3:AM68,6,FALSE)/VLOOKUP(A37,Ergebnis_je_Aktie_verwässert!A3:AK68,6,FALSE)),""),"")</f>
        <v>0.56353591160220995</v>
      </c>
      <c r="G37" s="5">
        <f>IF(VLOOKUP(A37,Dividende_je_Aktie!A3:AM68,7,FALSE)&lt;&gt;"",IF(VLOOKUP(A37,Ergebnis_je_Aktie_verwässert!A3:AK68,7,FALSE)&lt;&gt;"",IF(VLOOKUP(A37,Ergebnis_je_Aktie_verwässert!A3:AK68,7,FALSE)&lt;=0,9.99999,VLOOKUP(A37,Dividende_je_Aktie!A3:AM68,7,FALSE)/VLOOKUP(A37,Ergebnis_je_Aktie_verwässert!A3:AK68,7,FALSE)),""),"")</f>
        <v>0.58823529411764708</v>
      </c>
      <c r="H37" s="5">
        <f>IF(VLOOKUP(A37,Dividende_je_Aktie!A3:AM68,8,FALSE)&lt;&gt;"",IF(VLOOKUP(A37,Ergebnis_je_Aktie_verwässert!A3:AK68,8,FALSE)&lt;&gt;"",IF(VLOOKUP(A37,Ergebnis_je_Aktie_verwässert!A3:AK68,8,FALSE)&lt;=0,9.99999,VLOOKUP(A37,Dividende_je_Aktie!A3:AM68,8,FALSE)/VLOOKUP(A37,Ergebnis_je_Aktie_verwässert!A3:AK68,8,FALSE)),""),"")</f>
        <v>0.58125000000000004</v>
      </c>
      <c r="I37" s="5">
        <f>IF(VLOOKUP(A37,Dividende_je_Aktie!A3:AM68,9,FALSE)&lt;&gt;"",IF(VLOOKUP(A37,Ergebnis_je_Aktie_verwässert!A3:AK68,9,FALSE)&lt;&gt;"",IF(VLOOKUP(A37,Ergebnis_je_Aktie_verwässert!A3:AK68,9,FALSE)&lt;=0,9.99999,VLOOKUP(A37,Dividende_je_Aktie!A3:AM68,9,FALSE)/VLOOKUP(A37,Ergebnis_je_Aktie_verwässert!A3:AK68,9,FALSE)),""),"")</f>
        <v>0.59333333333333338</v>
      </c>
      <c r="J37" s="5">
        <f>IF(VLOOKUP(A37,Dividende_je_Aktie!A3:AM68,10,FALSE)&lt;&gt;"",IF(VLOOKUP(A37,Ergebnis_je_Aktie_verwässert!A3:AK68,10,FALSE)&lt;&gt;"",IF(VLOOKUP(A37,Ergebnis_je_Aktie_verwässert!A3:AK68,10,FALSE)&lt;=0,9.99999,VLOOKUP(A37,Dividende_je_Aktie!A3:AM68,10,FALSE)/VLOOKUP(A37,Ergebnis_je_Aktie_verwässert!A3:AK68,10,FALSE)),""),"")</f>
        <v>0.62204724409448819</v>
      </c>
      <c r="K37" s="5">
        <f>IF(VLOOKUP(A37,Dividende_je_Aktie!A3:AM68,11,FALSE)&lt;&gt;"",IF(VLOOKUP(A37,Ergebnis_je_Aktie_verwässert!A3:AK68,11,FALSE)&lt;&gt;"",IF(VLOOKUP(A37,Ergebnis_je_Aktie_verwässert!A3:AK68,11,FALSE)&lt;=0,9.99999,VLOOKUP(A37,Dividende_je_Aktie!A3:AM68,11,FALSE)/VLOOKUP(A37,Ergebnis_je_Aktie_verwässert!A3:AK68,11,FALSE)),""),"")</f>
        <v>0.54263565891472865</v>
      </c>
      <c r="L37" s="5">
        <f>IF(VLOOKUP(A37,Dividende_je_Aktie!A3:AM68,12,FALSE)&lt;&gt;"",IF(VLOOKUP(A37,Ergebnis_je_Aktie_verwässert!A3:AK68,12,FALSE)&lt;&gt;"",IF(VLOOKUP(A37,Ergebnis_je_Aktie_verwässert!A3:AK68,12,FALSE)&lt;=0,9.99999,VLOOKUP(A37,Dividende_je_Aktie!A3:AM68,12,FALSE)/VLOOKUP(A37,Ergebnis_je_Aktie_verwässert!A3:AK68,12,FALSE)),""),"")</f>
        <v>0.49593495934959347</v>
      </c>
      <c r="M37" s="5">
        <f>IF(VLOOKUP(A37,Dividende_je_Aktie!A3:AM68,13,FALSE)&lt;&gt;"",IF(VLOOKUP(A37,Ergebnis_je_Aktie_verwässert!A3:AK68,13,FALSE)&lt;&gt;"",IF(VLOOKUP(A37,Ergebnis_je_Aktie_verwässert!A3:AK68,13,FALSE)&lt;=0,9.99999,VLOOKUP(A37,Dividende_je_Aktie!A3:AM68,13,FALSE)/VLOOKUP(A37,Ergebnis_je_Aktie_verwässert!A3:AK68,13,FALSE)),""),"")</f>
        <v>0.43396226415094341</v>
      </c>
      <c r="N37" s="5">
        <f>IF(VLOOKUP(A37,Dividende_je_Aktie!A3:AM68,14,FALSE)&lt;&gt;"",IF(VLOOKUP(A37,Ergebnis_je_Aktie_verwässert!A3:AK68,14,FALSE)&lt;&gt;"",IF(VLOOKUP(A37,Ergebnis_je_Aktie_verwässert!A3:AK68,14,FALSE)&lt;=0,9.99999,VLOOKUP(A37,Dividende_je_Aktie!A3:AM68,14,FALSE)/VLOOKUP(A37,Ergebnis_je_Aktie_verwässert!A3:AK68,14,FALSE)),""),"")</f>
        <v>0.60396039603960394</v>
      </c>
      <c r="O37" s="5">
        <f>IF(VLOOKUP(A37,Dividende_je_Aktie!A3:AM68,15,FALSE)&lt;&gt;"",IF(VLOOKUP(A37,Ergebnis_je_Aktie_verwässert!A3:AK68,15,FALSE)&lt;&gt;"",IF(VLOOKUP(A37,Ergebnis_je_Aktie_verwässert!A3:AK68,15,FALSE)&lt;=0,9.99999,VLOOKUP(A37,Dividende_je_Aktie!A3:AM68,15,FALSE)/VLOOKUP(A37,Ergebnis_je_Aktie_verwässert!A3:AK68,15,FALSE)),""),"")</f>
        <v>0.72093023255813959</v>
      </c>
      <c r="P37" s="5">
        <f>IF(VLOOKUP(A37,Dividende_je_Aktie!A3:AM68,16,FALSE)&lt;&gt;"",IF(VLOOKUP(A37,Ergebnis_je_Aktie_verwässert!A3:AK68,16,FALSE)&lt;&gt;"",IF(VLOOKUP(A37,Ergebnis_je_Aktie_verwässert!A3:AK68,16,FALSE)&lt;=0,9.99999,VLOOKUP(A37,Dividende_je_Aktie!A3:AM68,16,FALSE)/VLOOKUP(A37,Ergebnis_je_Aktie_verwässert!A3:AK68,16,FALSE)),""),"")</f>
        <v>0.52995391705069117</v>
      </c>
      <c r="Q37" s="5">
        <f>IF(VLOOKUP(A37,Dividende_je_Aktie!A3:AM68,17,FALSE)&lt;&gt;"",IF(VLOOKUP(A37,Ergebnis_je_Aktie_verwässert!A3:AK68,17,FALSE)&lt;&gt;"",IF(VLOOKUP(A37,Ergebnis_je_Aktie_verwässert!A3:AK68,17,FALSE)&lt;=0,9.99999,VLOOKUP(A37,Dividende_je_Aktie!A3:AM68,17,FALSE)/VLOOKUP(A37,Ergebnis_je_Aktie_verwässert!A3:AK68,17,FALSE)),""),"")</f>
        <v>0.51500000000000001</v>
      </c>
      <c r="R37" s="5">
        <f>IF(VLOOKUP(A37,Dividende_je_Aktie!A3:AM68,18,FALSE)&lt;&gt;"",IF(VLOOKUP(A37,Ergebnis_je_Aktie_verwässert!A3:AK68,18,FALSE)&lt;&gt;"",IF(VLOOKUP(A37,Ergebnis_je_Aktie_verwässert!A3:AK68,18,FALSE)&lt;=0,9.99999,VLOOKUP(A37,Dividende_je_Aktie!A3:AM68,18,FALSE)/VLOOKUP(A37,Ergebnis_je_Aktie_verwässert!A3:AK68,18,FALSE)),""),"")</f>
        <v>0.59090909090909094</v>
      </c>
      <c r="S37" s="10">
        <f t="shared" si="5"/>
        <v>0.56782217708618998</v>
      </c>
      <c r="T37" s="4">
        <f t="shared" ca="1" si="6"/>
        <v>0</v>
      </c>
      <c r="U37" s="4">
        <f t="shared" ca="1" si="7"/>
        <v>73</v>
      </c>
      <c r="V37" s="4">
        <f t="shared" ca="1" si="8"/>
        <v>287</v>
      </c>
      <c r="W37" s="10">
        <f t="shared" ca="1" si="9"/>
        <v>0.58266646241830067</v>
      </c>
      <c r="X37" s="5">
        <f t="shared" ca="1" si="10"/>
        <v>2.6142489552424486E-2</v>
      </c>
    </row>
    <row r="38" spans="1:24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5">
        <f>IF(VLOOKUP(A38,Dividende_je_Aktie!A3:AM68,6,FALSE)&lt;&gt;"",IF(VLOOKUP(A38,Ergebnis_je_Aktie_verwässert!A3:AK68,6,FALSE)&lt;&gt;"",IF(VLOOKUP(A38,Ergebnis_je_Aktie_verwässert!A3:AK68,6,FALSE)&lt;=0,9.99999,VLOOKUP(A38,Dividende_je_Aktie!A3:AM68,6,FALSE)/VLOOKUP(A38,Ergebnis_je_Aktie_verwässert!A3:AK68,6,FALSE)),""),"")</f>
        <v>0.15388349514563104</v>
      </c>
      <c r="G38" s="5">
        <f>IF(VLOOKUP(A38,Dividende_je_Aktie!A3:AM68,7,FALSE)&lt;&gt;"",IF(VLOOKUP(A38,Ergebnis_je_Aktie_verwässert!A3:AK68,7,FALSE)&lt;&gt;"",IF(VLOOKUP(A38,Ergebnis_je_Aktie_verwässert!A3:AK68,7,FALSE)&lt;=0,9.99999,VLOOKUP(A38,Dividende_je_Aktie!A3:AM68,7,FALSE)/VLOOKUP(A38,Ergebnis_je_Aktie_verwässert!A3:AK68,7,FALSE)),""),"")</f>
        <v>0.14385026737967915</v>
      </c>
      <c r="H38" s="5">
        <f>IF(VLOOKUP(A38,Dividende_je_Aktie!A3:AM68,8,FALSE)&lt;&gt;"",IF(VLOOKUP(A38,Ergebnis_je_Aktie_verwässert!A3:AK68,8,FALSE)&lt;&gt;"",IF(VLOOKUP(A38,Ergebnis_je_Aktie_verwässert!A3:AK68,8,FALSE)&lt;=0,9.99999,VLOOKUP(A38,Dividende_je_Aktie!A3:AM68,8,FALSE)/VLOOKUP(A38,Ergebnis_je_Aktie_verwässert!A3:AK68,8,FALSE)),""),"")</f>
        <v>0.1439306358381503</v>
      </c>
      <c r="I38" s="5">
        <f>IF(VLOOKUP(A38,Dividende_je_Aktie!A3:AM68,9,FALSE)&lt;&gt;"",IF(VLOOKUP(A38,Ergebnis_je_Aktie_verwässert!A3:AK68,9,FALSE)&lt;&gt;"",IF(VLOOKUP(A38,Ergebnis_je_Aktie_verwässert!A3:AK68,9,FALSE)&lt;=0,9.99999,VLOOKUP(A38,Dividende_je_Aktie!A3:AM68,9,FALSE)/VLOOKUP(A38,Ergebnis_je_Aktie_verwässert!A3:AK68,9,FALSE)),""),"")</f>
        <v>0.13181019332161686</v>
      </c>
      <c r="J38" s="5">
        <f>IF(VLOOKUP(A38,Dividende_je_Aktie!A3:AM68,10,FALSE)&lt;&gt;"",IF(VLOOKUP(A38,Ergebnis_je_Aktie_verwässert!A3:AK68,10,FALSE)&lt;&gt;"",IF(VLOOKUP(A38,Ergebnis_je_Aktie_verwässert!A3:AK68,10,FALSE)&lt;=0,9.99999,VLOOKUP(A38,Dividende_je_Aktie!A3:AM68,10,FALSE)/VLOOKUP(A38,Ergebnis_je_Aktie_verwässert!A3:AK68,10,FALSE)),""),"")</f>
        <v>0.13260025873221215</v>
      </c>
      <c r="K38" s="5">
        <f>IF(VLOOKUP(A38,Dividende_je_Aktie!A3:AM68,11,FALSE)&lt;&gt;"",IF(VLOOKUP(A38,Ergebnis_je_Aktie_verwässert!A3:AK68,11,FALSE)&lt;&gt;"",IF(VLOOKUP(A38,Ergebnis_je_Aktie_verwässert!A3:AK68,11,FALSE)&lt;=0,9.99999,VLOOKUP(A38,Dividende_je_Aktie!A3:AM68,11,FALSE)/VLOOKUP(A38,Ergebnis_je_Aktie_verwässert!A3:AK68,11,FALSE)),""),"")</f>
        <v>0.12526539278131635</v>
      </c>
      <c r="L38" s="5">
        <f>IF(VLOOKUP(A38,Dividende_je_Aktie!A3:AM68,12,FALSE)&lt;&gt;"",IF(VLOOKUP(A38,Ergebnis_je_Aktie_verwässert!A3:AK68,12,FALSE)&lt;&gt;"",IF(VLOOKUP(A38,Ergebnis_je_Aktie_verwässert!A3:AK68,12,FALSE)&lt;=0,9.99999,VLOOKUP(A38,Dividende_je_Aktie!A3:AM68,12,FALSE)/VLOOKUP(A38,Ergebnis_je_Aktie_verwässert!A3:AK68,12,FALSE)),""),"")</f>
        <v>0.31042128603104213</v>
      </c>
      <c r="M38" s="5">
        <f>IF(VLOOKUP(A38,Dividende_je_Aktie!A3:AM68,13,FALSE)&lt;&gt;"",IF(VLOOKUP(A38,Ergebnis_je_Aktie_verwässert!A3:AK68,13,FALSE)&lt;&gt;"",IF(VLOOKUP(A38,Ergebnis_je_Aktie_verwässert!A3:AK68,13,FALSE)&lt;=0,9.99999,VLOOKUP(A38,Dividende_je_Aktie!A3:AM68,13,FALSE)/VLOOKUP(A38,Ergebnis_je_Aktie_verwässert!A3:AK68,13,FALSE)),""),"")</f>
        <v>0.1062215477996965</v>
      </c>
      <c r="N38" s="5">
        <f>IF(VLOOKUP(A38,Dividende_je_Aktie!A3:AM68,14,FALSE)&lt;&gt;"",IF(VLOOKUP(A38,Ergebnis_je_Aktie_verwässert!A3:AK68,14,FALSE)&lt;&gt;"",IF(VLOOKUP(A38,Ergebnis_je_Aktie_verwässert!A3:AK68,14,FALSE)&lt;=0,9.99999,VLOOKUP(A38,Dividende_je_Aktie!A3:AM68,14,FALSE)/VLOOKUP(A38,Ergebnis_je_Aktie_verwässert!A3:AK68,14,FALSE)),""),"")</f>
        <v>4.7446904654315412E-2</v>
      </c>
      <c r="O38" s="5">
        <f>IF(VLOOKUP(A38,Dividende_je_Aktie!A3:AM68,15,FALSE)&lt;&gt;"",IF(VLOOKUP(A38,Ergebnis_je_Aktie_verwässert!A3:AK68,15,FALSE)&lt;&gt;"",IF(VLOOKUP(A38,Ergebnis_je_Aktie_verwässert!A3:AK68,15,FALSE)&lt;=0,9.99999,VLOOKUP(A38,Dividende_je_Aktie!A3:AM68,15,FALSE)/VLOOKUP(A38,Ergebnis_je_Aktie_verwässert!A3:AK68,15,FALSE)),""),"")</f>
        <v>0.31319910514541388</v>
      </c>
      <c r="P38" s="5">
        <f>IF(VLOOKUP(A38,Dividende_je_Aktie!A3:AM68,16,FALSE)&lt;&gt;"",IF(VLOOKUP(A38,Ergebnis_je_Aktie_verwässert!A3:AK68,16,FALSE)&lt;&gt;"",IF(VLOOKUP(A38,Ergebnis_je_Aktie_verwässert!A3:AK68,16,FALSE)&lt;=0,9.99999,VLOOKUP(A38,Dividende_je_Aktie!A3:AM68,16,FALSE)/VLOOKUP(A38,Ergebnis_je_Aktie_verwässert!A3:AK68,16,FALSE)),""),"")</f>
        <v>5.6611403154063884E-2</v>
      </c>
      <c r="Q38" s="5">
        <f>IF(VLOOKUP(A38,Dividende_je_Aktie!A3:AM68,17,FALSE)&lt;&gt;"",IF(VLOOKUP(A38,Ergebnis_je_Aktie_verwässert!A3:AK68,17,FALSE)&lt;&gt;"",IF(VLOOKUP(A38,Ergebnis_je_Aktie_verwässert!A3:AK68,17,FALSE)&lt;=0,9.99999,VLOOKUP(A38,Dividende_je_Aktie!A3:AM68,17,FALSE)/VLOOKUP(A38,Ergebnis_je_Aktie_verwässert!A3:AK68,17,FALSE)),""),"")</f>
        <v>6.6023362112747591E-2</v>
      </c>
      <c r="R38" s="5">
        <f>IF(VLOOKUP(A38,Dividende_je_Aktie!A3:AM68,18,FALSE)&lt;&gt;"",IF(VLOOKUP(A38,Ergebnis_je_Aktie_verwässert!A3:AK68,18,FALSE)&lt;&gt;"",IF(VLOOKUP(A38,Ergebnis_je_Aktie_verwässert!A3:AK68,18,FALSE)&lt;=0,9.99999,VLOOKUP(A38,Dividende_je_Aktie!A3:AM68,18,FALSE)/VLOOKUP(A38,Ergebnis_je_Aktie_verwässert!A3:AK68,18,FALSE)),""),"")</f>
        <v>8.9206066012488844E-2</v>
      </c>
      <c r="S38" s="10">
        <f t="shared" si="5"/>
        <v>0.140036147546798</v>
      </c>
      <c r="T38" s="4">
        <f t="shared" ca="1" si="6"/>
        <v>0</v>
      </c>
      <c r="U38" s="4">
        <f t="shared" ca="1" si="7"/>
        <v>73</v>
      </c>
      <c r="V38" s="4">
        <f t="shared" ca="1" si="8"/>
        <v>287</v>
      </c>
      <c r="W38" s="10">
        <f t="shared" ca="1" si="9"/>
        <v>0.1439143389007381</v>
      </c>
      <c r="X38" s="5">
        <f t="shared" ca="1" si="10"/>
        <v>2.7694216256870963E-2</v>
      </c>
    </row>
    <row r="39" spans="1:24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5">
        <f>IF(VLOOKUP(A39,Dividende_je_Aktie!A3:AM68,6,FALSE)&lt;&gt;"",IF(VLOOKUP(A39,Ergebnis_je_Aktie_verwässert!A3:AK68,6,FALSE)&lt;&gt;"",IF(VLOOKUP(A39,Ergebnis_je_Aktie_verwässert!A3:AK68,6,FALSE)&lt;=0,9.99999,VLOOKUP(A39,Dividende_je_Aktie!A3:AM68,6,FALSE)/VLOOKUP(A39,Ergebnis_je_Aktie_verwässert!A3:AK68,6,FALSE)),""),"")</f>
        <v>0.26723163841807912</v>
      </c>
      <c r="G39" s="5">
        <f>IF(VLOOKUP(A39,Dividende_je_Aktie!A3:AM68,7,FALSE)&lt;&gt;"",IF(VLOOKUP(A39,Ergebnis_je_Aktie_verwässert!A3:AK68,7,FALSE)&lt;&gt;"",IF(VLOOKUP(A39,Ergebnis_je_Aktie_verwässert!A3:AK68,7,FALSE)&lt;=0,9.99999,VLOOKUP(A39,Dividende_je_Aktie!A3:AM68,7,FALSE)/VLOOKUP(A39,Ergebnis_je_Aktie_verwässert!A3:AK68,7,FALSE)),""),"")</f>
        <v>0.31025641025641026</v>
      </c>
      <c r="H39" s="5">
        <f>IF(VLOOKUP(A39,Dividende_je_Aktie!A3:AM68,8,FALSE)&lt;&gt;"",IF(VLOOKUP(A39,Ergebnis_je_Aktie_verwässert!A3:AK68,8,FALSE)&lt;&gt;"",IF(VLOOKUP(A39,Ergebnis_je_Aktie_verwässert!A3:AK68,8,FALSE)&lt;=0,9.99999,VLOOKUP(A39,Dividende_je_Aktie!A3:AM68,8,FALSE)/VLOOKUP(A39,Ergebnis_je_Aktie_verwässert!A3:AK68,8,FALSE)),""),"")</f>
        <v>0.30536912751677853</v>
      </c>
      <c r="I39" s="5">
        <f>IF(VLOOKUP(A39,Dividende_je_Aktie!A3:AM68,9,FALSE)&lt;&gt;"",IF(VLOOKUP(A39,Ergebnis_je_Aktie_verwässert!A3:AK68,9,FALSE)&lt;&gt;"",IF(VLOOKUP(A39,Ergebnis_je_Aktie_verwässert!A3:AK68,9,FALSE)&lt;=0,9.99999,VLOOKUP(A39,Dividende_je_Aktie!A3:AM68,9,FALSE)/VLOOKUP(A39,Ergebnis_je_Aktie_verwässert!A3:AK68,9,FALSE)),""),"")</f>
        <v>0.27261064785118666</v>
      </c>
      <c r="J39" s="5">
        <f>IF(VLOOKUP(A39,Dividende_je_Aktie!A3:AM68,10,FALSE)&lt;&gt;"",IF(VLOOKUP(A39,Ergebnis_je_Aktie_verwässert!A3:AK68,10,FALSE)&lt;&gt;"",IF(VLOOKUP(A39,Ergebnis_je_Aktie_verwässert!A3:AK68,10,FALSE)&lt;=0,9.99999,VLOOKUP(A39,Dividende_je_Aktie!A3:AM68,10,FALSE)/VLOOKUP(A39,Ergebnis_je_Aktie_verwässert!A3:AK68,10,FALSE)),""),"")</f>
        <v>0.24765729585006696</v>
      </c>
      <c r="K39" s="5">
        <f>IF(VLOOKUP(A39,Dividende_je_Aktie!A3:AM68,11,FALSE)&lt;&gt;"",IF(VLOOKUP(A39,Ergebnis_je_Aktie_verwässert!A3:AK68,11,FALSE)&lt;&gt;"",IF(VLOOKUP(A39,Ergebnis_je_Aktie_verwässert!A3:AK68,11,FALSE)&lt;=0,9.99999,VLOOKUP(A39,Dividende_je_Aktie!A3:AM68,11,FALSE)/VLOOKUP(A39,Ergebnis_je_Aktie_verwässert!A3:AK68,11,FALSE)),""),"")</f>
        <v>0.22964509394572025</v>
      </c>
      <c r="L39" s="5">
        <f>IF(VLOOKUP(A39,Dividende_je_Aktie!A3:AM68,12,FALSE)&lt;&gt;"",IF(VLOOKUP(A39,Ergebnis_je_Aktie_verwässert!A3:AK68,12,FALSE)&lt;&gt;"",IF(VLOOKUP(A39,Ergebnis_je_Aktie_verwässert!A3:AK68,12,FALSE)&lt;=0,9.99999,VLOOKUP(A39,Dividende_je_Aktie!A3:AM68,12,FALSE)/VLOOKUP(A39,Ergebnis_je_Aktie_verwässert!A3:AK68,12,FALSE)),""),"")</f>
        <v>0.22205206738131697</v>
      </c>
      <c r="M39" s="5">
        <f>IF(VLOOKUP(A39,Dividende_je_Aktie!A3:AM68,13,FALSE)&lt;&gt;"",IF(VLOOKUP(A39,Ergebnis_je_Aktie_verwässert!A3:AK68,13,FALSE)&lt;&gt;"",IF(VLOOKUP(A39,Ergebnis_je_Aktie_verwässert!A3:AK68,13,FALSE)&lt;=0,9.99999,VLOOKUP(A39,Dividende_je_Aktie!A3:AM68,13,FALSE)/VLOOKUP(A39,Ergebnis_je_Aktie_verwässert!A3:AK68,13,FALSE)),""),"")</f>
        <v>0.2170138888888889</v>
      </c>
      <c r="N39" s="5">
        <f>IF(VLOOKUP(A39,Dividende_je_Aktie!A3:AM68,14,FALSE)&lt;&gt;"",IF(VLOOKUP(A39,Ergebnis_je_Aktie_verwässert!A3:AK68,14,FALSE)&lt;&gt;"",IF(VLOOKUP(A39,Ergebnis_je_Aktie_verwässert!A3:AK68,14,FALSE)&lt;=0,9.99999,VLOOKUP(A39,Dividende_je_Aktie!A3:AM68,14,FALSE)/VLOOKUP(A39,Ergebnis_je_Aktie_verwässert!A3:AK68,14,FALSE)),""),"")</f>
        <v>0.21478521478521478</v>
      </c>
      <c r="O39" s="5">
        <f>IF(VLOOKUP(A39,Dividende_je_Aktie!A3:AM68,15,FALSE)&lt;&gt;"",IF(VLOOKUP(A39,Ergebnis_je_Aktie_verwässert!A3:AK68,15,FALSE)&lt;&gt;"",IF(VLOOKUP(A39,Ergebnis_je_Aktie_verwässert!A3:AK68,15,FALSE)&lt;=0,9.99999,VLOOKUP(A39,Dividende_je_Aktie!A3:AM68,15,FALSE)/VLOOKUP(A39,Ergebnis_je_Aktie_verwässert!A3:AK68,15,FALSE)),""),"")</f>
        <v>0.21276595744680851</v>
      </c>
      <c r="P39" s="5">
        <f>IF(VLOOKUP(A39,Dividende_je_Aktie!A3:AM68,16,FALSE)&lt;&gt;"",IF(VLOOKUP(A39,Ergebnis_je_Aktie_verwässert!A3:AK68,16,FALSE)&lt;&gt;"",IF(VLOOKUP(A39,Ergebnis_je_Aktie_verwässert!A3:AK68,16,FALSE)&lt;=0,9.99999,VLOOKUP(A39,Dividende_je_Aktie!A3:AM68,16,FALSE)/VLOOKUP(A39,Ergebnis_je_Aktie_verwässert!A3:AK68,16,FALSE)),""),"")</f>
        <v>0.20891364902506965</v>
      </c>
      <c r="Q39" s="5">
        <f>IF(VLOOKUP(A39,Dividende_je_Aktie!A3:AM68,17,FALSE)&lt;&gt;"",IF(VLOOKUP(A39,Ergebnis_je_Aktie_verwässert!A3:AK68,17,FALSE)&lt;&gt;"",IF(VLOOKUP(A39,Ergebnis_je_Aktie_verwässert!A3:AK68,17,FALSE)&lt;=0,9.99999,VLOOKUP(A39,Dividende_je_Aktie!A3:AM68,17,FALSE)/VLOOKUP(A39,Ergebnis_je_Aktie_verwässert!A3:AK68,17,FALSE)),""),"")</f>
        <v>0.18003273322422259</v>
      </c>
      <c r="R39" s="5">
        <f>IF(VLOOKUP(A39,Dividende_je_Aktie!A3:AM68,18,FALSE)&lt;&gt;"",IF(VLOOKUP(A39,Ergebnis_je_Aktie_verwässert!A3:AK68,18,FALSE)&lt;&gt;"",IF(VLOOKUP(A39,Ergebnis_je_Aktie_verwässert!A3:AK68,18,FALSE)&lt;=0,9.99999,VLOOKUP(A39,Dividende_je_Aktie!A3:AM68,18,FALSE)/VLOOKUP(A39,Ergebnis_je_Aktie_verwässert!A3:AK68,18,FALSE)),""),"")</f>
        <v>0.1598360655737705</v>
      </c>
      <c r="S39" s="10">
        <f t="shared" si="5"/>
        <v>0.23447459924334874</v>
      </c>
      <c r="T39" s="4">
        <f t="shared" ca="1" si="6"/>
        <v>0</v>
      </c>
      <c r="U39" s="4">
        <f t="shared" ca="1" si="7"/>
        <v>73</v>
      </c>
      <c r="V39" s="4">
        <f t="shared" ca="1" si="8"/>
        <v>287</v>
      </c>
      <c r="W39" s="10">
        <f t="shared" ca="1" si="9"/>
        <v>0.30636015985009274</v>
      </c>
      <c r="X39" s="5">
        <f t="shared" ca="1" si="10"/>
        <v>0.30658144139586652</v>
      </c>
    </row>
    <row r="40" spans="1:24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5">
        <f>IF(VLOOKUP(A40,Dividende_je_Aktie!A3:AM68,6,FALSE)&lt;&gt;"",IF(VLOOKUP(A40,Ergebnis_je_Aktie_verwässert!A3:AK68,6,FALSE)&lt;&gt;"",IF(VLOOKUP(A40,Ergebnis_je_Aktie_verwässert!A3:AK68,6,FALSE)&lt;=0,9.99999,VLOOKUP(A40,Dividende_je_Aktie!A3:AM68,6,FALSE)/VLOOKUP(A40,Ergebnis_je_Aktie_verwässert!A3:AK68,6,FALSE)),""),"")</f>
        <v>0.30801104972375687</v>
      </c>
      <c r="G40" s="5">
        <f>IF(VLOOKUP(A40,Dividende_je_Aktie!A3:AM68,7,FALSE)&lt;&gt;"",IF(VLOOKUP(A40,Ergebnis_je_Aktie_verwässert!A3:AK68,7,FALSE)&lt;&gt;"",IF(VLOOKUP(A40,Ergebnis_je_Aktie_verwässert!A3:AK68,7,FALSE)&lt;=0,9.99999,VLOOKUP(A40,Dividende_je_Aktie!A3:AM68,7,FALSE)/VLOOKUP(A40,Ergebnis_je_Aktie_verwässert!A3:AK68,7,FALSE)),""),"")</f>
        <v>0.2839506172839506</v>
      </c>
      <c r="H40" s="5">
        <f>IF(VLOOKUP(A40,Dividende_je_Aktie!A3:AM68,8,FALSE)&lt;&gt;"",IF(VLOOKUP(A40,Ergebnis_je_Aktie_verwässert!A3:AK68,8,FALSE)&lt;&gt;"",IF(VLOOKUP(A40,Ergebnis_je_Aktie_verwässert!A3:AK68,8,FALSE)&lt;=0,9.99999,VLOOKUP(A40,Dividende_je_Aktie!A3:AM68,8,FALSE)/VLOOKUP(A40,Ergebnis_je_Aktie_verwässert!A3:AK68,8,FALSE)),""),"")</f>
        <v>0.29166666666666669</v>
      </c>
      <c r="I40" s="5">
        <f>IF(VLOOKUP(A40,Dividende_je_Aktie!A3:AM68,9,FALSE)&lt;&gt;"",IF(VLOOKUP(A40,Ergebnis_je_Aktie_verwässert!A3:AK68,9,FALSE)&lt;&gt;"",IF(VLOOKUP(A40,Ergebnis_je_Aktie_verwässert!A3:AK68,9,FALSE)&lt;=0,9.99999,VLOOKUP(A40,Dividende_je_Aktie!A3:AM68,9,FALSE)/VLOOKUP(A40,Ergebnis_je_Aktie_verwässert!A3:AK68,9,FALSE)),""),"")</f>
        <v>0.29867674858223064</v>
      </c>
      <c r="J40" s="5">
        <f>IF(VLOOKUP(A40,Dividende_je_Aktie!A3:AM68,10,FALSE)&lt;&gt;"",IF(VLOOKUP(A40,Ergebnis_je_Aktie_verwässert!A3:AK68,10,FALSE)&lt;&gt;"",IF(VLOOKUP(A40,Ergebnis_je_Aktie_verwässert!A3:AK68,10,FALSE)&lt;=0,9.99999,VLOOKUP(A40,Dividende_je_Aktie!A3:AM68,10,FALSE)/VLOOKUP(A40,Ergebnis_je_Aktie_verwässert!A3:AK68,10,FALSE)),""),"")</f>
        <v>0.33103448275862069</v>
      </c>
      <c r="K40" s="5">
        <f>IF(VLOOKUP(A40,Dividende_je_Aktie!A3:AM68,11,FALSE)&lt;&gt;"",IF(VLOOKUP(A40,Ergebnis_je_Aktie_verwässert!A3:AK68,11,FALSE)&lt;&gt;"",IF(VLOOKUP(A40,Ergebnis_je_Aktie_verwässert!A3:AK68,11,FALSE)&lt;=0,9.99999,VLOOKUP(A40,Dividende_je_Aktie!A3:AM68,11,FALSE)/VLOOKUP(A40,Ergebnis_je_Aktie_verwässert!A3:AK68,11,FALSE)),""),"")</f>
        <v>0.23076923076923075</v>
      </c>
      <c r="L40" s="5">
        <f>IF(VLOOKUP(A40,Dividende_je_Aktie!A3:AM68,12,FALSE)&lt;&gt;"",IF(VLOOKUP(A40,Ergebnis_je_Aktie_verwässert!A3:AK68,12,FALSE)&lt;&gt;"",IF(VLOOKUP(A40,Ergebnis_je_Aktie_verwässert!A3:AK68,12,FALSE)&lt;=0,9.99999,VLOOKUP(A40,Dividende_je_Aktie!A3:AM68,12,FALSE)/VLOOKUP(A40,Ergebnis_je_Aktie_verwässert!A3:AK68,12,FALSE)),""),"")</f>
        <v>0.2232142857142857</v>
      </c>
      <c r="M40" s="5">
        <f>IF(VLOOKUP(A40,Dividende_je_Aktie!A3:AM68,13,FALSE)&lt;&gt;"",IF(VLOOKUP(A40,Ergebnis_je_Aktie_verwässert!A3:AK68,13,FALSE)&lt;&gt;"",IF(VLOOKUP(A40,Ergebnis_je_Aktie_verwässert!A3:AK68,13,FALSE)&lt;=0,9.99999,VLOOKUP(A40,Dividende_je_Aktie!A3:AM68,13,FALSE)/VLOOKUP(A40,Ergebnis_je_Aktie_verwässert!A3:AK68,13,FALSE)),""),"")</f>
        <v>5.0505050505050511E-2</v>
      </c>
      <c r="N40" s="5">
        <f>IF(VLOOKUP(A40,Dividende_je_Aktie!A3:AM68,14,FALSE)&lt;&gt;"",IF(VLOOKUP(A40,Ergebnis_je_Aktie_verwässert!A3:AK68,14,FALSE)&lt;&gt;"",IF(VLOOKUP(A40,Ergebnis_je_Aktie_verwässert!A3:AK68,14,FALSE)&lt;=0,9.99999,VLOOKUP(A40,Dividende_je_Aktie!A3:AM68,14,FALSE)/VLOOKUP(A40,Ergebnis_je_Aktie_verwässert!A3:AK68,14,FALSE)),""),"")</f>
        <v>8.8495575221238951E-2</v>
      </c>
      <c r="O40" s="5">
        <f>IF(VLOOKUP(A40,Dividende_je_Aktie!A3:AM68,15,FALSE)&lt;&gt;"",IF(VLOOKUP(A40,Ergebnis_je_Aktie_verwässert!A3:AK68,15,FALSE)&lt;&gt;"",IF(VLOOKUP(A40,Ergebnis_je_Aktie_verwässert!A3:AK68,15,FALSE)&lt;=0,9.99999,VLOOKUP(A40,Dividende_je_Aktie!A3:AM68,15,FALSE)/VLOOKUP(A40,Ergebnis_je_Aktie_verwässert!A3:AK68,15,FALSE)),""),"")</f>
        <v>1.1094890510948905</v>
      </c>
      <c r="P40" s="5">
        <f>IF(VLOOKUP(A40,Dividende_je_Aktie!A3:AM68,16,FALSE)&lt;&gt;"",IF(VLOOKUP(A40,Ergebnis_je_Aktie_verwässert!A3:AK68,16,FALSE)&lt;&gt;"",IF(VLOOKUP(A40,Ergebnis_je_Aktie_verwässert!A3:AK68,16,FALSE)&lt;=0,9.99999,VLOOKUP(A40,Dividende_je_Aktie!A3:AM68,16,FALSE)/VLOOKUP(A40,Ergebnis_je_Aktie_verwässert!A3:AK68,16,FALSE)),""),"")</f>
        <v>0.33789954337899542</v>
      </c>
      <c r="Q40" s="5">
        <f>IF(VLOOKUP(A40,Dividende_je_Aktie!A3:AM68,17,FALSE)&lt;&gt;"",IF(VLOOKUP(A40,Ergebnis_je_Aktie_verwässert!A3:AK68,17,FALSE)&lt;&gt;"",IF(VLOOKUP(A40,Ergebnis_je_Aktie_verwässert!A3:AK68,17,FALSE)&lt;=0,9.99999,VLOOKUP(A40,Dividende_je_Aktie!A3:AM68,17,FALSE)/VLOOKUP(A40,Ergebnis_je_Aktie_verwässert!A3:AK68,17,FALSE)),""),"")</f>
        <v>0.33663366336633666</v>
      </c>
      <c r="R40" s="5">
        <f>IF(VLOOKUP(A40,Dividende_je_Aktie!A3:AM68,18,FALSE)&lt;&gt;"",IF(VLOOKUP(A40,Ergebnis_je_Aktie_verwässert!A3:AK68,18,FALSE)&lt;&gt;"",IF(VLOOKUP(A40,Ergebnis_je_Aktie_verwässert!A3:AK68,18,FALSE)&lt;=0,9.99999,VLOOKUP(A40,Dividende_je_Aktie!A3:AM68,18,FALSE)/VLOOKUP(A40,Ergebnis_je_Aktie_verwässert!A3:AK68,18,FALSE)),""),"")</f>
        <v>0.57142857142857151</v>
      </c>
      <c r="S40" s="10">
        <f t="shared" si="5"/>
        <v>0.34321342588414044</v>
      </c>
      <c r="T40" s="4">
        <f t="shared" ca="1" si="6"/>
        <v>0</v>
      </c>
      <c r="U40" s="4">
        <f t="shared" ca="1" si="7"/>
        <v>73</v>
      </c>
      <c r="V40" s="4">
        <f t="shared" ca="1" si="8"/>
        <v>287</v>
      </c>
      <c r="W40" s="10">
        <f t="shared" ca="1" si="9"/>
        <v>0.29010202331961593</v>
      </c>
      <c r="X40" s="5">
        <f t="shared" ca="1" si="10"/>
        <v>-0.15474745030065773</v>
      </c>
    </row>
    <row r="41" spans="1:24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5">
        <f>IF(VLOOKUP(A41,Dividende_je_Aktie!A3:AM68,6,FALSE)&lt;&gt;"",IF(VLOOKUP(A41,Ergebnis_je_Aktie_verwässert!A3:AK68,6,FALSE)&lt;&gt;"",IF(VLOOKUP(A41,Ergebnis_je_Aktie_verwässert!A3:AK68,6,FALSE)&lt;=0,9.99999,VLOOKUP(A41,Dividende_je_Aktie!A3:AM68,6,FALSE)/VLOOKUP(A41,Ergebnis_je_Aktie_verwässert!A3:AK68,6,FALSE)),""),"")</f>
        <v>0.54754098360655734</v>
      </c>
      <c r="G41" s="5">
        <f>IF(VLOOKUP(A41,Dividende_je_Aktie!A3:AM68,7,FALSE)&lt;&gt;"",IF(VLOOKUP(A41,Ergebnis_je_Aktie_verwässert!A3:AK68,7,FALSE)&lt;&gt;"",IF(VLOOKUP(A41,Ergebnis_je_Aktie_verwässert!A3:AK68,7,FALSE)&lt;=0,9.99999,VLOOKUP(A41,Dividende_je_Aktie!A3:AM68,7,FALSE)/VLOOKUP(A41,Ergebnis_je_Aktie_verwässert!A3:AK68,7,FALSE)),""),"")</f>
        <v>0.53012048192771088</v>
      </c>
      <c r="H41" s="5">
        <f>IF(VLOOKUP(A41,Dividende_je_Aktie!A3:AM68,8,FALSE)&lt;&gt;"",IF(VLOOKUP(A41,Ergebnis_je_Aktie_verwässert!A3:AK68,8,FALSE)&lt;&gt;"",IF(VLOOKUP(A41,Ergebnis_je_Aktie_verwässert!A3:AK68,8,FALSE)&lt;=0,9.99999,VLOOKUP(A41,Dividende_je_Aktie!A3:AM68,8,FALSE)/VLOOKUP(A41,Ergebnis_je_Aktie_verwässert!A3:AK68,8,FALSE)),""),"")</f>
        <v>0.51413427561837455</v>
      </c>
      <c r="I41" s="5">
        <f>IF(VLOOKUP(A41,Dividende_je_Aktie!A3:AM68,9,FALSE)&lt;&gt;"",IF(VLOOKUP(A41,Ergebnis_je_Aktie_verwässert!A3:AK68,9,FALSE)&lt;&gt;"",IF(VLOOKUP(A41,Ergebnis_je_Aktie_verwässert!A3:AK68,9,FALSE)&lt;=0,9.99999,VLOOKUP(A41,Dividende_je_Aktie!A3:AM68,9,FALSE)/VLOOKUP(A41,Ergebnis_je_Aktie_verwässert!A3:AK68,9,FALSE)),""),"")</f>
        <v>0.48421052631578942</v>
      </c>
      <c r="J41" s="5">
        <f>IF(VLOOKUP(A41,Dividende_je_Aktie!A3:AM68,10,FALSE)&lt;&gt;"",IF(VLOOKUP(A41,Ergebnis_je_Aktie_verwässert!A3:AK68,10,FALSE)&lt;&gt;"",IF(VLOOKUP(A41,Ergebnis_je_Aktie_verwässert!A3:AK68,10,FALSE)&lt;=0,9.99999,VLOOKUP(A41,Dividende_je_Aktie!A3:AM68,10,FALSE)/VLOOKUP(A41,Ergebnis_je_Aktie_verwässert!A3:AK68,10,FALSE)),""),"")</f>
        <v>0.45598591549295775</v>
      </c>
      <c r="K41" s="5">
        <f>IF(VLOOKUP(A41,Dividende_je_Aktie!A3:AM68,11,FALSE)&lt;&gt;"",IF(VLOOKUP(A41,Ergebnis_je_Aktie_verwässert!A3:AK68,11,FALSE)&lt;&gt;"",IF(VLOOKUP(A41,Ergebnis_je_Aktie_verwässert!A3:AK68,11,FALSE)&lt;=0,9.99999,VLOOKUP(A41,Dividende_je_Aktie!A3:AM68,11,FALSE)/VLOOKUP(A41,Ergebnis_je_Aktie_verwässert!A3:AK68,11,FALSE)),""),"")</f>
        <v>0.54054054054054046</v>
      </c>
      <c r="L41" s="5">
        <f>IF(VLOOKUP(A41,Dividende_je_Aktie!A3:AM68,12,FALSE)&lt;&gt;"",IF(VLOOKUP(A41,Ergebnis_je_Aktie_verwässert!A3:AK68,12,FALSE)&lt;&gt;"",IF(VLOOKUP(A41,Ergebnis_je_Aktie_verwässert!A3:AK68,12,FALSE)&lt;=0,9.99999,VLOOKUP(A41,Dividende_je_Aktie!A3:AM68,12,FALSE)/VLOOKUP(A41,Ergebnis_je_Aktie_verwässert!A3:AK68,12,FALSE)),""),"")</f>
        <v>0.50448430493273544</v>
      </c>
      <c r="M41" s="5">
        <f>IF(VLOOKUP(A41,Dividende_je_Aktie!A3:AM68,13,FALSE)&lt;&gt;"",IF(VLOOKUP(A41,Ergebnis_je_Aktie_verwässert!A3:AK68,13,FALSE)&lt;&gt;"",IF(VLOOKUP(A41,Ergebnis_je_Aktie_verwässert!A3:AK68,13,FALSE)&lt;=0,9.99999,VLOOKUP(A41,Dividende_je_Aktie!A3:AM68,13,FALSE)/VLOOKUP(A41,Ergebnis_je_Aktie_verwässert!A3:AK68,13,FALSE)),""),"")</f>
        <v>0.44142259414225937</v>
      </c>
      <c r="N41" s="5">
        <f>IF(VLOOKUP(A41,Dividende_je_Aktie!A3:AM68,14,FALSE)&lt;&gt;"",IF(VLOOKUP(A41,Ergebnis_je_Aktie_verwässert!A3:AK68,14,FALSE)&lt;&gt;"",IF(VLOOKUP(A41,Ergebnis_je_Aktie_verwässert!A3:AK68,14,FALSE)&lt;=0,9.99999,VLOOKUP(A41,Dividende_je_Aktie!A3:AM68,14,FALSE)/VLOOKUP(A41,Ergebnis_je_Aktie_verwässert!A3:AK68,14,FALSE)),""),"")</f>
        <v>0.4386363636363636</v>
      </c>
      <c r="O41" s="5">
        <f>IF(VLOOKUP(A41,Dividende_je_Aktie!A3:AM68,15,FALSE)&lt;&gt;"",IF(VLOOKUP(A41,Ergebnis_je_Aktie_verwässert!A3:AK68,15,FALSE)&lt;&gt;"",IF(VLOOKUP(A41,Ergebnis_je_Aktie_verwässert!A3:AK68,15,FALSE)&lt;=0,9.99999,VLOOKUP(A41,Dividende_je_Aktie!A3:AM68,15,FALSE)/VLOOKUP(A41,Ergebnis_je_Aktie_verwässert!A3:AK68,15,FALSE)),""),"")</f>
        <v>0.39168490153172864</v>
      </c>
      <c r="P41" s="5">
        <f>IF(VLOOKUP(A41,Dividende_je_Aktie!A3:AM68,16,FALSE)&lt;&gt;"",IF(VLOOKUP(A41,Ergebnis_je_Aktie_verwässert!A3:AK68,16,FALSE)&lt;&gt;"",IF(VLOOKUP(A41,Ergebnis_je_Aktie_verwässert!A3:AK68,16,FALSE)&lt;=0,9.99999,VLOOKUP(A41,Dividende_je_Aktie!A3:AM68,16,FALSE)/VLOOKUP(A41,Ergebnis_je_Aktie_verwässert!A3:AK68,16,FALSE)),""),"")</f>
        <v>0.44628099173553726</v>
      </c>
      <c r="Q41" s="5">
        <f>IF(VLOOKUP(A41,Dividende_je_Aktie!A3:AM68,17,FALSE)&lt;&gt;"",IF(VLOOKUP(A41,Ergebnis_je_Aktie_verwässert!A3:AK68,17,FALSE)&lt;&gt;"",IF(VLOOKUP(A41,Ergebnis_je_Aktie_verwässert!A3:AK68,17,FALSE)&lt;=0,9.99999,VLOOKUP(A41,Dividende_je_Aktie!A3:AM68,17,FALSE)/VLOOKUP(A41,Ergebnis_je_Aktie_verwässert!A3:AK68,17,FALSE)),""),"")</f>
        <v>0.39142091152815012</v>
      </c>
      <c r="R41" s="5">
        <f>IF(VLOOKUP(A41,Dividende_je_Aktie!A3:AM68,18,FALSE)&lt;&gt;"",IF(VLOOKUP(A41,Ergebnis_je_Aktie_verwässert!A3:AK68,18,FALSE)&lt;&gt;"",IF(VLOOKUP(A41,Ergebnis_je_Aktie_verwässert!A3:AK68,18,FALSE)&lt;=0,9.99999,VLOOKUP(A41,Dividende_je_Aktie!A3:AM68,18,FALSE)/VLOOKUP(A41,Ergebnis_je_Aktie_verwässert!A3:AK68,18,FALSE)),""),"")</f>
        <v>0.36705202312138729</v>
      </c>
      <c r="S41" s="10">
        <f t="shared" si="5"/>
        <v>0.46565498570231478</v>
      </c>
      <c r="T41" s="4">
        <f t="shared" ca="1" si="6"/>
        <v>0</v>
      </c>
      <c r="U41" s="4">
        <f t="shared" ca="1" si="7"/>
        <v>73</v>
      </c>
      <c r="V41" s="4">
        <f t="shared" ca="1" si="8"/>
        <v>287</v>
      </c>
      <c r="W41" s="10">
        <f t="shared" ca="1" si="9"/>
        <v>0.5173759230088788</v>
      </c>
      <c r="X41" s="5">
        <f t="shared" ca="1" si="10"/>
        <v>0.11107137020890478</v>
      </c>
    </row>
    <row r="42" spans="1:24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5">
        <f>IF(VLOOKUP(A42,Dividende_je_Aktie!A3:AM68,6,FALSE)&lt;&gt;"",IF(VLOOKUP(A42,Ergebnis_je_Aktie_verwässert!A3:AK68,6,FALSE)&lt;&gt;"",IF(VLOOKUP(A42,Ergebnis_je_Aktie_verwässert!A3:AK68,6,FALSE)&lt;=0,9.99999,VLOOKUP(A42,Dividende_je_Aktie!A3:AM68,6,FALSE)/VLOOKUP(A42,Ergebnis_je_Aktie_verwässert!A3:AK68,6,FALSE)),""),"")</f>
        <v>0.68021680216802161</v>
      </c>
      <c r="G42" s="5">
        <f>IF(VLOOKUP(A42,Dividende_je_Aktie!A3:AM68,7,FALSE)&lt;&gt;"",IF(VLOOKUP(A42,Ergebnis_je_Aktie_verwässert!A3:AK68,7,FALSE)&lt;&gt;"",IF(VLOOKUP(A42,Ergebnis_je_Aktie_verwässert!A3:AK68,7,FALSE)&lt;=0,9.99999,VLOOKUP(A42,Dividende_je_Aktie!A3:AM68,7,FALSE)/VLOOKUP(A42,Ergebnis_je_Aktie_verwässert!A3:AK68,7,FALSE)),""),"")</f>
        <v>0.68208092485549132</v>
      </c>
      <c r="H42" s="5">
        <f>IF(VLOOKUP(A42,Dividende_je_Aktie!A3:AM68,8,FALSE)&lt;&gt;"",IF(VLOOKUP(A42,Ergebnis_je_Aktie_verwässert!A3:AK68,8,FALSE)&lt;&gt;"",IF(VLOOKUP(A42,Ergebnis_je_Aktie_verwässert!A3:AK68,8,FALSE)&lt;=0,9.99999,VLOOKUP(A42,Dividende_je_Aktie!A3:AM68,8,FALSE)/VLOOKUP(A42,Ergebnis_je_Aktie_verwässert!A3:AK68,8,FALSE)),""),"")</f>
        <v>0.6913580246913581</v>
      </c>
      <c r="I42" s="5">
        <f>IF(VLOOKUP(A42,Dividende_je_Aktie!A3:AM68,9,FALSE)&lt;&gt;"",IF(VLOOKUP(A42,Ergebnis_je_Aktie_verwässert!A3:AK68,9,FALSE)&lt;&gt;"",IF(VLOOKUP(A42,Ergebnis_je_Aktie_verwässert!A3:AK68,9,FALSE)&lt;=0,9.99999,VLOOKUP(A42,Dividende_je_Aktie!A3:AM68,9,FALSE)/VLOOKUP(A42,Ergebnis_je_Aktie_verwässert!A3:AK68,9,FALSE)),""),"")</f>
        <v>0.63235294117647056</v>
      </c>
      <c r="J42" s="5">
        <f>IF(VLOOKUP(A42,Dividende_je_Aktie!A3:AM68,10,FALSE)&lt;&gt;"",IF(VLOOKUP(A42,Ergebnis_je_Aktie_verwässert!A3:AK68,10,FALSE)&lt;&gt;"",IF(VLOOKUP(A42,Ergebnis_je_Aktie_verwässert!A3:AK68,10,FALSE)&lt;=0,9.99999,VLOOKUP(A42,Dividende_je_Aktie!A3:AM68,10,FALSE)/VLOOKUP(A42,Ergebnis_je_Aktie_verwässert!A3:AK68,10,FALSE)),""),"")</f>
        <v>0.73476702508960567</v>
      </c>
      <c r="K42" s="5">
        <f>IF(VLOOKUP(A42,Dividende_je_Aktie!A3:AM68,11,FALSE)&lt;&gt;"",IF(VLOOKUP(A42,Ergebnis_je_Aktie_verwässert!A3:AK68,11,FALSE)&lt;&gt;"",IF(VLOOKUP(A42,Ergebnis_je_Aktie_verwässert!A3:AK68,11,FALSE)&lt;=0,9.99999,VLOOKUP(A42,Dividende_je_Aktie!A3:AM68,11,FALSE)/VLOOKUP(A42,Ergebnis_je_Aktie_verwässert!A3:AK68,11,FALSE)),""),"")</f>
        <v>0.41551246537396125</v>
      </c>
      <c r="L42" s="5">
        <f>IF(VLOOKUP(A42,Dividende_je_Aktie!A3:AM68,12,FALSE)&lt;&gt;"",IF(VLOOKUP(A42,Ergebnis_je_Aktie_verwässert!A3:AK68,12,FALSE)&lt;&gt;"",IF(VLOOKUP(A42,Ergebnis_je_Aktie_verwässert!A3:AK68,12,FALSE)&lt;=0,9.99999,VLOOKUP(A42,Dividende_je_Aktie!A3:AM68,12,FALSE)/VLOOKUP(A42,Ergebnis_je_Aktie_verwässert!A3:AK68,12,FALSE)),""),"")</f>
        <v>0.29219143576826195</v>
      </c>
      <c r="M42" s="5">
        <f>IF(VLOOKUP(A42,Dividende_je_Aktie!A3:AM68,13,FALSE)&lt;&gt;"",IF(VLOOKUP(A42,Ergebnis_je_Aktie_verwässert!A3:AK68,13,FALSE)&lt;&gt;"",IF(VLOOKUP(A42,Ergebnis_je_Aktie_verwässert!A3:AK68,13,FALSE)&lt;=0,9.99999,VLOOKUP(A42,Dividende_je_Aktie!A3:AM68,13,FALSE)/VLOOKUP(A42,Ergebnis_je_Aktie_verwässert!A3:AK68,13,FALSE)),""),"")</f>
        <v>0.32402234636871508</v>
      </c>
      <c r="N42" s="5">
        <f>IF(VLOOKUP(A42,Dividende_je_Aktie!A3:AM68,14,FALSE)&lt;&gt;"",IF(VLOOKUP(A42,Ergebnis_je_Aktie_verwässert!A3:AK68,14,FALSE)&lt;&gt;"",IF(VLOOKUP(A42,Ergebnis_je_Aktie_verwässert!A3:AK68,14,FALSE)&lt;=0,9.99999,VLOOKUP(A42,Dividende_je_Aktie!A3:AM68,14,FALSE)/VLOOKUP(A42,Ergebnis_je_Aktie_verwässert!A3:AK68,14,FALSE)),""),"")</f>
        <v>0.30687830687830686</v>
      </c>
      <c r="O42" s="5">
        <f>IF(VLOOKUP(A42,Dividende_je_Aktie!A3:AM68,15,FALSE)&lt;&gt;"",IF(VLOOKUP(A42,Ergebnis_je_Aktie_verwässert!A3:AK68,15,FALSE)&lt;&gt;"",IF(VLOOKUP(A42,Ergebnis_je_Aktie_verwässert!A3:AK68,15,FALSE)&lt;=0,9.99999,VLOOKUP(A42,Dividende_je_Aktie!A3:AM68,15,FALSE)/VLOOKUP(A42,Ergebnis_je_Aktie_verwässert!A3:AK68,15,FALSE)),""),"")</f>
        <v>0.45344129554655888</v>
      </c>
      <c r="P42" s="5" t="str">
        <f>IF(VLOOKUP(A42,Dividende_je_Aktie!A3:AM68,16,FALSE)&lt;&gt;"",IF(VLOOKUP(A42,Ergebnis_je_Aktie_verwässert!A3:AK68,16,FALSE)&lt;&gt;"",IF(VLOOKUP(A42,Ergebnis_je_Aktie_verwässert!A3:AK68,16,FALSE)&lt;=0,9.99999,VLOOKUP(A42,Dividende_je_Aktie!A3:AM68,16,FALSE)/VLOOKUP(A42,Ergebnis_je_Aktie_verwässert!A3:AK68,16,FALSE)),""),"")</f>
        <v/>
      </c>
      <c r="Q42" s="5" t="str">
        <f>IF(VLOOKUP(A42,Dividende_je_Aktie!A3:AM68,17,FALSE)&lt;&gt;"",IF(VLOOKUP(A42,Ergebnis_je_Aktie_verwässert!A3:AK68,17,FALSE)&lt;&gt;"",IF(VLOOKUP(A42,Ergebnis_je_Aktie_verwässert!A3:AK68,17,FALSE)&lt;=0,9.99999,VLOOKUP(A42,Dividende_je_Aktie!A3:AM68,17,FALSE)/VLOOKUP(A42,Ergebnis_je_Aktie_verwässert!A3:AK68,17,FALSE)),""),"")</f>
        <v/>
      </c>
      <c r="R42" s="5" t="str">
        <f>IF(VLOOKUP(A42,Dividende_je_Aktie!A3:AM68,18,FALSE)&lt;&gt;"",IF(VLOOKUP(A42,Ergebnis_je_Aktie_verwässert!A3:AK68,18,FALSE)&lt;&gt;"",IF(VLOOKUP(A42,Ergebnis_je_Aktie_verwässert!A3:AK68,18,FALSE)&lt;=0,9.99999,VLOOKUP(A42,Dividende_je_Aktie!A3:AM68,18,FALSE)/VLOOKUP(A42,Ergebnis_je_Aktie_verwässert!A3:AK68,18,FALSE)),""),"")</f>
        <v/>
      </c>
      <c r="S42" s="10">
        <f t="shared" si="5"/>
        <v>0.52128215679167511</v>
      </c>
      <c r="T42" s="4">
        <f t="shared" ca="1" si="6"/>
        <v>0</v>
      </c>
      <c r="U42" s="4">
        <f t="shared" ca="1" si="7"/>
        <v>73</v>
      </c>
      <c r="V42" s="4">
        <f t="shared" ca="1" si="8"/>
        <v>287</v>
      </c>
      <c r="W42" s="10">
        <f t="shared" ca="1" si="9"/>
        <v>0.68947683500241852</v>
      </c>
      <c r="X42" s="5">
        <f t="shared" ca="1" si="10"/>
        <v>0.32265573647471046</v>
      </c>
    </row>
    <row r="43" spans="1:24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5">
        <f>IF(VLOOKUP(A43,Dividende_je_Aktie!A3:AM68,6,FALSE)&lt;&gt;"",IF(VLOOKUP(A43,Ergebnis_je_Aktie_verwässert!A3:AK68,6,FALSE)&lt;&gt;"",IF(VLOOKUP(A43,Ergebnis_je_Aktie_verwässert!A3:AK68,6,FALSE)&lt;=0,9.99999,VLOOKUP(A43,Dividende_je_Aktie!A3:AM68,6,FALSE)/VLOOKUP(A43,Ergebnis_je_Aktie_verwässert!A3:AK68,6,FALSE)),""),"")</f>
        <v>0.66835871404399327</v>
      </c>
      <c r="G43" s="5">
        <f>IF(VLOOKUP(A43,Dividende_je_Aktie!A3:AM68,7,FALSE)&lt;&gt;"",IF(VLOOKUP(A43,Ergebnis_je_Aktie_verwässert!A3:AK68,7,FALSE)&lt;&gt;"",IF(VLOOKUP(A43,Ergebnis_je_Aktie_verwässert!A3:AK68,7,FALSE)&lt;=0,9.99999,VLOOKUP(A43,Dividende_je_Aktie!A3:AM68,7,FALSE)/VLOOKUP(A43,Ergebnis_je_Aktie_verwässert!A3:AK68,7,FALSE)),""),"")</f>
        <v>0.68971962616822435</v>
      </c>
      <c r="H43" s="5">
        <f>IF(VLOOKUP(A43,Dividende_je_Aktie!A3:AM68,8,FALSE)&lt;&gt;"",IF(VLOOKUP(A43,Ergebnis_je_Aktie_verwässert!A3:AK68,8,FALSE)&lt;&gt;"",IF(VLOOKUP(A43,Ergebnis_je_Aktie_verwässert!A3:AK68,8,FALSE)&lt;=0,9.99999,VLOOKUP(A43,Dividende_je_Aktie!A3:AM68,8,FALSE)/VLOOKUP(A43,Ergebnis_je_Aktie_verwässert!A3:AK68,8,FALSE)),""),"")</f>
        <v>0.68924302788844627</v>
      </c>
      <c r="I43" s="5">
        <f>IF(VLOOKUP(A43,Dividende_je_Aktie!A3:AM68,9,FALSE)&lt;&gt;"",IF(VLOOKUP(A43,Ergebnis_je_Aktie_verwässert!A3:AK68,9,FALSE)&lt;&gt;"",IF(VLOOKUP(A43,Ergebnis_je_Aktie_verwässert!A3:AK68,9,FALSE)&lt;=0,9.99999,VLOOKUP(A43,Dividende_je_Aktie!A3:AM68,9,FALSE)/VLOOKUP(A43,Ergebnis_je_Aktie_verwässert!A3:AK68,9,FALSE)),""),"")</f>
        <v>0.68049792531120323</v>
      </c>
      <c r="J43" s="5">
        <f>IF(VLOOKUP(A43,Dividende_je_Aktie!A3:AM68,10,FALSE)&lt;&gt;"",IF(VLOOKUP(A43,Ergebnis_je_Aktie_verwässert!A3:AK68,10,FALSE)&lt;&gt;"",IF(VLOOKUP(A43,Ergebnis_je_Aktie_verwässert!A3:AK68,10,FALSE)&lt;=0,9.99999,VLOOKUP(A43,Dividende_je_Aktie!A3:AM68,10,FALSE)/VLOOKUP(A43,Ergebnis_je_Aktie_verwässert!A3:AK68,10,FALSE)),""),"")</f>
        <v>0.56216216216216219</v>
      </c>
      <c r="K43" s="5">
        <f>IF(VLOOKUP(A43,Dividende_je_Aktie!A3:AM68,11,FALSE)&lt;&gt;"",IF(VLOOKUP(A43,Ergebnis_je_Aktie_verwässert!A3:AK68,11,FALSE)&lt;&gt;"",IF(VLOOKUP(A43,Ergebnis_je_Aktie_verwässert!A3:AK68,11,FALSE)&lt;=0,9.99999,VLOOKUP(A43,Dividende_je_Aktie!A3:AM68,11,FALSE)/VLOOKUP(A43,Ergebnis_je_Aktie_verwässert!A3:AK68,11,FALSE)),""),"")</f>
        <v>0.53544776119402981</v>
      </c>
      <c r="L43" s="5">
        <f>IF(VLOOKUP(A43,Dividende_je_Aktie!A3:AM68,12,FALSE)&lt;&gt;"",IF(VLOOKUP(A43,Ergebnis_je_Aktie_verwässert!A3:AK68,12,FALSE)&lt;&gt;"",IF(VLOOKUP(A43,Ergebnis_je_Aktie_verwässert!A3:AK68,12,FALSE)&lt;=0,9.99999,VLOOKUP(A43,Dividende_je_Aktie!A3:AM68,12,FALSE)/VLOOKUP(A43,Ergebnis_je_Aktie_verwässert!A3:AK68,12,FALSE)),""),"")</f>
        <v>0.48007590132827327</v>
      </c>
      <c r="M43" s="5">
        <f>IF(VLOOKUP(A43,Dividende_je_Aktie!A3:AM68,13,FALSE)&lt;&gt;"",IF(VLOOKUP(A43,Ergebnis_je_Aktie_verwässert!A3:AK68,13,FALSE)&lt;&gt;"",IF(VLOOKUP(A43,Ergebnis_je_Aktie_verwässert!A3:AK68,13,FALSE)&lt;=0,9.99999,VLOOKUP(A43,Dividende_je_Aktie!A3:AM68,13,FALSE)/VLOOKUP(A43,Ergebnis_je_Aktie_verwässert!A3:AK68,13,FALSE)),""),"")</f>
        <v>0.49344978165938858</v>
      </c>
      <c r="N43" s="5">
        <f>IF(VLOOKUP(A43,Dividende_je_Aktie!A3:AM68,14,FALSE)&lt;&gt;"",IF(VLOOKUP(A43,Ergebnis_je_Aktie_verwässert!A3:AK68,14,FALSE)&lt;&gt;"",IF(VLOOKUP(A43,Ergebnis_je_Aktie_verwässert!A3:AK68,14,FALSE)&lt;=0,9.99999,VLOOKUP(A43,Dividende_je_Aktie!A3:AM68,14,FALSE)/VLOOKUP(A43,Ergebnis_je_Aktie_verwässert!A3:AK68,14,FALSE)),""),"")</f>
        <v>0.49878345498783444</v>
      </c>
      <c r="O43" s="5">
        <f>IF(VLOOKUP(A43,Dividende_je_Aktie!A3:AM68,15,FALSE)&lt;&gt;"",IF(VLOOKUP(A43,Ergebnis_je_Aktie_verwässert!A3:AK68,15,FALSE)&lt;&gt;"",IF(VLOOKUP(A43,Ergebnis_je_Aktie_verwässert!A3:AK68,15,FALSE)&lt;=0,9.99999,VLOOKUP(A43,Dividende_je_Aktie!A3:AM68,15,FALSE)/VLOOKUP(A43,Ergebnis_je_Aktie_verwässert!A3:AK68,15,FALSE)),""),"")</f>
        <v>0.43351063829787234</v>
      </c>
      <c r="P43" s="5">
        <f>IF(VLOOKUP(A43,Dividende_je_Aktie!A3:AM68,16,FALSE)&lt;&gt;"",IF(VLOOKUP(A43,Ergebnis_je_Aktie_verwässert!A3:AK68,16,FALSE)&lt;&gt;"",IF(VLOOKUP(A43,Ergebnis_je_Aktie_verwässert!A3:AK68,16,FALSE)&lt;=0,9.99999,VLOOKUP(A43,Dividende_je_Aktie!A3:AM68,16,FALSE)/VLOOKUP(A43,Ergebnis_je_Aktie_verwässert!A3:AK68,16,FALSE)),""),"")</f>
        <v>0.45454545454545459</v>
      </c>
      <c r="Q43" s="5">
        <f>IF(VLOOKUP(A43,Dividende_je_Aktie!A3:AM68,17,FALSE)&lt;&gt;"",IF(VLOOKUP(A43,Ergebnis_je_Aktie_verwässert!A3:AK68,17,FALSE)&lt;&gt;"",IF(VLOOKUP(A43,Ergebnis_je_Aktie_verwässert!A3:AK68,17,FALSE)&lt;=0,9.99999,VLOOKUP(A43,Dividende_je_Aktie!A3:AM68,17,FALSE)/VLOOKUP(A43,Ergebnis_je_Aktie_verwässert!A3:AK68,17,FALSE)),""),"")</f>
        <v>0.35335689045936397</v>
      </c>
      <c r="R43" s="5">
        <f>IF(VLOOKUP(A43,Dividende_je_Aktie!A3:AM68,18,FALSE)&lt;&gt;"",IF(VLOOKUP(A43,Ergebnis_je_Aktie_verwässert!A3:AK68,18,FALSE)&lt;&gt;"",IF(VLOOKUP(A43,Ergebnis_je_Aktie_verwässert!A3:AK68,18,FALSE)&lt;=0,9.99999,VLOOKUP(A43,Dividende_je_Aktie!A3:AM68,18,FALSE)/VLOOKUP(A43,Ergebnis_je_Aktie_verwässert!A3:AK68,18,FALSE)),""),"")</f>
        <v>0.32843137254901961</v>
      </c>
      <c r="S43" s="10">
        <f t="shared" si="5"/>
        <v>0.52827559312271277</v>
      </c>
      <c r="T43" s="4">
        <f t="shared" ca="1" si="6"/>
        <v>0</v>
      </c>
      <c r="U43" s="4">
        <f t="shared" ca="1" si="7"/>
        <v>73</v>
      </c>
      <c r="V43" s="4">
        <f t="shared" ca="1" si="8"/>
        <v>287</v>
      </c>
      <c r="W43" s="10">
        <f t="shared" ca="1" si="9"/>
        <v>0.68933967142851227</v>
      </c>
      <c r="X43" s="5">
        <f t="shared" ca="1" si="10"/>
        <v>0.30488646532717256</v>
      </c>
    </row>
    <row r="44" spans="1:24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5">
        <f>IF(VLOOKUP(A44,Dividende_je_Aktie!A3:AM68,6,FALSE)&lt;&gt;"",IF(VLOOKUP(A44,Ergebnis_je_Aktie_verwässert!A3:AK68,6,FALSE)&lt;&gt;"",IF(VLOOKUP(A44,Ergebnis_je_Aktie_verwässert!A3:AK68,6,FALSE)&lt;=0,9.99999,VLOOKUP(A44,Dividende_je_Aktie!A3:AM68,6,FALSE)/VLOOKUP(A44,Ergebnis_je_Aktie_verwässert!A3:AK68,6,FALSE)),""),"")</f>
        <v>0.59682539682539681</v>
      </c>
      <c r="G44" s="5">
        <f>IF(VLOOKUP(A44,Dividende_je_Aktie!A3:AM68,7,FALSE)&lt;&gt;"",IF(VLOOKUP(A44,Ergebnis_je_Aktie_verwässert!A3:AK68,7,FALSE)&lt;&gt;"",IF(VLOOKUP(A44,Ergebnis_je_Aktie_verwässert!A3:AK68,7,FALSE)&lt;=0,9.99999,VLOOKUP(A44,Dividende_je_Aktie!A3:AM68,7,FALSE)/VLOOKUP(A44,Ergebnis_je_Aktie_verwässert!A3:AK68,7,FALSE)),""),"")</f>
        <v>0.58227848101265822</v>
      </c>
      <c r="H44" s="5">
        <f>IF(VLOOKUP(A44,Dividende_je_Aktie!A3:AM68,8,FALSE)&lt;&gt;"",IF(VLOOKUP(A44,Ergebnis_je_Aktie_verwässert!A3:AK68,8,FALSE)&lt;&gt;"",IF(VLOOKUP(A44,Ergebnis_je_Aktie_verwässert!A3:AK68,8,FALSE)&lt;=0,9.99999,VLOOKUP(A44,Dividende_je_Aktie!A3:AM68,8,FALSE)/VLOOKUP(A44,Ergebnis_je_Aktie_verwässert!A3:AK68,8,FALSE)),""),"")</f>
        <v>0.8136363636363636</v>
      </c>
      <c r="I44" s="5">
        <f>IF(VLOOKUP(A44,Dividende_je_Aktie!A3:AM68,9,FALSE)&lt;&gt;"",IF(VLOOKUP(A44,Ergebnis_je_Aktie_verwässert!A3:AK68,9,FALSE)&lt;&gt;"",IF(VLOOKUP(A44,Ergebnis_je_Aktie_verwässert!A3:AK68,9,FALSE)&lt;=0,9.99999,VLOOKUP(A44,Dividende_je_Aktie!A3:AM68,9,FALSE)/VLOOKUP(A44,Ergebnis_je_Aktie_verwässert!A3:AK68,9,FALSE)),""),"")</f>
        <v>0.43488943488943488</v>
      </c>
      <c r="J44" s="5">
        <f>IF(VLOOKUP(A44,Dividende_je_Aktie!A3:AM68,10,FALSE)&lt;&gt;"",IF(VLOOKUP(A44,Ergebnis_je_Aktie_verwässert!A3:AK68,10,FALSE)&lt;&gt;"",IF(VLOOKUP(A44,Ergebnis_je_Aktie_verwässert!A3:AK68,10,FALSE)&lt;=0,9.99999,VLOOKUP(A44,Dividende_je_Aktie!A3:AM68,10,FALSE)/VLOOKUP(A44,Ergebnis_je_Aktie_verwässert!A3:AK68,10,FALSE)),""),"")</f>
        <v>1.1768707482993197</v>
      </c>
      <c r="K44" s="5">
        <f>IF(VLOOKUP(A44,Dividende_je_Aktie!A3:AM68,11,FALSE)&lt;&gt;"",IF(VLOOKUP(A44,Ergebnis_je_Aktie_verwässert!A3:AK68,11,FALSE)&lt;&gt;"",IF(VLOOKUP(A44,Ergebnis_je_Aktie_verwässert!A3:AK68,11,FALSE)&lt;=0,9.99999,VLOOKUP(A44,Dividende_je_Aktie!A3:AM68,11,FALSE)/VLOOKUP(A44,Ergebnis_je_Aktie_verwässert!A3:AK68,11,FALSE)),""),"")</f>
        <v>0.84</v>
      </c>
      <c r="L44" s="5">
        <f>IF(VLOOKUP(A44,Dividende_je_Aktie!A3:AM68,12,FALSE)&lt;&gt;"",IF(VLOOKUP(A44,Ergebnis_je_Aktie_verwässert!A3:AK68,12,FALSE)&lt;&gt;"",IF(VLOOKUP(A44,Ergebnis_je_Aktie_verwässert!A3:AK68,12,FALSE)&lt;=0,9.99999,VLOOKUP(A44,Dividende_je_Aktie!A3:AM68,12,FALSE)/VLOOKUP(A44,Ergebnis_je_Aktie_verwässert!A3:AK68,12,FALSE)),""),"")</f>
        <v>0.75247524752475248</v>
      </c>
      <c r="M44" s="5">
        <f>IF(VLOOKUP(A44,Dividende_je_Aktie!A3:AM68,13,FALSE)&lt;&gt;"",IF(VLOOKUP(A44,Ergebnis_je_Aktie_verwässert!A3:AK68,13,FALSE)&lt;&gt;"",IF(VLOOKUP(A44,Ergebnis_je_Aktie_verwässert!A3:AK68,13,FALSE)&lt;=0,9.99999,VLOOKUP(A44,Dividende_je_Aktie!A3:AM68,13,FALSE)/VLOOKUP(A44,Ergebnis_je_Aktie_verwässert!A3:AK68,13,FALSE)),""),"")</f>
        <v>0.44444444444444448</v>
      </c>
      <c r="N44" s="5">
        <f>IF(VLOOKUP(A44,Dividende_je_Aktie!A3:AM68,14,FALSE)&lt;&gt;"",IF(VLOOKUP(A44,Ergebnis_je_Aktie_verwässert!A3:AK68,14,FALSE)&lt;&gt;"",IF(VLOOKUP(A44,Ergebnis_je_Aktie_verwässert!A3:AK68,14,FALSE)&lt;=0,9.99999,VLOOKUP(A44,Dividende_je_Aktie!A3:AM68,14,FALSE)/VLOOKUP(A44,Ergebnis_je_Aktie_verwässert!A3:AK68,14,FALSE)),""),"")</f>
        <v>0.26902654867256637</v>
      </c>
      <c r="O44" s="5">
        <f>IF(VLOOKUP(A44,Dividende_je_Aktie!A3:AM68,15,FALSE)&lt;&gt;"",IF(VLOOKUP(A44,Ergebnis_je_Aktie_verwässert!A3:AK68,15,FALSE)&lt;&gt;"",IF(VLOOKUP(A44,Ergebnis_je_Aktie_verwässert!A3:AK68,15,FALSE)&lt;=0,9.99999,VLOOKUP(A44,Dividende_je_Aktie!A3:AM68,15,FALSE)/VLOOKUP(A44,Ergebnis_je_Aktie_verwässert!A3:AK68,15,FALSE)),""),"")</f>
        <v>0.4175824175824176</v>
      </c>
      <c r="P44" s="5">
        <f>IF(VLOOKUP(A44,Dividende_je_Aktie!A3:AM68,16,FALSE)&lt;&gt;"",IF(VLOOKUP(A44,Ergebnis_je_Aktie_verwässert!A3:AK68,16,FALSE)&lt;&gt;"",IF(VLOOKUP(A44,Ergebnis_je_Aktie_verwässert!A3:AK68,16,FALSE)&lt;=0,9.99999,VLOOKUP(A44,Dividende_je_Aktie!A3:AM68,16,FALSE)/VLOOKUP(A44,Ergebnis_je_Aktie_verwässert!A3:AK68,16,FALSE)),""),"")</f>
        <v>1.0201342281879195</v>
      </c>
      <c r="Q44" s="5">
        <f>IF(VLOOKUP(A44,Dividende_je_Aktie!A3:AM68,17,FALSE)&lt;&gt;"",IF(VLOOKUP(A44,Ergebnis_je_Aktie_verwässert!A3:AK68,17,FALSE)&lt;&gt;"",IF(VLOOKUP(A44,Ergebnis_je_Aktie_verwässert!A3:AK68,17,FALSE)&lt;=0,9.99999,VLOOKUP(A44,Dividende_je_Aktie!A3:AM68,17,FALSE)/VLOOKUP(A44,Ergebnis_je_Aktie_verwässert!A3:AK68,17,FALSE)),""),"")</f>
        <v>0.74876847290640403</v>
      </c>
      <c r="R44" s="5">
        <f>IF(VLOOKUP(A44,Dividende_je_Aktie!A3:AM68,18,FALSE)&lt;&gt;"",IF(VLOOKUP(A44,Ergebnis_je_Aktie_verwässert!A3:AK68,18,FALSE)&lt;&gt;"",IF(VLOOKUP(A44,Ergebnis_je_Aktie_verwässert!A3:AK68,18,FALSE)&lt;=0,9.99999,VLOOKUP(A44,Dividende_je_Aktie!A3:AM68,18,FALSE)/VLOOKUP(A44,Ergebnis_je_Aktie_verwässert!A3:AK68,18,FALSE)),""),"")</f>
        <v>0.72380952380952379</v>
      </c>
      <c r="S44" s="10">
        <f t="shared" si="5"/>
        <v>0.67851856213778461</v>
      </c>
      <c r="T44" s="4">
        <f t="shared" ca="1" si="6"/>
        <v>0</v>
      </c>
      <c r="U44" s="4">
        <f t="shared" ca="1" si="7"/>
        <v>73</v>
      </c>
      <c r="V44" s="4">
        <f t="shared" ca="1" si="8"/>
        <v>287</v>
      </c>
      <c r="W44" s="10">
        <f t="shared" ca="1" si="9"/>
        <v>0.76672212632655667</v>
      </c>
      <c r="X44" s="5">
        <f t="shared" ca="1" si="10"/>
        <v>0.12999432751091167</v>
      </c>
    </row>
    <row r="45" spans="1:24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5">
        <f>IF(VLOOKUP(A45,Dividende_je_Aktie!A3:AM68,6,FALSE)&lt;&gt;"",IF(VLOOKUP(A45,Ergebnis_je_Aktie_verwässert!A3:AK68,6,FALSE)&lt;&gt;"",IF(VLOOKUP(A45,Ergebnis_je_Aktie_verwässert!A3:AK68,6,FALSE)&lt;=0,9.99999,VLOOKUP(A45,Dividende_je_Aktie!A3:AM68,6,FALSE)/VLOOKUP(A45,Ergebnis_je_Aktie_verwässert!A3:AK68,6,FALSE)),""),"")</f>
        <v>0.41337386018237082</v>
      </c>
      <c r="G45" s="5">
        <f>IF(VLOOKUP(A45,Dividende_je_Aktie!A3:AM68,7,FALSE)&lt;&gt;"",IF(VLOOKUP(A45,Ergebnis_je_Aktie_verwässert!A3:AK68,7,FALSE)&lt;&gt;"",IF(VLOOKUP(A45,Ergebnis_je_Aktie_verwässert!A3:AK68,7,FALSE)&lt;=0,9.99999,VLOOKUP(A45,Dividende_je_Aktie!A3:AM68,7,FALSE)/VLOOKUP(A45,Ergebnis_je_Aktie_verwässert!A3:AK68,7,FALSE)),""),"")</f>
        <v>0.44178082191780826</v>
      </c>
      <c r="H45" s="5">
        <f>IF(VLOOKUP(A45,Dividende_je_Aktie!A3:AM68,8,FALSE)&lt;&gt;"",IF(VLOOKUP(A45,Ergebnis_je_Aktie_verwässert!A3:AK68,8,FALSE)&lt;&gt;"",IF(VLOOKUP(A45,Ergebnis_je_Aktie_verwässert!A3:AK68,8,FALSE)&lt;=0,9.99999,VLOOKUP(A45,Dividende_je_Aktie!A3:AM68,8,FALSE)/VLOOKUP(A45,Ergebnis_je_Aktie_verwässert!A3:AK68,8,FALSE)),""),"")</f>
        <v>0.49790794979079495</v>
      </c>
      <c r="I45" s="5">
        <f>IF(VLOOKUP(A45,Dividende_je_Aktie!A3:AM68,9,FALSE)&lt;&gt;"",IF(VLOOKUP(A45,Ergebnis_je_Aktie_verwässert!A3:AK68,9,FALSE)&lt;&gt;"",IF(VLOOKUP(A45,Ergebnis_je_Aktie_verwässert!A3:AK68,9,FALSE)&lt;=0,9.99999,VLOOKUP(A45,Dividende_je_Aktie!A3:AM68,9,FALSE)/VLOOKUP(A45,Ergebnis_je_Aktie_verwässert!A3:AK68,9,FALSE)),""),"")</f>
        <v>0.42585551330798482</v>
      </c>
      <c r="J45" s="5">
        <f>IF(VLOOKUP(A45,Dividende_je_Aktie!A3:AM68,10,FALSE)&lt;&gt;"",IF(VLOOKUP(A45,Ergebnis_je_Aktie_verwässert!A3:AK68,10,FALSE)&lt;&gt;"",IF(VLOOKUP(A45,Ergebnis_je_Aktie_verwässert!A3:AK68,10,FALSE)&lt;=0,9.99999,VLOOKUP(A45,Dividende_je_Aktie!A3:AM68,10,FALSE)/VLOOKUP(A45,Ergebnis_je_Aktie_verwässert!A3:AK68,10,FALSE)),""),"")</f>
        <v>0.34456928838951312</v>
      </c>
      <c r="K45" s="5">
        <f>IF(VLOOKUP(A45,Dividende_je_Aktie!A3:AM68,11,FALSE)&lt;&gt;"",IF(VLOOKUP(A45,Ergebnis_je_Aktie_verwässert!A3:AK68,11,FALSE)&lt;&gt;"",IF(VLOOKUP(A45,Ergebnis_je_Aktie_verwässert!A3:AK68,11,FALSE)&lt;=0,9.99999,VLOOKUP(A45,Dividende_je_Aktie!A3:AM68,11,FALSE)/VLOOKUP(A45,Ergebnis_je_Aktie_verwässert!A3:AK68,11,FALSE)),""),"")</f>
        <v>0.29304029304029305</v>
      </c>
      <c r="L45" s="5">
        <f>IF(VLOOKUP(A45,Dividende_je_Aktie!A3:AM68,12,FALSE)&lt;&gt;"",IF(VLOOKUP(A45,Ergebnis_je_Aktie_verwässert!A3:AK68,12,FALSE)&lt;&gt;"",IF(VLOOKUP(A45,Ergebnis_je_Aktie_verwässert!A3:AK68,12,FALSE)&lt;=0,9.99999,VLOOKUP(A45,Dividende_je_Aktie!A3:AM68,12,FALSE)/VLOOKUP(A45,Ergebnis_je_Aktie_verwässert!A3:AK68,12,FALSE)),""),"")</f>
        <v>0.23791821561338292</v>
      </c>
      <c r="M45" s="5">
        <f>IF(VLOOKUP(A45,Dividende_je_Aktie!A3:AM68,13,FALSE)&lt;&gt;"",IF(VLOOKUP(A45,Ergebnis_je_Aktie_verwässert!A3:AK68,13,FALSE)&lt;&gt;"",IF(VLOOKUP(A45,Ergebnis_je_Aktie_verwässert!A3:AK68,13,FALSE)&lt;=0,9.99999,VLOOKUP(A45,Dividende_je_Aktie!A3:AM68,13,FALSE)/VLOOKUP(A45,Ergebnis_je_Aktie_verwässert!A3:AK68,13,FALSE)),""),"")</f>
        <v>0.24761904761904763</v>
      </c>
      <c r="N45" s="5">
        <f>IF(VLOOKUP(A45,Dividende_je_Aktie!A3:AM68,14,FALSE)&lt;&gt;"",IF(VLOOKUP(A45,Ergebnis_je_Aktie_verwässert!A3:AK68,14,FALSE)&lt;&gt;"",IF(VLOOKUP(A45,Ergebnis_je_Aktie_verwässert!A3:AK68,14,FALSE)&lt;=0,9.99999,VLOOKUP(A45,Dividende_je_Aktie!A3:AM68,14,FALSE)/VLOOKUP(A45,Ergebnis_je_Aktie_verwässert!A3:AK68,14,FALSE)),""),"")</f>
        <v>0.32098765432098764</v>
      </c>
      <c r="O45" s="5">
        <f>IF(VLOOKUP(A45,Dividende_je_Aktie!A3:AM68,15,FALSE)&lt;&gt;"",IF(VLOOKUP(A45,Ergebnis_je_Aktie_verwässert!A3:AK68,15,FALSE)&lt;&gt;"",IF(VLOOKUP(A45,Ergebnis_je_Aktie_verwässert!A3:AK68,15,FALSE)&lt;=0,9.99999,VLOOKUP(A45,Dividende_je_Aktie!A3:AM68,15,FALSE)/VLOOKUP(A45,Ergebnis_je_Aktie_verwässert!A3:AK68,15,FALSE)),""),"")</f>
        <v>0.23529411764705882</v>
      </c>
      <c r="P45" s="5">
        <f>IF(VLOOKUP(A45,Dividende_je_Aktie!A3:AM68,16,FALSE)&lt;&gt;"",IF(VLOOKUP(A45,Ergebnis_je_Aktie_verwässert!A3:AK68,16,FALSE)&lt;&gt;"",IF(VLOOKUP(A45,Ergebnis_je_Aktie_verwässert!A3:AK68,16,FALSE)&lt;=0,9.99999,VLOOKUP(A45,Dividende_je_Aktie!A3:AM68,16,FALSE)/VLOOKUP(A45,Ergebnis_je_Aktie_verwässert!A3:AK68,16,FALSE)),""),"")</f>
        <v>0.28169014084507044</v>
      </c>
      <c r="Q45" s="5">
        <f>IF(VLOOKUP(A45,Dividende_je_Aktie!A3:AM68,17,FALSE)&lt;&gt;"",IF(VLOOKUP(A45,Ergebnis_je_Aktie_verwässert!A3:AK68,17,FALSE)&lt;&gt;"",IF(VLOOKUP(A45,Ergebnis_je_Aktie_verwässert!A3:AK68,17,FALSE)&lt;=0,9.99999,VLOOKUP(A45,Dividende_je_Aktie!A3:AM68,17,FALSE)/VLOOKUP(A45,Ergebnis_je_Aktie_verwässert!A3:AK68,17,FALSE)),""),"")</f>
        <v>0.29166666666666669</v>
      </c>
      <c r="R45" s="5">
        <f>IF(VLOOKUP(A45,Dividende_je_Aktie!A3:AM68,18,FALSE)&lt;&gt;"",IF(VLOOKUP(A45,Ergebnis_je_Aktie_verwässert!A3:AK68,18,FALSE)&lt;&gt;"",IF(VLOOKUP(A45,Ergebnis_je_Aktie_verwässert!A3:AK68,18,FALSE)&lt;=0,9.99999,VLOOKUP(A45,Dividende_je_Aktie!A3:AM68,18,FALSE)/VLOOKUP(A45,Ergebnis_je_Aktie_verwässert!A3:AK68,18,FALSE)),""),"")</f>
        <v>0.30357142857142855</v>
      </c>
      <c r="S45" s="10">
        <f t="shared" si="5"/>
        <v>0.33348269214710829</v>
      </c>
      <c r="T45" s="4">
        <f t="shared" ca="1" si="6"/>
        <v>0</v>
      </c>
      <c r="U45" s="4">
        <f t="shared" ca="1" si="7"/>
        <v>254</v>
      </c>
      <c r="V45" s="4">
        <f t="shared" ca="1" si="8"/>
        <v>106</v>
      </c>
      <c r="W45" s="10">
        <f t="shared" ca="1" si="9"/>
        <v>0.45830714290263208</v>
      </c>
      <c r="X45" s="5">
        <f t="shared" ca="1" si="10"/>
        <v>0.37430563472979372</v>
      </c>
    </row>
    <row r="46" spans="1:24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5">
        <f>IF(VLOOKUP(A46,Dividende_je_Aktie!A3:AM68,6,FALSE)&lt;&gt;"",IF(VLOOKUP(A46,Ergebnis_je_Aktie_verwässert!A3:AK68,6,FALSE)&lt;&gt;"",IF(VLOOKUP(A46,Ergebnis_je_Aktie_verwässert!A3:AK68,6,FALSE)&lt;=0,9.99999,VLOOKUP(A46,Dividende_je_Aktie!A3:AM68,6,FALSE)/VLOOKUP(A46,Ergebnis_je_Aktie_verwässert!A3:AK68,6,FALSE)),""),"")</f>
        <v>0.33027522935779813</v>
      </c>
      <c r="G46" s="5">
        <f>IF(VLOOKUP(A46,Dividende_je_Aktie!A3:AM68,7,FALSE)&lt;&gt;"",IF(VLOOKUP(A46,Ergebnis_je_Aktie_verwässert!A3:AK68,7,FALSE)&lt;&gt;"",IF(VLOOKUP(A46,Ergebnis_je_Aktie_verwässert!A3:AK68,7,FALSE)&lt;=0,9.99999,VLOOKUP(A46,Dividende_je_Aktie!A3:AM68,7,FALSE)/VLOOKUP(A46,Ergebnis_je_Aktie_verwässert!A3:AK68,7,FALSE)),""),"")</f>
        <v>0.34536082474226809</v>
      </c>
      <c r="H46" s="5">
        <f>IF(VLOOKUP(A46,Dividende_je_Aktie!A3:AM68,8,FALSE)&lt;&gt;"",IF(VLOOKUP(A46,Ergebnis_je_Aktie_verwässert!A3:AK68,8,FALSE)&lt;&gt;"",IF(VLOOKUP(A46,Ergebnis_je_Aktie_verwässert!A3:AK68,8,FALSE)&lt;=0,9.99999,VLOOKUP(A46,Dividende_je_Aktie!A3:AM68,8,FALSE)/VLOOKUP(A46,Ergebnis_je_Aktie_verwässert!A3:AK68,8,FALSE)),""),"")</f>
        <v>0.37575757575757579</v>
      </c>
      <c r="I46" s="5">
        <f>IF(VLOOKUP(A46,Dividende_je_Aktie!A3:AM68,9,FALSE)&lt;&gt;"",IF(VLOOKUP(A46,Ergebnis_je_Aktie_verwässert!A3:AK68,9,FALSE)&lt;&gt;"",IF(VLOOKUP(A46,Ergebnis_je_Aktie_verwässert!A3:AK68,9,FALSE)&lt;=0,9.99999,VLOOKUP(A46,Dividende_je_Aktie!A3:AM68,9,FALSE)/VLOOKUP(A46,Ergebnis_je_Aktie_verwässert!A3:AK68,9,FALSE)),""),"")</f>
        <v>0.45312499999999994</v>
      </c>
      <c r="J46" s="5">
        <f>IF(VLOOKUP(A46,Dividende_je_Aktie!A3:AM68,10,FALSE)&lt;&gt;"",IF(VLOOKUP(A46,Ergebnis_je_Aktie_verwässert!A3:AK68,10,FALSE)&lt;&gt;"",IF(VLOOKUP(A46,Ergebnis_je_Aktie_verwässert!A3:AK68,10,FALSE)&lt;=0,9.99999,VLOOKUP(A46,Dividende_je_Aktie!A3:AM68,10,FALSE)/VLOOKUP(A46,Ergebnis_je_Aktie_verwässert!A3:AK68,10,FALSE)),""),"")</f>
        <v>0.41860465116279072</v>
      </c>
      <c r="K46" s="5">
        <f>IF(VLOOKUP(A46,Dividende_je_Aktie!A3:AM68,11,FALSE)&lt;&gt;"",IF(VLOOKUP(A46,Ergebnis_je_Aktie_verwässert!A3:AK68,11,FALSE)&lt;&gt;"",IF(VLOOKUP(A46,Ergebnis_je_Aktie_verwässert!A3:AK68,11,FALSE)&lt;=0,9.99999,VLOOKUP(A46,Dividende_je_Aktie!A3:AM68,11,FALSE)/VLOOKUP(A46,Ergebnis_je_Aktie_verwässert!A3:AK68,11,FALSE)),""),"")</f>
        <v>0.41551246537396125</v>
      </c>
      <c r="L46" s="5">
        <f>IF(VLOOKUP(A46,Dividende_je_Aktie!A3:AM68,12,FALSE)&lt;&gt;"",IF(VLOOKUP(A46,Ergebnis_je_Aktie_verwässert!A3:AK68,12,FALSE)&lt;&gt;"",IF(VLOOKUP(A46,Ergebnis_je_Aktie_verwässert!A3:AK68,12,FALSE)&lt;=0,9.99999,VLOOKUP(A46,Dividende_je_Aktie!A3:AM68,12,FALSE)/VLOOKUP(A46,Ergebnis_je_Aktie_verwässert!A3:AK68,12,FALSE)),""),"")</f>
        <v>0.29219143576826201</v>
      </c>
      <c r="M46" s="5">
        <f>IF(VLOOKUP(A46,Dividende_je_Aktie!A3:AM68,13,FALSE)&lt;&gt;"",IF(VLOOKUP(A46,Ergebnis_je_Aktie_verwässert!A3:AK68,13,FALSE)&lt;&gt;"",IF(VLOOKUP(A46,Ergebnis_je_Aktie_verwässert!A3:AK68,13,FALSE)&lt;=0,9.99999,VLOOKUP(A46,Dividende_je_Aktie!A3:AM68,13,FALSE)/VLOOKUP(A46,Ergebnis_je_Aktie_verwässert!A3:AK68,13,FALSE)),""),"")</f>
        <v>0.32402234636871502</v>
      </c>
      <c r="N46" s="5">
        <f>IF(VLOOKUP(A46,Dividende_je_Aktie!A3:AM68,14,FALSE)&lt;&gt;"",IF(VLOOKUP(A46,Ergebnis_je_Aktie_verwässert!A3:AK68,14,FALSE)&lt;&gt;"",IF(VLOOKUP(A46,Ergebnis_je_Aktie_verwässert!A3:AK68,14,FALSE)&lt;=0,9.99999,VLOOKUP(A46,Dividende_je_Aktie!A3:AM68,14,FALSE)/VLOOKUP(A46,Ergebnis_je_Aktie_verwässert!A3:AK68,14,FALSE)),""),"")</f>
        <v>0.30687830687830686</v>
      </c>
      <c r="O46" s="5">
        <f>IF(VLOOKUP(A46,Dividende_je_Aktie!A3:AM68,15,FALSE)&lt;&gt;"",IF(VLOOKUP(A46,Ergebnis_je_Aktie_verwässert!A3:AK68,15,FALSE)&lt;&gt;"",IF(VLOOKUP(A46,Ergebnis_je_Aktie_verwässert!A3:AK68,15,FALSE)&lt;=0,9.99999,VLOOKUP(A46,Dividende_je_Aktie!A3:AM68,15,FALSE)/VLOOKUP(A46,Ergebnis_je_Aktie_verwässert!A3:AK68,15,FALSE)),""),"")</f>
        <v>0.45344129554655882</v>
      </c>
      <c r="P46" s="5" t="str">
        <f>IF(VLOOKUP(A46,Dividende_je_Aktie!A3:AM68,16,FALSE)&lt;&gt;"",IF(VLOOKUP(A46,Ergebnis_je_Aktie_verwässert!A3:AK68,16,FALSE)&lt;&gt;"",IF(VLOOKUP(A46,Ergebnis_je_Aktie_verwässert!A3:AK68,16,FALSE)&lt;=0,9.99999,VLOOKUP(A46,Dividende_je_Aktie!A3:AM68,16,FALSE)/VLOOKUP(A46,Ergebnis_je_Aktie_verwässert!A3:AK68,16,FALSE)),""),"")</f>
        <v/>
      </c>
      <c r="Q46" s="5" t="str">
        <f>IF(VLOOKUP(A46,Dividende_je_Aktie!A3:AM68,17,FALSE)&lt;&gt;"",IF(VLOOKUP(A46,Ergebnis_je_Aktie_verwässert!A3:AK68,17,FALSE)&lt;&gt;"",IF(VLOOKUP(A46,Ergebnis_je_Aktie_verwässert!A3:AK68,17,FALSE)&lt;=0,9.99999,VLOOKUP(A46,Dividende_je_Aktie!A3:AM68,17,FALSE)/VLOOKUP(A46,Ergebnis_je_Aktie_verwässert!A3:AK68,17,FALSE)),""),"")</f>
        <v/>
      </c>
      <c r="R46" s="5" t="str">
        <f>IF(VLOOKUP(A46,Dividende_je_Aktie!A3:AM68,18,FALSE)&lt;&gt;"",IF(VLOOKUP(A46,Ergebnis_je_Aktie_verwässert!A3:AK68,18,FALSE)&lt;&gt;"",IF(VLOOKUP(A46,Ergebnis_je_Aktie_verwässert!A3:AK68,18,FALSE)&lt;=0,9.99999,VLOOKUP(A46,Dividende_je_Aktie!A3:AM68,18,FALSE)/VLOOKUP(A46,Ergebnis_je_Aktie_verwässert!A3:AK68,18,FALSE)),""),"")</f>
        <v/>
      </c>
      <c r="S46" s="10">
        <f t="shared" si="5"/>
        <v>0.37151691309562374</v>
      </c>
      <c r="T46" s="4">
        <f t="shared" ca="1" si="6"/>
        <v>0</v>
      </c>
      <c r="U46" s="4">
        <f t="shared" ca="1" si="7"/>
        <v>73</v>
      </c>
      <c r="V46" s="4">
        <f t="shared" ca="1" si="8"/>
        <v>287</v>
      </c>
      <c r="W46" s="10">
        <f t="shared" ca="1" si="9"/>
        <v>0.3695937901350273</v>
      </c>
      <c r="X46" s="5">
        <f t="shared" ca="1" si="10"/>
        <v>-5.1764075680221788E-3</v>
      </c>
    </row>
    <row r="47" spans="1:24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5">
        <f>IF(VLOOKUP(A47,Dividende_je_Aktie!A3:AM68,6,FALSE)&lt;&gt;"",IF(VLOOKUP(A47,Ergebnis_je_Aktie_verwässert!A3:AK68,6,FALSE)&lt;&gt;"",IF(VLOOKUP(A47,Ergebnis_je_Aktie_verwässert!A3:AK68,6,FALSE)&lt;=0,9.99999,VLOOKUP(A47,Dividende_je_Aktie!A3:AM68,6,FALSE)/VLOOKUP(A47,Ergebnis_je_Aktie_verwässert!A3:AK68,6,FALSE)),""),"")</f>
        <v>0.24242424242424243</v>
      </c>
      <c r="G47" s="5">
        <f>IF(VLOOKUP(A47,Dividende_je_Aktie!A3:AM68,7,FALSE)&lt;&gt;"",IF(VLOOKUP(A47,Ergebnis_je_Aktie_verwässert!A3:AK68,7,FALSE)&lt;&gt;"",IF(VLOOKUP(A47,Ergebnis_je_Aktie_verwässert!A3:AK68,7,FALSE)&lt;=0,9.99999,VLOOKUP(A47,Dividende_je_Aktie!A3:AM68,7,FALSE)/VLOOKUP(A47,Ergebnis_je_Aktie_verwässert!A3:AK68,7,FALSE)),""),"")</f>
        <v>0.3074670571010249</v>
      </c>
      <c r="H47" s="5">
        <f>IF(VLOOKUP(A47,Dividende_je_Aktie!A3:AM68,8,FALSE)&lt;&gt;"",IF(VLOOKUP(A47,Ergebnis_je_Aktie_verwässert!A3:AK68,8,FALSE)&lt;&gt;"",IF(VLOOKUP(A47,Ergebnis_je_Aktie_verwässert!A3:AK68,8,FALSE)&lt;=0,9.99999,VLOOKUP(A47,Dividende_je_Aktie!A3:AM68,8,FALSE)/VLOOKUP(A47,Ergebnis_je_Aktie_verwässert!A3:AK68,8,FALSE)),""),"")</f>
        <v>0.32653061224489793</v>
      </c>
      <c r="I47" s="5">
        <f>IF(VLOOKUP(A47,Dividende_je_Aktie!A3:AM68,9,FALSE)&lt;&gt;"",IF(VLOOKUP(A47,Ergebnis_je_Aktie_verwässert!A3:AK68,9,FALSE)&lt;&gt;"",IF(VLOOKUP(A47,Ergebnis_je_Aktie_verwässert!A3:AK68,9,FALSE)&lt;=0,9.99999,VLOOKUP(A47,Dividende_je_Aktie!A3:AM68,9,FALSE)/VLOOKUP(A47,Ergebnis_je_Aktie_verwässert!A3:AK68,9,FALSE)),""),"")</f>
        <v>0.34099616858237553</v>
      </c>
      <c r="J47" s="5">
        <f>IF(VLOOKUP(A47,Dividende_je_Aktie!A3:AM68,10,FALSE)&lt;&gt;"",IF(VLOOKUP(A47,Ergebnis_je_Aktie_verwässert!A3:AK68,10,FALSE)&lt;&gt;"",IF(VLOOKUP(A47,Ergebnis_je_Aktie_verwässert!A3:AK68,10,FALSE)&lt;=0,9.99999,VLOOKUP(A47,Dividende_je_Aktie!A3:AM68,10,FALSE)/VLOOKUP(A47,Ergebnis_je_Aktie_verwässert!A3:AK68,10,FALSE)),""),"")</f>
        <v>0.33913043478260874</v>
      </c>
      <c r="K47" s="5">
        <f>IF(VLOOKUP(A47,Dividende_je_Aktie!A3:AM68,11,FALSE)&lt;&gt;"",IF(VLOOKUP(A47,Ergebnis_je_Aktie_verwässert!A3:AK68,11,FALSE)&lt;&gt;"",IF(VLOOKUP(A47,Ergebnis_je_Aktie_verwässert!A3:AK68,11,FALSE)&lt;=0,9.99999,VLOOKUP(A47,Dividende_je_Aktie!A3:AM68,11,FALSE)/VLOOKUP(A47,Ergebnis_je_Aktie_verwässert!A3:AK68,11,FALSE)),""),"")</f>
        <v>0.33773087071240104</v>
      </c>
      <c r="L47" s="5">
        <f>IF(VLOOKUP(A47,Dividende_je_Aktie!A3:AM68,12,FALSE)&lt;&gt;"",IF(VLOOKUP(A47,Ergebnis_je_Aktie_verwässert!A3:AK68,12,FALSE)&lt;&gt;"",IF(VLOOKUP(A47,Ergebnis_je_Aktie_verwässert!A3:AK68,12,FALSE)&lt;=0,9.99999,VLOOKUP(A47,Dividende_je_Aktie!A3:AM68,12,FALSE)/VLOOKUP(A47,Ergebnis_je_Aktie_verwässert!A3:AK68,12,FALSE)),""),"")</f>
        <v>0.38513513513513509</v>
      </c>
      <c r="M47" s="5">
        <f>IF(VLOOKUP(A47,Dividende_je_Aktie!A3:AM68,13,FALSE)&lt;&gt;"",IF(VLOOKUP(A47,Ergebnis_je_Aktie_verwässert!A3:AK68,13,FALSE)&lt;&gt;"",IF(VLOOKUP(A47,Ergebnis_je_Aktie_verwässert!A3:AK68,13,FALSE)&lt;=0,9.99999,VLOOKUP(A47,Dividende_je_Aktie!A3:AM68,13,FALSE)/VLOOKUP(A47,Ergebnis_je_Aktie_verwässert!A3:AK68,13,FALSE)),""),"")</f>
        <v>0.47161572052401751</v>
      </c>
      <c r="N47" s="5">
        <f>IF(VLOOKUP(A47,Dividende_je_Aktie!A3:AM68,14,FALSE)&lt;&gt;"",IF(VLOOKUP(A47,Ergebnis_je_Aktie_verwässert!A3:AK68,14,FALSE)&lt;&gt;"",IF(VLOOKUP(A47,Ergebnis_je_Aktie_verwässert!A3:AK68,14,FALSE)&lt;=0,9.99999,VLOOKUP(A47,Dividende_je_Aktie!A3:AM68,14,FALSE)/VLOOKUP(A47,Ergebnis_je_Aktie_verwässert!A3:AK68,14,FALSE)),""),"")</f>
        <v>0.24299065420560748</v>
      </c>
      <c r="O47" s="5">
        <f>IF(VLOOKUP(A47,Dividende_je_Aktie!A3:AM68,15,FALSE)&lt;&gt;"",IF(VLOOKUP(A47,Ergebnis_je_Aktie_verwässert!A3:AK68,15,FALSE)&lt;&gt;"",IF(VLOOKUP(A47,Ergebnis_je_Aktie_verwässert!A3:AK68,15,FALSE)&lt;=0,9.99999,VLOOKUP(A47,Dividende_je_Aktie!A3:AM68,15,FALSE)/VLOOKUP(A47,Ergebnis_je_Aktie_verwässert!A3:AK68,15,FALSE)),""),"")</f>
        <v>0.22928176795580107</v>
      </c>
      <c r="P47" s="5">
        <f>IF(VLOOKUP(A47,Dividende_je_Aktie!A3:AM68,16,FALSE)&lt;&gt;"",IF(VLOOKUP(A47,Ergebnis_je_Aktie_verwässert!A3:AK68,16,FALSE)&lt;&gt;"",IF(VLOOKUP(A47,Ergebnis_je_Aktie_verwässert!A3:AK68,16,FALSE)&lt;=0,9.99999,VLOOKUP(A47,Dividende_je_Aktie!A3:AM68,16,FALSE)/VLOOKUP(A47,Ergebnis_je_Aktie_verwässert!A3:AK68,16,FALSE)),""),"")</f>
        <v>0.30726256983240224</v>
      </c>
      <c r="Q47" s="5">
        <f>IF(VLOOKUP(A47,Dividende_je_Aktie!A3:AM68,17,FALSE)&lt;&gt;"",IF(VLOOKUP(A47,Ergebnis_je_Aktie_verwässert!A3:AK68,17,FALSE)&lt;&gt;"",IF(VLOOKUP(A47,Ergebnis_je_Aktie_verwässert!A3:AK68,17,FALSE)&lt;=0,9.99999,VLOOKUP(A47,Dividende_je_Aktie!A3:AM68,17,FALSE)/VLOOKUP(A47,Ergebnis_je_Aktie_verwässert!A3:AK68,17,FALSE)),""),"")</f>
        <v>0.32</v>
      </c>
      <c r="R47" s="5">
        <f>IF(VLOOKUP(A47,Dividende_je_Aktie!A3:AM68,18,FALSE)&lt;&gt;"",IF(VLOOKUP(A47,Ergebnis_je_Aktie_verwässert!A3:AK68,18,FALSE)&lt;&gt;"",IF(VLOOKUP(A47,Ergebnis_je_Aktie_verwässert!A3:AK68,18,FALSE)&lt;=0,9.99999,VLOOKUP(A47,Dividende_je_Aktie!A3:AM68,18,FALSE)/VLOOKUP(A47,Ergebnis_je_Aktie_verwässert!A3:AK68,18,FALSE)),""),"")</f>
        <v>0.72340425531914898</v>
      </c>
      <c r="S47" s="10">
        <f t="shared" si="5"/>
        <v>0.35184380683228178</v>
      </c>
      <c r="T47" s="4">
        <f t="shared" ca="1" si="6"/>
        <v>0</v>
      </c>
      <c r="U47" s="4">
        <f t="shared" ca="1" si="7"/>
        <v>193</v>
      </c>
      <c r="V47" s="4">
        <f t="shared" ca="1" si="8"/>
        <v>167</v>
      </c>
      <c r="W47" s="10">
        <f t="shared" ca="1" si="9"/>
        <v>0.31631042851498825</v>
      </c>
      <c r="X47" s="5">
        <f t="shared" ca="1" si="10"/>
        <v>-0.10099191069243896</v>
      </c>
    </row>
    <row r="48" spans="1:24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5">
        <f>IF(VLOOKUP(A48,Dividende_je_Aktie!A3:AM68,6,FALSE)&lt;&gt;"",IF(VLOOKUP(A48,Ergebnis_je_Aktie_verwässert!A3:AK68,6,FALSE)&lt;&gt;"",IF(VLOOKUP(A48,Ergebnis_je_Aktie_verwässert!A3:AK68,6,FALSE)&lt;=0,9.99999,VLOOKUP(A48,Dividende_je_Aktie!A3:AM68,6,FALSE)/VLOOKUP(A48,Ergebnis_je_Aktie_verwässert!A3:AK68,6,FALSE)),""),"")</f>
        <v>0.17006802721088435</v>
      </c>
      <c r="G48" s="5">
        <f>IF(VLOOKUP(A48,Dividende_je_Aktie!A3:AM68,7,FALSE)&lt;&gt;"",IF(VLOOKUP(A48,Ergebnis_je_Aktie_verwässert!A3:AK68,7,FALSE)&lt;&gt;"",IF(VLOOKUP(A48,Ergebnis_je_Aktie_verwässert!A3:AK68,7,FALSE)&lt;=0,9.99999,VLOOKUP(A48,Dividende_je_Aktie!A3:AM68,7,FALSE)/VLOOKUP(A48,Ergebnis_je_Aktie_verwässert!A3:AK68,7,FALSE)),""),"")</f>
        <v>0.18283582089552236</v>
      </c>
      <c r="H48" s="5">
        <f>IF(VLOOKUP(A48,Dividende_je_Aktie!A3:AM68,8,FALSE)&lt;&gt;"",IF(VLOOKUP(A48,Ergebnis_je_Aktie_verwässert!A3:AK68,8,FALSE)&lt;&gt;"",IF(VLOOKUP(A48,Ergebnis_je_Aktie_verwässert!A3:AK68,8,FALSE)&lt;=0,9.99999,VLOOKUP(A48,Dividende_je_Aktie!A3:AM68,8,FALSE)/VLOOKUP(A48,Ergebnis_je_Aktie_verwässert!A3:AK68,8,FALSE)),""),"")</f>
        <v>0.20168067226890757</v>
      </c>
      <c r="I48" s="5">
        <f>IF(VLOOKUP(A48,Dividende_je_Aktie!A3:AM68,9,FALSE)&lt;&gt;"",IF(VLOOKUP(A48,Ergebnis_je_Aktie_verwässert!A3:AK68,9,FALSE)&lt;&gt;"",IF(VLOOKUP(A48,Ergebnis_je_Aktie_verwässert!A3:AK68,9,FALSE)&lt;=0,9.99999,VLOOKUP(A48,Dividende_je_Aktie!A3:AM68,9,FALSE)/VLOOKUP(A48,Ergebnis_je_Aktie_verwässert!A3:AK68,9,FALSE)),""),"")</f>
        <v>0.20168067226890757</v>
      </c>
      <c r="J48" s="5">
        <f>IF(VLOOKUP(A48,Dividende_je_Aktie!A3:AM68,10,FALSE)&lt;&gt;"",IF(VLOOKUP(A48,Ergebnis_je_Aktie_verwässert!A3:AK68,10,FALSE)&lt;&gt;"",IF(VLOOKUP(A48,Ergebnis_je_Aktie_verwässert!A3:AK68,10,FALSE)&lt;=0,9.99999,VLOOKUP(A48,Dividende_je_Aktie!A3:AM68,10,FALSE)/VLOOKUP(A48,Ergebnis_je_Aktie_verwässert!A3:AK68,10,FALSE)),""),"")</f>
        <v>0.13274336283185842</v>
      </c>
      <c r="K48" s="5">
        <f>IF(VLOOKUP(A48,Dividende_je_Aktie!A3:AM68,11,FALSE)&lt;&gt;"",IF(VLOOKUP(A48,Ergebnis_je_Aktie_verwässert!A3:AK68,11,FALSE)&lt;&gt;"",IF(VLOOKUP(A48,Ergebnis_je_Aktie_verwässert!A3:AK68,11,FALSE)&lt;=0,9.99999,VLOOKUP(A48,Dividende_je_Aktie!A3:AM68,11,FALSE)/VLOOKUP(A48,Ergebnis_je_Aktie_verwässert!A3:AK68,11,FALSE)),""),"")</f>
        <v>0.12244897959183673</v>
      </c>
      <c r="L48" s="5">
        <f>IF(VLOOKUP(A48,Dividende_je_Aktie!A3:AM68,12,FALSE)&lt;&gt;"",IF(VLOOKUP(A48,Ergebnis_je_Aktie_verwässert!A3:AK68,12,FALSE)&lt;&gt;"",IF(VLOOKUP(A48,Ergebnis_je_Aktie_verwässert!A3:AK68,12,FALSE)&lt;=0,9.99999,VLOOKUP(A48,Dividende_je_Aktie!A3:AM68,12,FALSE)/VLOOKUP(A48,Ergebnis_je_Aktie_verwässert!A3:AK68,12,FALSE)),""),"")</f>
        <v>0.12574850299401197</v>
      </c>
      <c r="M48" s="5">
        <f>IF(VLOOKUP(A48,Dividende_je_Aktie!A3:AM68,13,FALSE)&lt;&gt;"",IF(VLOOKUP(A48,Ergebnis_je_Aktie_verwässert!A3:AK68,13,FALSE)&lt;&gt;"",IF(VLOOKUP(A48,Ergebnis_je_Aktie_verwässert!A3:AK68,13,FALSE)&lt;=0,9.99999,VLOOKUP(A48,Dividende_je_Aktie!A3:AM68,13,FALSE)/VLOOKUP(A48,Ergebnis_je_Aktie_verwässert!A3:AK68,13,FALSE)),""),"")</f>
        <v>0.16528925619834711</v>
      </c>
      <c r="N48" s="5">
        <f>IF(VLOOKUP(A48,Dividende_je_Aktie!A3:AM68,14,FALSE)&lt;&gt;"",IF(VLOOKUP(A48,Ergebnis_je_Aktie_verwässert!A3:AK68,14,FALSE)&lt;&gt;"",IF(VLOOKUP(A48,Ergebnis_je_Aktie_verwässert!A3:AK68,14,FALSE)&lt;=0,9.99999,VLOOKUP(A48,Dividende_je_Aktie!A3:AM68,14,FALSE)/VLOOKUP(A48,Ergebnis_je_Aktie_verwässert!A3:AK68,14,FALSE)),""),"")</f>
        <v>4.5871559633027525E-2</v>
      </c>
      <c r="O48" s="5">
        <f>IF(VLOOKUP(A48,Dividende_je_Aktie!A3:AM68,15,FALSE)&lt;&gt;"",IF(VLOOKUP(A48,Ergebnis_je_Aktie_verwässert!A3:AK68,15,FALSE)&lt;&gt;"",IF(VLOOKUP(A48,Ergebnis_je_Aktie_verwässert!A3:AK68,15,FALSE)&lt;=0,9.99999,VLOOKUP(A48,Dividende_je_Aktie!A3:AM68,15,FALSE)/VLOOKUP(A48,Ergebnis_je_Aktie_verwässert!A3:AK68,15,FALSE)),""),"")</f>
        <v>0</v>
      </c>
      <c r="P48" s="5">
        <f>IF(VLOOKUP(A48,Dividende_je_Aktie!A3:AM68,16,FALSE)&lt;&gt;"",IF(VLOOKUP(A48,Ergebnis_je_Aktie_verwässert!A3:AK68,16,FALSE)&lt;&gt;"",IF(VLOOKUP(A48,Ergebnis_je_Aktie_verwässert!A3:AK68,16,FALSE)&lt;=0,9.99999,VLOOKUP(A48,Dividende_je_Aktie!A3:AM68,16,FALSE)/VLOOKUP(A48,Ergebnis_je_Aktie_verwässert!A3:AK68,16,FALSE)),""),"")</f>
        <v>0</v>
      </c>
      <c r="Q48" s="5">
        <f>IF(VLOOKUP(A48,Dividende_je_Aktie!A3:AM68,17,FALSE)&lt;&gt;"",IF(VLOOKUP(A48,Ergebnis_je_Aktie_verwässert!A3:AK68,17,FALSE)&lt;&gt;"",IF(VLOOKUP(A48,Ergebnis_je_Aktie_verwässert!A3:AK68,17,FALSE)&lt;=0,9.99999,VLOOKUP(A48,Dividende_je_Aktie!A3:AM68,17,FALSE)/VLOOKUP(A48,Ergebnis_je_Aktie_verwässert!A3:AK68,17,FALSE)),""),"")</f>
        <v>0</v>
      </c>
      <c r="R48" s="5">
        <f>IF(VLOOKUP(A48,Dividende_je_Aktie!A3:AM68,18,FALSE)&lt;&gt;"",IF(VLOOKUP(A48,Ergebnis_je_Aktie_verwässert!A3:AK68,18,FALSE)&lt;&gt;"",IF(VLOOKUP(A48,Ergebnis_je_Aktie_verwässert!A3:AK68,18,FALSE)&lt;=0,9.99999,VLOOKUP(A48,Dividende_je_Aktie!A3:AM68,18,FALSE)/VLOOKUP(A48,Ergebnis_je_Aktie_verwässert!A3:AK68,18,FALSE)),""),"")</f>
        <v>0</v>
      </c>
      <c r="S48" s="10">
        <f t="shared" si="5"/>
        <v>0.10372052722256181</v>
      </c>
      <c r="T48" s="4">
        <f t="shared" ca="1" si="6"/>
        <v>0</v>
      </c>
      <c r="U48" s="4">
        <f t="shared" ca="1" si="7"/>
        <v>283</v>
      </c>
      <c r="V48" s="4">
        <f t="shared" ca="1" si="8"/>
        <v>77</v>
      </c>
      <c r="W48" s="10">
        <f t="shared" ca="1" si="9"/>
        <v>0.18686652521705199</v>
      </c>
      <c r="X48" s="5">
        <f t="shared" ca="1" si="10"/>
        <v>0.80163493399987118</v>
      </c>
    </row>
    <row r="49" spans="1:24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5">
        <f>IF(VLOOKUP(A49,Dividende_je_Aktie!A3:AM68,6,FALSE)&lt;&gt;"",IF(VLOOKUP(A49,Ergebnis_je_Aktie_verwässert!A3:AK68,6,FALSE)&lt;&gt;"",IF(VLOOKUP(A49,Ergebnis_je_Aktie_verwässert!A3:AK68,6,FALSE)&lt;=0,9.99999,VLOOKUP(A49,Dividende_je_Aktie!A3:AM68,6,FALSE)/VLOOKUP(A49,Ergebnis_je_Aktie_verwässert!A3:AK68,6,FALSE)),""),"")</f>
        <v>0.59232175502742235</v>
      </c>
      <c r="G49" s="5">
        <f>IF(VLOOKUP(A49,Dividende_je_Aktie!A3:AM68,7,FALSE)&lt;&gt;"",IF(VLOOKUP(A49,Ergebnis_je_Aktie_verwässert!A3:AK68,7,FALSE)&lt;&gt;"",IF(VLOOKUP(A49,Ergebnis_je_Aktie_verwässert!A3:AK68,7,FALSE)&lt;=0,9.99999,VLOOKUP(A49,Dividende_je_Aktie!A3:AM68,7,FALSE)/VLOOKUP(A49,Ergebnis_je_Aktie_verwässert!A3:AK68,7,FALSE)),""),"")</f>
        <v>0.58695652173913049</v>
      </c>
      <c r="H49" s="5">
        <f>IF(VLOOKUP(A49,Dividende_je_Aktie!A3:AM68,8,FALSE)&lt;&gt;"",IF(VLOOKUP(A49,Ergebnis_je_Aktie_verwässert!A3:AK68,8,FALSE)&lt;&gt;"",IF(VLOOKUP(A49,Ergebnis_je_Aktie_verwässert!A3:AK68,8,FALSE)&lt;=0,9.99999,VLOOKUP(A49,Dividende_je_Aktie!A3:AM68,8,FALSE)/VLOOKUP(A49,Ergebnis_je_Aktie_verwässert!A3:AK68,8,FALSE)),""),"")</f>
        <v>0.59227467811158796</v>
      </c>
      <c r="I49" s="5">
        <f>IF(VLOOKUP(A49,Dividende_je_Aktie!A3:AM68,9,FALSE)&lt;&gt;"",IF(VLOOKUP(A49,Ergebnis_je_Aktie_verwässert!A3:AK68,9,FALSE)&lt;&gt;"",IF(VLOOKUP(A49,Ergebnis_je_Aktie_verwässert!A3:AK68,9,FALSE)&lt;=0,9.99999,VLOOKUP(A49,Dividende_je_Aktie!A3:AM68,9,FALSE)/VLOOKUP(A49,Ergebnis_je_Aktie_verwässert!A3:AK68,9,FALSE)),""),"")</f>
        <v>0.59250585480093676</v>
      </c>
      <c r="J49" s="5">
        <f>IF(VLOOKUP(A49,Dividende_je_Aktie!A3:AM68,10,FALSE)&lt;&gt;"",IF(VLOOKUP(A49,Ergebnis_je_Aktie_verwässert!A3:AK68,10,FALSE)&lt;&gt;"",IF(VLOOKUP(A49,Ergebnis_je_Aktie_verwässert!A3:AK68,10,FALSE)&lt;=0,9.99999,VLOOKUP(A49,Dividende_je_Aktie!A3:AM68,10,FALSE)/VLOOKUP(A49,Ergebnis_je_Aktie_verwässert!A3:AK68,10,FALSE)),""),"")</f>
        <v>0.51851851851851849</v>
      </c>
      <c r="K49" s="5">
        <f>IF(VLOOKUP(A49,Dividende_je_Aktie!A3:AM68,11,FALSE)&lt;&gt;"",IF(VLOOKUP(A49,Ergebnis_je_Aktie_verwässert!A3:AK68,11,FALSE)&lt;&gt;"",IF(VLOOKUP(A49,Ergebnis_je_Aktie_verwässert!A3:AK68,11,FALSE)&lt;=0,9.99999,VLOOKUP(A49,Dividende_je_Aktie!A3:AM68,11,FALSE)/VLOOKUP(A49,Ergebnis_je_Aktie_verwässert!A3:AK68,11,FALSE)),""),"")</f>
        <v>0.54336734693877553</v>
      </c>
      <c r="L49" s="5">
        <f>IF(VLOOKUP(A49,Dividende_je_Aktie!A3:AM68,12,FALSE)&lt;&gt;"",IF(VLOOKUP(A49,Ergebnis_je_Aktie_verwässert!A3:AK68,12,FALSE)&lt;&gt;"",IF(VLOOKUP(A49,Ergebnis_je_Aktie_verwässert!A3:AK68,12,FALSE)&lt;=0,9.99999,VLOOKUP(A49,Dividende_je_Aktie!A3:AM68,12,FALSE)/VLOOKUP(A49,Ergebnis_je_Aktie_verwässert!A3:AK68,12,FALSE)),""),"")</f>
        <v>0.50372208436724553</v>
      </c>
      <c r="M49" s="5">
        <f>IF(VLOOKUP(A49,Dividende_je_Aktie!A3:AM68,13,FALSE)&lt;&gt;"",IF(VLOOKUP(A49,Ergebnis_je_Aktie_verwässert!A3:AK68,13,FALSE)&lt;&gt;"",IF(VLOOKUP(A49,Ergebnis_je_Aktie_verwässert!A3:AK68,13,FALSE)&lt;=0,9.99999,VLOOKUP(A49,Dividende_je_Aktie!A3:AM68,13,FALSE)/VLOOKUP(A49,Ergebnis_je_Aktie_verwässert!A3:AK68,13,FALSE)),""),"")</f>
        <v>0.48337595907928382</v>
      </c>
      <c r="N49" s="5">
        <f>IF(VLOOKUP(A49,Dividende_je_Aktie!A3:AM68,14,FALSE)&lt;&gt;"",IF(VLOOKUP(A49,Ergebnis_je_Aktie_verwässert!A3:AK68,14,FALSE)&lt;&gt;"",IF(VLOOKUP(A49,Ergebnis_je_Aktie_verwässert!A3:AK68,14,FALSE)&lt;=0,9.99999,VLOOKUP(A49,Dividende_je_Aktie!A3:AM68,14,FALSE)/VLOOKUP(A49,Ergebnis_je_Aktie_verwässert!A3:AK68,14,FALSE)),""),"")</f>
        <v>0.47214854111405835</v>
      </c>
      <c r="O49" s="5">
        <f>IF(VLOOKUP(A49,Dividende_je_Aktie!A3:AM68,15,FALSE)&lt;&gt;"",IF(VLOOKUP(A49,Ergebnis_je_Aktie_verwässert!A3:AK68,15,FALSE)&lt;&gt;"",IF(VLOOKUP(A49,Ergebnis_je_Aktie_verwässert!A3:AK68,15,FALSE)&lt;=0,9.99999,VLOOKUP(A49,Dividende_je_Aktie!A3:AM68,15,FALSE)/VLOOKUP(A49,Ergebnis_je_Aktie_verwässert!A3:AK68,15,FALSE)),""),"")</f>
        <v>0.51401869158878499</v>
      </c>
      <c r="P49" s="5">
        <f>IF(VLOOKUP(A49,Dividende_je_Aktie!A3:AM68,16,FALSE)&lt;&gt;"",IF(VLOOKUP(A49,Ergebnis_je_Aktie_verwässert!A3:AK68,16,FALSE)&lt;&gt;"",IF(VLOOKUP(A49,Ergebnis_je_Aktie_verwässert!A3:AK68,16,FALSE)&lt;=0,9.99999,VLOOKUP(A49,Dividende_je_Aktie!A3:AM68,16,FALSE)/VLOOKUP(A49,Ergebnis_je_Aktie_verwässert!A3:AK68,16,FALSE)),""),"")</f>
        <v>0.41935483870967738</v>
      </c>
      <c r="Q49" s="5">
        <f>IF(VLOOKUP(A49,Dividende_je_Aktie!A3:AM68,17,FALSE)&lt;&gt;"",IF(VLOOKUP(A49,Ergebnis_je_Aktie_verwässert!A3:AK68,17,FALSE)&lt;&gt;"",IF(VLOOKUP(A49,Ergebnis_je_Aktie_verwässert!A3:AK68,17,FALSE)&lt;=0,9.99999,VLOOKUP(A49,Dividende_je_Aktie!A3:AM68,17,FALSE)/VLOOKUP(A49,Ergebnis_je_Aktie_verwässert!A3:AK68,17,FALSE)),""),"")</f>
        <v>0.3473053892215569</v>
      </c>
      <c r="R49" s="5">
        <f>IF(VLOOKUP(A49,Dividende_je_Aktie!A3:AM68,18,FALSE)&lt;&gt;"",IF(VLOOKUP(A49,Ergebnis_je_Aktie_verwässert!A3:AK68,18,FALSE)&lt;&gt;"",IF(VLOOKUP(A49,Ergebnis_je_Aktie_verwässert!A3:AK68,18,FALSE)&lt;=0,9.99999,VLOOKUP(A49,Dividende_je_Aktie!A3:AM68,18,FALSE)/VLOOKUP(A49,Ergebnis_je_Aktie_verwässert!A3:AK68,18,FALSE)),""),"")</f>
        <v>0.42259414225941422</v>
      </c>
      <c r="S49" s="10">
        <f t="shared" si="5"/>
        <v>0.50680494780587637</v>
      </c>
      <c r="T49" s="4">
        <f t="shared" ca="1" si="6"/>
        <v>0</v>
      </c>
      <c r="U49" s="4">
        <f t="shared" ca="1" si="7"/>
        <v>73</v>
      </c>
      <c r="V49" s="4">
        <f t="shared" ca="1" si="8"/>
        <v>287</v>
      </c>
      <c r="W49" s="10">
        <f t="shared" ca="1" si="9"/>
        <v>0.59119627418050635</v>
      </c>
      <c r="X49" s="5">
        <f t="shared" ca="1" si="10"/>
        <v>0.16651638217027576</v>
      </c>
    </row>
    <row r="50" spans="1:24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5">
        <f>IF(VLOOKUP(A50,Dividende_je_Aktie!A3:AM68,6,FALSE)&lt;&gt;"",IF(VLOOKUP(A50,Ergebnis_je_Aktie_verwässert!A3:AK68,6,FALSE)&lt;&gt;"",IF(VLOOKUP(A50,Ergebnis_je_Aktie_verwässert!A3:AK68,6,FALSE)&lt;=0,9.99999,VLOOKUP(A50,Dividende_je_Aktie!A3:AM68,6,FALSE)/VLOOKUP(A50,Ergebnis_je_Aktie_verwässert!A3:AK68,6,FALSE)),""),"")</f>
        <v>0.62436548223350252</v>
      </c>
      <c r="G50" s="5">
        <f>IF(VLOOKUP(A50,Dividende_je_Aktie!A3:AM68,7,FALSE)&lt;&gt;"",IF(VLOOKUP(A50,Ergebnis_je_Aktie_verwässert!A3:AK68,7,FALSE)&lt;&gt;"",IF(VLOOKUP(A50,Ergebnis_je_Aktie_verwässert!A3:AK68,7,FALSE)&lt;=0,9.99999,VLOOKUP(A50,Dividende_je_Aktie!A3:AM68,7,FALSE)/VLOOKUP(A50,Ergebnis_je_Aktie_verwässert!A3:AK68,7,FALSE)),""),"")</f>
        <v>0.61497326203208547</v>
      </c>
      <c r="H50" s="5">
        <f>IF(VLOOKUP(A50,Dividende_je_Aktie!A3:AM68,8,FALSE)&lt;&gt;"",IF(VLOOKUP(A50,Ergebnis_je_Aktie_verwässert!A3:AK68,8,FALSE)&lt;&gt;"",IF(VLOOKUP(A50,Ergebnis_je_Aktie_verwässert!A3:AK68,8,FALSE)&lt;=0,9.99999,VLOOKUP(A50,Dividende_je_Aktie!A3:AM68,8,FALSE)/VLOOKUP(A50,Ergebnis_je_Aktie_verwässert!A3:AK68,8,FALSE)),""),"")</f>
        <v>0.60109289617486339</v>
      </c>
      <c r="I50" s="5">
        <f>IF(VLOOKUP(A50,Dividende_je_Aktie!A3:AM68,9,FALSE)&lt;&gt;"",IF(VLOOKUP(A50,Ergebnis_je_Aktie_verwässert!A3:AK68,9,FALSE)&lt;&gt;"",IF(VLOOKUP(A50,Ergebnis_je_Aktie_verwässert!A3:AK68,9,FALSE)&lt;=0,9.99999,VLOOKUP(A50,Dividende_je_Aktie!A3:AM68,9,FALSE)/VLOOKUP(A50,Ergebnis_je_Aktie_verwässert!A3:AK68,9,FALSE)),""),"")</f>
        <v>0.73239436619718312</v>
      </c>
      <c r="J50" s="5">
        <f>IF(VLOOKUP(A50,Dividende_je_Aktie!A3:AM68,10,FALSE)&lt;&gt;"",IF(VLOOKUP(A50,Ergebnis_je_Aktie_verwässert!A3:AK68,10,FALSE)&lt;&gt;"",IF(VLOOKUP(A50,Ergebnis_je_Aktie_verwässert!A3:AK68,10,FALSE)&lt;=0,9.99999,VLOOKUP(A50,Dividende_je_Aktie!A3:AM68,10,FALSE)/VLOOKUP(A50,Ergebnis_je_Aktie_verwässert!A3:AK68,10,FALSE)),""),"")</f>
        <v>0.58181818181818179</v>
      </c>
      <c r="K50" s="5">
        <f>IF(VLOOKUP(A50,Dividende_je_Aktie!A3:AM68,11,FALSE)&lt;&gt;"",IF(VLOOKUP(A50,Ergebnis_je_Aktie_verwässert!A3:AK68,11,FALSE)&lt;&gt;"",IF(VLOOKUP(A50,Ergebnis_je_Aktie_verwässert!A3:AK68,11,FALSE)&lt;=0,9.99999,VLOOKUP(A50,Dividende_je_Aktie!A3:AM68,11,FALSE)/VLOOKUP(A50,Ergebnis_je_Aktie_verwässert!A3:AK68,11,FALSE)),""),"")</f>
        <v>0.45360824742268041</v>
      </c>
      <c r="L50" s="5">
        <f>IF(VLOOKUP(A50,Dividende_je_Aktie!A3:AM68,12,FALSE)&lt;&gt;"",IF(VLOOKUP(A50,Ergebnis_je_Aktie_verwässert!A3:AK68,12,FALSE)&lt;&gt;"",IF(VLOOKUP(A50,Ergebnis_je_Aktie_verwässert!A3:AK68,12,FALSE)&lt;=0,9.99999,VLOOKUP(A50,Dividende_je_Aktie!A3:AM68,12,FALSE)/VLOOKUP(A50,Ergebnis_je_Aktie_verwässert!A3:AK68,12,FALSE)),""),"")</f>
        <v>0.62992125984251968</v>
      </c>
      <c r="M50" s="5">
        <f>IF(VLOOKUP(A50,Dividende_je_Aktie!A3:AM68,13,FALSE)&lt;&gt;"",IF(VLOOKUP(A50,Ergebnis_je_Aktie_verwässert!A3:AK68,13,FALSE)&lt;&gt;"",IF(VLOOKUP(A50,Ergebnis_je_Aktie_verwässert!A3:AK68,13,FALSE)&lt;=0,9.99999,VLOOKUP(A50,Dividende_je_Aktie!A3:AM68,13,FALSE)/VLOOKUP(A50,Ergebnis_je_Aktie_verwässert!A3:AK68,13,FALSE)),""),"")</f>
        <v>0.70588235294117641</v>
      </c>
      <c r="N50" s="5">
        <f>IF(VLOOKUP(A50,Dividende_je_Aktie!A3:AM68,14,FALSE)&lt;&gt;"",IF(VLOOKUP(A50,Ergebnis_je_Aktie_verwässert!A3:AK68,14,FALSE)&lt;&gt;"",IF(VLOOKUP(A50,Ergebnis_je_Aktie_verwässert!A3:AK68,14,FALSE)&lt;=0,9.99999,VLOOKUP(A50,Dividende_je_Aktie!A3:AM68,14,FALSE)/VLOOKUP(A50,Ergebnis_je_Aktie_verwässert!A3:AK68,14,FALSE)),""),"")</f>
        <v>0.65040650406504075</v>
      </c>
      <c r="O50" s="5">
        <f>IF(VLOOKUP(A50,Dividende_je_Aktie!A3:AM68,15,FALSE)&lt;&gt;"",IF(VLOOKUP(A50,Ergebnis_je_Aktie_verwässert!A3:AK68,15,FALSE)&lt;&gt;"",IF(VLOOKUP(A50,Ergebnis_je_Aktie_verwässert!A3:AK68,15,FALSE)&lt;=0,9.99999,VLOOKUP(A50,Dividende_je_Aktie!A3:AM68,15,FALSE)/VLOOKUP(A50,Ergebnis_je_Aktie_verwässert!A3:AK68,15,FALSE)),""),"")</f>
        <v>1.0666666666666667</v>
      </c>
      <c r="P50" s="5">
        <f>IF(VLOOKUP(A50,Dividende_je_Aktie!A3:AM68,16,FALSE)&lt;&gt;"",IF(VLOOKUP(A50,Ergebnis_je_Aktie_verwässert!A3:AK68,16,FALSE)&lt;&gt;"",IF(VLOOKUP(A50,Ergebnis_je_Aktie_verwässert!A3:AK68,16,FALSE)&lt;=0,9.99999,VLOOKUP(A50,Dividende_je_Aktie!A3:AM68,16,FALSE)/VLOOKUP(A50,Ergebnis_je_Aktie_verwässert!A3:AK68,16,FALSE)),""),"")</f>
        <v>0.99145299145299148</v>
      </c>
      <c r="Q50" s="5">
        <f>IF(VLOOKUP(A50,Dividende_je_Aktie!A3:AM68,17,FALSE)&lt;&gt;"",IF(VLOOKUP(A50,Ergebnis_je_Aktie_verwässert!A3:AK68,17,FALSE)&lt;&gt;"",IF(VLOOKUP(A50,Ergebnis_je_Aktie_verwässert!A3:AK68,17,FALSE)&lt;=0,9.99999,VLOOKUP(A50,Dividende_je_Aktie!A3:AM68,17,FALSE)/VLOOKUP(A50,Ergebnis_je_Aktie_verwässert!A3:AK68,17,FALSE)),""),"")</f>
        <v>0.63157894736842102</v>
      </c>
      <c r="R50" s="5">
        <f>IF(VLOOKUP(A50,Dividende_je_Aktie!A3:AM68,18,FALSE)&lt;&gt;"",IF(VLOOKUP(A50,Ergebnis_je_Aktie_verwässert!A3:AK68,18,FALSE)&lt;&gt;"",IF(VLOOKUP(A50,Ergebnis_je_Aktie_verwässert!A3:AK68,18,FALSE)&lt;=0,9.99999,VLOOKUP(A50,Dividende_je_Aktie!A3:AM68,18,FALSE)/VLOOKUP(A50,Ergebnis_je_Aktie_verwässert!A3:AK68,18,FALSE)),""),"")</f>
        <v>0.69724770642201828</v>
      </c>
      <c r="S50" s="10">
        <f t="shared" si="5"/>
        <v>0.69087760497210238</v>
      </c>
      <c r="T50" s="4">
        <f t="shared" ca="1" si="6"/>
        <v>0</v>
      </c>
      <c r="U50" s="4">
        <f t="shared" ca="1" si="7"/>
        <v>73</v>
      </c>
      <c r="V50" s="4">
        <f t="shared" ca="1" si="8"/>
        <v>287</v>
      </c>
      <c r="W50" s="10">
        <f t="shared" ca="1" si="9"/>
        <v>0.60390752591813346</v>
      </c>
      <c r="X50" s="5">
        <f t="shared" ca="1" si="10"/>
        <v>-0.12588348272988348</v>
      </c>
    </row>
    <row r="51" spans="1:24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5">
        <f>IF(VLOOKUP(A51,Dividende_je_Aktie!A3:AM68,6,FALSE)&lt;&gt;"",IF(VLOOKUP(A51,Ergebnis_je_Aktie_verwässert!A3:AK68,6,FALSE)&lt;&gt;"",IF(VLOOKUP(A51,Ergebnis_je_Aktie_verwässert!A3:AK68,6,FALSE)&lt;=0,9.99999,VLOOKUP(A51,Dividende_je_Aktie!A3:AM68,6,FALSE)/VLOOKUP(A51,Ergebnis_je_Aktie_verwässert!A3:AK68,6,FALSE)),""),"")</f>
        <v>0.88508064516129026</v>
      </c>
      <c r="G51" s="5">
        <f>IF(VLOOKUP(A51,Dividende_je_Aktie!A3:AM68,7,FALSE)&lt;&gt;"",IF(VLOOKUP(A51,Ergebnis_je_Aktie_verwässert!A3:AK68,7,FALSE)&lt;&gt;"",IF(VLOOKUP(A51,Ergebnis_je_Aktie_verwässert!A3:AK68,7,FALSE)&lt;=0,9.99999,VLOOKUP(A51,Dividende_je_Aktie!A3:AM68,7,FALSE)/VLOOKUP(A51,Ergebnis_je_Aktie_verwässert!A3:AK68,7,FALSE)),""),"")</f>
        <v>0.91341991341991335</v>
      </c>
      <c r="H51" s="5">
        <f>IF(VLOOKUP(A51,Dividende_je_Aktie!A3:AM68,8,FALSE)&lt;&gt;"",IF(VLOOKUP(A51,Ergebnis_je_Aktie_verwässert!A3:AK68,8,FALSE)&lt;&gt;"",IF(VLOOKUP(A51,Ergebnis_je_Aktie_verwässert!A3:AK68,8,FALSE)&lt;=0,9.99999,VLOOKUP(A51,Dividende_je_Aktie!A3:AM68,8,FALSE)/VLOOKUP(A51,Ergebnis_je_Aktie_verwässert!A3:AK68,8,FALSE)),""),"")</f>
        <v>0.95971563981042651</v>
      </c>
      <c r="I51" s="5">
        <f>IF(VLOOKUP(A51,Dividende_je_Aktie!A3:AM68,9,FALSE)&lt;&gt;"",IF(VLOOKUP(A51,Ergebnis_je_Aktie_verwässert!A3:AK68,9,FALSE)&lt;&gt;"",IF(VLOOKUP(A51,Ergebnis_je_Aktie_verwässert!A3:AK68,9,FALSE)&lt;=0,9.99999,VLOOKUP(A51,Dividende_je_Aktie!A3:AM68,9,FALSE)/VLOOKUP(A51,Ergebnis_je_Aktie_verwässert!A3:AK68,9,FALSE)),""),"")</f>
        <v>0.81512605042016806</v>
      </c>
      <c r="J51" s="5">
        <f>IF(VLOOKUP(A51,Dividende_je_Aktie!A3:AM68,10,FALSE)&lt;&gt;"",IF(VLOOKUP(A51,Ergebnis_je_Aktie_verwässert!A3:AK68,10,FALSE)&lt;&gt;"",IF(VLOOKUP(A51,Ergebnis_je_Aktie_verwässert!A3:AK68,10,FALSE)&lt;=0,9.99999,VLOOKUP(A51,Dividende_je_Aktie!A3:AM68,10,FALSE)/VLOOKUP(A51,Ergebnis_je_Aktie_verwässert!A3:AK68,10,FALSE)),""),"")</f>
        <v>0.68060836501901145</v>
      </c>
      <c r="K51" s="5">
        <f>IF(VLOOKUP(A51,Dividende_je_Aktie!A3:AM68,11,FALSE)&lt;&gt;"",IF(VLOOKUP(A51,Ergebnis_je_Aktie_verwässert!A3:AK68,11,FALSE)&lt;&gt;"",IF(VLOOKUP(A51,Ergebnis_je_Aktie_verwässert!A3:AK68,11,FALSE)&lt;=0,9.99999,VLOOKUP(A51,Dividende_je_Aktie!A3:AM68,11,FALSE)/VLOOKUP(A51,Ergebnis_je_Aktie_verwässert!A3:AK68,11,FALSE)),""),"")</f>
        <v>0.62669245647969052</v>
      </c>
      <c r="L51" s="5">
        <f>IF(VLOOKUP(A51,Dividende_je_Aktie!A3:AM68,12,FALSE)&lt;&gt;"",IF(VLOOKUP(A51,Ergebnis_je_Aktie_verwässert!A3:AK68,12,FALSE)&lt;&gt;"",IF(VLOOKUP(A51,Ergebnis_je_Aktie_verwässert!A3:AK68,12,FALSE)&lt;=0,9.99999,VLOOKUP(A51,Dividende_je_Aktie!A3:AM68,12,FALSE)/VLOOKUP(A51,Ergebnis_je_Aktie_verwässert!A3:AK68,12,FALSE)),""),"")</f>
        <v>0.58144329896907221</v>
      </c>
      <c r="M51" s="5">
        <f>IF(VLOOKUP(A51,Dividende_je_Aktie!A3:AM68,13,FALSE)&lt;&gt;"",IF(VLOOKUP(A51,Ergebnis_je_Aktie_verwässert!A3:AK68,13,FALSE)&lt;&gt;"",IF(VLOOKUP(A51,Ergebnis_je_Aktie_verwässert!A3:AK68,13,FALSE)&lt;=0,9.99999,VLOOKUP(A51,Dividende_je_Aktie!A3:AM68,13,FALSE)/VLOOKUP(A51,Ergebnis_je_Aktie_verwässert!A3:AK68,13,FALSE)),""),"")</f>
        <v>0.62244897959183676</v>
      </c>
      <c r="N51" s="5">
        <f>IF(VLOOKUP(A51,Dividende_je_Aktie!A3:AM68,14,FALSE)&lt;&gt;"",IF(VLOOKUP(A51,Ergebnis_je_Aktie_verwässert!A3:AK68,14,FALSE)&lt;&gt;"",IF(VLOOKUP(A51,Ergebnis_je_Aktie_verwässert!A3:AK68,14,FALSE)&lt;=0,9.99999,VLOOKUP(A51,Dividende_je_Aktie!A3:AM68,14,FALSE)/VLOOKUP(A51,Ergebnis_je_Aktie_verwässert!A3:AK68,14,FALSE)),""),"")</f>
        <v>0.6913580246913581</v>
      </c>
      <c r="O51" s="5">
        <f>IF(VLOOKUP(A51,Dividende_je_Aktie!A3:AM68,15,FALSE)&lt;&gt;"",IF(VLOOKUP(A51,Ergebnis_je_Aktie_verwässert!A3:AK68,15,FALSE)&lt;&gt;"",IF(VLOOKUP(A51,Ergebnis_je_Aktie_verwässert!A3:AK68,15,FALSE)&lt;=0,9.99999,VLOOKUP(A51,Dividende_je_Aktie!A3:AM68,15,FALSE)/VLOOKUP(A51,Ergebnis_je_Aktie_verwässert!A3:AK68,15,FALSE)),""),"")</f>
        <v>0.46525679758308158</v>
      </c>
      <c r="P51" s="5" t="str">
        <f>IF(VLOOKUP(A51,Dividende_je_Aktie!A3:AM68,16,FALSE)&lt;&gt;"",IF(VLOOKUP(A51,Ergebnis_je_Aktie_verwässert!A3:AK68,16,FALSE)&lt;&gt;"",IF(VLOOKUP(A51,Ergebnis_je_Aktie_verwässert!A3:AK68,16,FALSE)&lt;=0,9.99999,VLOOKUP(A51,Dividende_je_Aktie!A3:AM68,16,FALSE)/VLOOKUP(A51,Ergebnis_je_Aktie_verwässert!A3:AK68,16,FALSE)),""),"")</f>
        <v/>
      </c>
      <c r="Q51" s="5" t="str">
        <f>IF(VLOOKUP(A51,Dividende_je_Aktie!A3:AM68,17,FALSE)&lt;&gt;"",IF(VLOOKUP(A51,Ergebnis_je_Aktie_verwässert!A3:AK68,17,FALSE)&lt;&gt;"",IF(VLOOKUP(A51,Ergebnis_je_Aktie_verwässert!A3:AK68,17,FALSE)&lt;=0,9.99999,VLOOKUP(A51,Dividende_je_Aktie!A3:AM68,17,FALSE)/VLOOKUP(A51,Ergebnis_je_Aktie_verwässert!A3:AK68,17,FALSE)),""),"")</f>
        <v/>
      </c>
      <c r="R51" s="5" t="str">
        <f>IF(VLOOKUP(A51,Dividende_je_Aktie!A3:AM68,18,FALSE)&lt;&gt;"",IF(VLOOKUP(A51,Ergebnis_je_Aktie_verwässert!A3:AK68,18,FALSE)&lt;&gt;"",IF(VLOOKUP(A51,Ergebnis_je_Aktie_verwässert!A3:AK68,18,FALSE)&lt;=0,9.99999,VLOOKUP(A51,Dividende_je_Aktie!A3:AM68,18,FALSE)/VLOOKUP(A51,Ergebnis_je_Aktie_verwässert!A3:AK68,18,FALSE)),""),"")</f>
        <v/>
      </c>
      <c r="S51" s="10">
        <f t="shared" si="5"/>
        <v>0.72411501711458492</v>
      </c>
      <c r="T51" s="4">
        <f t="shared" ca="1" si="6"/>
        <v>0</v>
      </c>
      <c r="U51" s="4">
        <f t="shared" ca="1" si="7"/>
        <v>73</v>
      </c>
      <c r="V51" s="4">
        <f t="shared" ca="1" si="8"/>
        <v>287</v>
      </c>
      <c r="W51" s="10">
        <f t="shared" ca="1" si="9"/>
        <v>0.95032789529235018</v>
      </c>
      <c r="X51" s="5">
        <f t="shared" ca="1" si="10"/>
        <v>0.31239909797640486</v>
      </c>
    </row>
    <row r="52" spans="1:24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5">
        <f>IF(VLOOKUP(A52,Dividende_je_Aktie!A3:AM68,6,FALSE)&lt;&gt;"",IF(VLOOKUP(A52,Ergebnis_je_Aktie_verwässert!A3:AK68,6,FALSE)&lt;&gt;"",IF(VLOOKUP(A52,Ergebnis_je_Aktie_verwässert!A3:AK68,6,FALSE)&lt;=0,9.99999,VLOOKUP(A52,Dividende_je_Aktie!A3:AM68,6,FALSE)/VLOOKUP(A52,Ergebnis_je_Aktie_verwässert!A3:AK68,6,FALSE)),""),"")</f>
        <v>0.63771186440677963</v>
      </c>
      <c r="G52" s="5">
        <f>IF(VLOOKUP(A52,Dividende_je_Aktie!A3:AM68,7,FALSE)&lt;&gt;"",IF(VLOOKUP(A52,Ergebnis_je_Aktie_verwässert!A3:AK68,7,FALSE)&lt;&gt;"",IF(VLOOKUP(A52,Ergebnis_je_Aktie_verwässert!A3:AK68,7,FALSE)&lt;=0,9.99999,VLOOKUP(A52,Dividende_je_Aktie!A3:AM68,7,FALSE)/VLOOKUP(A52,Ergebnis_je_Aktie_verwässert!A3:AK68,7,FALSE)),""),"")</f>
        <v>0.65116279069767435</v>
      </c>
      <c r="H52" s="5">
        <f>IF(VLOOKUP(A52,Dividende_je_Aktie!A3:AM68,8,FALSE)&lt;&gt;"",IF(VLOOKUP(A52,Ergebnis_je_Aktie_verwässert!A3:AK68,8,FALSE)&lt;&gt;"",IF(VLOOKUP(A52,Ergebnis_je_Aktie_verwässert!A3:AK68,8,FALSE)&lt;=0,9.99999,VLOOKUP(A52,Dividende_je_Aktie!A3:AM68,8,FALSE)/VLOOKUP(A52,Ergebnis_je_Aktie_verwässert!A3:AK68,8,FALSE)),""),"")</f>
        <v>0.70460704607046076</v>
      </c>
      <c r="I52" s="5">
        <f>IF(VLOOKUP(A52,Dividende_je_Aktie!A3:AM68,9,FALSE)&lt;&gt;"",IF(VLOOKUP(A52,Ergebnis_je_Aktie_verwässert!A3:AK68,9,FALSE)&lt;&gt;"",IF(VLOOKUP(A52,Ergebnis_je_Aktie_verwässert!A3:AK68,9,FALSE)&lt;=0,9.99999,VLOOKUP(A52,Dividende_je_Aktie!A3:AM68,9,FALSE)/VLOOKUP(A52,Ergebnis_je_Aktie_verwässert!A3:AK68,9,FALSE)),""),"")</f>
        <v>0.61097256857855364</v>
      </c>
      <c r="J52" s="5">
        <f>IF(VLOOKUP(A52,Dividende_je_Aktie!A3:AM68,10,FALSE)&lt;&gt;"",IF(VLOOKUP(A52,Ergebnis_je_Aktie_verwässert!A3:AK68,10,FALSE)&lt;&gt;"",IF(VLOOKUP(A52,Ergebnis_je_Aktie_verwässert!A3:AK68,10,FALSE)&lt;=0,9.99999,VLOOKUP(A52,Dividende_je_Aktie!A3:AM68,10,FALSE)/VLOOKUP(A52,Ergebnis_je_Aktie_verwässert!A3:AK68,10,FALSE)),""),"")</f>
        <v>0.59326424870466321</v>
      </c>
      <c r="K52" s="5">
        <f>IF(VLOOKUP(A52,Dividende_je_Aktie!A3:AM68,11,FALSE)&lt;&gt;"",IF(VLOOKUP(A52,Ergebnis_je_Aktie_verwässert!A3:AK68,11,FALSE)&lt;&gt;"",IF(VLOOKUP(A52,Ergebnis_je_Aktie_verwässert!A3:AK68,11,FALSE)&lt;=0,9.99999,VLOOKUP(A52,Dividende_je_Aktie!A3:AM68,11,FALSE)/VLOOKUP(A52,Ergebnis_je_Aktie_verwässert!A3:AK68,11,FALSE)),""),"")</f>
        <v>0.58469945355191255</v>
      </c>
      <c r="L52" s="5">
        <f>IF(VLOOKUP(A52,Dividende_je_Aktie!A3:AM68,12,FALSE)&lt;&gt;"",IF(VLOOKUP(A52,Ergebnis_je_Aktie_verwässert!A3:AK68,12,FALSE)&lt;&gt;"",IF(VLOOKUP(A52,Ergebnis_je_Aktie_verwässert!A3:AK68,12,FALSE)&lt;=0,9.99999,VLOOKUP(A52,Dividende_je_Aktie!A3:AM68,12,FALSE)/VLOOKUP(A52,Ergebnis_je_Aktie_verwässert!A3:AK68,12,FALSE)),""),"")</f>
        <v>0.50127226463104324</v>
      </c>
      <c r="M52" s="5">
        <f>IF(VLOOKUP(A52,Dividende_je_Aktie!A3:AM68,13,FALSE)&lt;&gt;"",IF(VLOOKUP(A52,Ergebnis_je_Aktie_verwässert!A3:AK68,13,FALSE)&lt;&gt;"",IF(VLOOKUP(A52,Ergebnis_je_Aktie_verwässert!A3:AK68,13,FALSE)&lt;=0,9.99999,VLOOKUP(A52,Dividende_je_Aktie!A3:AM68,13,FALSE)/VLOOKUP(A52,Ergebnis_je_Aktie_verwässert!A3:AK68,13,FALSE)),""),"")</f>
        <v>0.50991501416430596</v>
      </c>
      <c r="N52" s="5">
        <f>IF(VLOOKUP(A52,Dividende_je_Aktie!A3:AM68,14,FALSE)&lt;&gt;"",IF(VLOOKUP(A52,Ergebnis_je_Aktie_verwässert!A3:AK68,14,FALSE)&lt;&gt;"",IF(VLOOKUP(A52,Ergebnis_je_Aktie_verwässert!A3:AK68,14,FALSE)&lt;=0,9.99999,VLOOKUP(A52,Dividende_je_Aktie!A3:AM68,14,FALSE)/VLOOKUP(A52,Ergebnis_je_Aktie_verwässert!A3:AK68,14,FALSE)),""),"")</f>
        <v>0.48377581120943947</v>
      </c>
      <c r="O52" s="5">
        <f>IF(VLOOKUP(A52,Dividende_je_Aktie!A3:AM68,15,FALSE)&lt;&gt;"",IF(VLOOKUP(A52,Ergebnis_je_Aktie_verwässert!A3:AK68,15,FALSE)&lt;&gt;"",IF(VLOOKUP(A52,Ergebnis_je_Aktie_verwässert!A3:AK68,15,FALSE)&lt;=0,9.99999,VLOOKUP(A52,Dividende_je_Aktie!A3:AM68,15,FALSE)/VLOOKUP(A52,Ergebnis_je_Aktie_verwässert!A3:AK68,15,FALSE)),""),"")</f>
        <v>0.4264705882352941</v>
      </c>
      <c r="P52" s="5">
        <f>IF(VLOOKUP(A52,Dividende_je_Aktie!A3:AM68,16,FALSE)&lt;&gt;"",IF(VLOOKUP(A52,Ergebnis_je_Aktie_verwässert!A3:AK68,16,FALSE)&lt;&gt;"",IF(VLOOKUP(A52,Ergebnis_je_Aktie_verwässert!A3:AK68,16,FALSE)&lt;=0,9.99999,VLOOKUP(A52,Dividende_je_Aktie!A3:AM68,16,FALSE)/VLOOKUP(A52,Ergebnis_je_Aktie_verwässert!A3:AK68,16,FALSE)),""),"")</f>
        <v>0.42105263157894735</v>
      </c>
      <c r="Q52" s="5">
        <f>IF(VLOOKUP(A52,Dividende_je_Aktie!A3:AM68,17,FALSE)&lt;&gt;"",IF(VLOOKUP(A52,Ergebnis_je_Aktie_verwässert!A3:AK68,17,FALSE)&lt;&gt;"",IF(VLOOKUP(A52,Ergebnis_je_Aktie_verwässert!A3:AK68,17,FALSE)&lt;=0,9.99999,VLOOKUP(A52,Dividende_je_Aktie!A3:AM68,17,FALSE)/VLOOKUP(A52,Ergebnis_je_Aktie_verwässert!A3:AK68,17,FALSE)),""),"")</f>
        <v>0.43560606060606055</v>
      </c>
      <c r="R52" s="5">
        <f>IF(VLOOKUP(A52,Dividende_je_Aktie!A3:AM68,18,FALSE)&lt;&gt;"",IF(VLOOKUP(A52,Ergebnis_je_Aktie_verwässert!A3:AK68,18,FALSE)&lt;&gt;"",IF(VLOOKUP(A52,Ergebnis_je_Aktie_verwässert!A3:AK68,18,FALSE)&lt;=0,9.99999,VLOOKUP(A52,Dividende_je_Aktie!A3:AM68,18,FALSE)/VLOOKUP(A52,Ergebnis_je_Aktie_verwässert!A3:AK68,18,FALSE)),""),"")</f>
        <v>0.38721804511278196</v>
      </c>
      <c r="S52" s="10">
        <f t="shared" si="5"/>
        <v>0.53444064519599366</v>
      </c>
      <c r="T52" s="4">
        <f t="shared" ca="1" si="6"/>
        <v>0</v>
      </c>
      <c r="U52" s="4">
        <f t="shared" ca="1" si="7"/>
        <v>254</v>
      </c>
      <c r="V52" s="4">
        <f t="shared" ca="1" si="8"/>
        <v>106</v>
      </c>
      <c r="W52" s="10">
        <f t="shared" ca="1" si="9"/>
        <v>0.66689915477966155</v>
      </c>
      <c r="X52" s="5">
        <f t="shared" ca="1" si="10"/>
        <v>0.2478451270020674</v>
      </c>
    </row>
    <row r="53" spans="1:24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5">
        <f>IF(VLOOKUP(A53,Dividende_je_Aktie!A3:AM68,6,FALSE)&lt;&gt;"",IF(VLOOKUP(A53,Ergebnis_je_Aktie_verwässert!A3:AK68,6,FALSE)&lt;&gt;"",IF(VLOOKUP(A53,Ergebnis_je_Aktie_verwässert!A3:AK68,6,FALSE)&lt;=0,9.99999,VLOOKUP(A53,Dividende_je_Aktie!A3:AM68,6,FALSE)/VLOOKUP(A53,Ergebnis_je_Aktie_verwässert!A3:AK68,6,FALSE)),""),"")</f>
        <v>0.57530864197530873</v>
      </c>
      <c r="G53" s="5">
        <f>IF(VLOOKUP(A53,Dividende_je_Aktie!A3:AM68,7,FALSE)&lt;&gt;"",IF(VLOOKUP(A53,Ergebnis_je_Aktie_verwässert!A3:AK68,7,FALSE)&lt;&gt;"",IF(VLOOKUP(A53,Ergebnis_je_Aktie_verwässert!A3:AK68,7,FALSE)&lt;=0,9.99999,VLOOKUP(A53,Dividende_je_Aktie!A3:AM68,7,FALSE)/VLOOKUP(A53,Ergebnis_je_Aktie_verwässert!A3:AK68,7,FALSE)),""),"")</f>
        <v>0.57397959183673475</v>
      </c>
      <c r="H53" s="5">
        <f>IF(VLOOKUP(A53,Dividende_je_Aktie!A3:AM68,8,FALSE)&lt;&gt;"",IF(VLOOKUP(A53,Ergebnis_je_Aktie_verwässert!A3:AK68,8,FALSE)&lt;&gt;"",IF(VLOOKUP(A53,Ergebnis_je_Aktie_verwässert!A3:AK68,8,FALSE)&lt;=0,9.99999,VLOOKUP(A53,Dividende_je_Aktie!A3:AM68,8,FALSE)/VLOOKUP(A53,Ergebnis_je_Aktie_verwässert!A3:AK68,8,FALSE)),""),"")</f>
        <v>0.59299191374663074</v>
      </c>
      <c r="I53" s="5">
        <f>IF(VLOOKUP(A53,Dividende_je_Aktie!A3:AM68,9,FALSE)&lt;&gt;"",IF(VLOOKUP(A53,Ergebnis_je_Aktie_verwässert!A3:AK68,9,FALSE)&lt;&gt;"",IF(VLOOKUP(A53,Ergebnis_je_Aktie_verwässert!A3:AK68,9,FALSE)&lt;=0,9.99999,VLOOKUP(A53,Dividende_je_Aktie!A3:AM68,9,FALSE)/VLOOKUP(A53,Ergebnis_je_Aktie_verwässert!A3:AK68,9,FALSE)),""),"")</f>
        <v>0.89256198347107452</v>
      </c>
      <c r="J53" s="5">
        <f>IF(VLOOKUP(A53,Dividende_je_Aktie!A3:AM68,10,FALSE)&lt;&gt;"",IF(VLOOKUP(A53,Ergebnis_je_Aktie_verwässert!A3:AK68,10,FALSE)&lt;&gt;"",IF(VLOOKUP(A53,Ergebnis_je_Aktie_verwässert!A3:AK68,10,FALSE)&lt;=0,9.99999,VLOOKUP(A53,Dividende_je_Aktie!A3:AM68,10,FALSE)/VLOOKUP(A53,Ergebnis_je_Aktie_verwässert!A3:AK68,10,FALSE)),""),"")</f>
        <v>0.52249999999999996</v>
      </c>
      <c r="K53" s="5">
        <f>IF(VLOOKUP(A53,Dividende_je_Aktie!A3:AM68,11,FALSE)&lt;&gt;"",IF(VLOOKUP(A53,Ergebnis_je_Aktie_verwässert!A3:AK68,11,FALSE)&lt;&gt;"",IF(VLOOKUP(A53,Ergebnis_je_Aktie_verwässert!A3:AK68,11,FALSE)&lt;=0,9.99999,VLOOKUP(A53,Dividende_je_Aktie!A3:AM68,11,FALSE)/VLOOKUP(A53,Ergebnis_je_Aktie_verwässert!A3:AK68,11,FALSE)),""),"")</f>
        <v>0.90624999999999978</v>
      </c>
      <c r="L53" s="5">
        <f>IF(VLOOKUP(A53,Dividende_je_Aktie!A3:AM68,12,FALSE)&lt;&gt;"",IF(VLOOKUP(A53,Ergebnis_je_Aktie_verwässert!A3:AK68,12,FALSE)&lt;&gt;"",IF(VLOOKUP(A53,Ergebnis_je_Aktie_verwässert!A3:AK68,12,FALSE)&lt;=0,9.99999,VLOOKUP(A53,Dividende_je_Aktie!A3:AM68,12,FALSE)/VLOOKUP(A53,Ergebnis_je_Aktie_verwässert!A3:AK68,12,FALSE)),""),"")</f>
        <v>0.92093023255813955</v>
      </c>
      <c r="M53" s="5">
        <f>IF(VLOOKUP(A53,Dividende_je_Aktie!A3:AM68,13,FALSE)&lt;&gt;"",IF(VLOOKUP(A53,Ergebnis_je_Aktie_verwässert!A3:AK68,13,FALSE)&lt;&gt;"",IF(VLOOKUP(A53,Ergebnis_je_Aktie_verwässert!A3:AK68,13,FALSE)&lt;=0,9.99999,VLOOKUP(A53,Dividende_je_Aktie!A3:AM68,13,FALSE)/VLOOKUP(A53,Ergebnis_je_Aktie_verwässert!A3:AK68,13,FALSE)),""),"")</f>
        <v>0.8772727272727272</v>
      </c>
      <c r="N53" s="5">
        <f>IF(VLOOKUP(A53,Dividende_je_Aktie!A3:AM68,14,FALSE)&lt;&gt;"",IF(VLOOKUP(A53,Ergebnis_je_Aktie_verwässert!A3:AK68,14,FALSE)&lt;&gt;"",IF(VLOOKUP(A53,Ergebnis_je_Aktie_verwässert!A3:AK68,14,FALSE)&lt;=0,9.99999,VLOOKUP(A53,Dividende_je_Aktie!A3:AM68,14,FALSE)/VLOOKUP(A53,Ergebnis_je_Aktie_verwässert!A3:AK68,14,FALSE)),""),"")</f>
        <v>0.77916666666666679</v>
      </c>
      <c r="O53" s="5">
        <f>IF(VLOOKUP(A53,Dividende_je_Aktie!A3:AM68,15,FALSE)&lt;&gt;"",IF(VLOOKUP(A53,Ergebnis_je_Aktie_verwässert!A3:AK68,15,FALSE)&lt;&gt;"",IF(VLOOKUP(A53,Ergebnis_je_Aktie_verwässert!A3:AK68,15,FALSE)&lt;=0,9.99999,VLOOKUP(A53,Dividende_je_Aktie!A3:AM68,15,FALSE)/VLOOKUP(A53,Ergebnis_je_Aktie_verwässert!A3:AK68,15,FALSE)),""),"")</f>
        <v>0.78761061946902666</v>
      </c>
      <c r="P53" s="5">
        <f>IF(VLOOKUP(A53,Dividende_je_Aktie!A3:AM68,16,FALSE)&lt;&gt;"",IF(VLOOKUP(A53,Ergebnis_je_Aktie_verwässert!A3:AK68,16,FALSE)&lt;&gt;"",IF(VLOOKUP(A53,Ergebnis_je_Aktie_verwässert!A3:AK68,16,FALSE)&lt;=0,9.99999,VLOOKUP(A53,Dividende_je_Aktie!A3:AM68,16,FALSE)/VLOOKUP(A53,Ergebnis_je_Aktie_verwässert!A3:AK68,16,FALSE)),""),"")</f>
        <v>0.87894736842105259</v>
      </c>
      <c r="Q53" s="5">
        <f>IF(VLOOKUP(A53,Dividende_je_Aktie!A3:AM68,17,FALSE)&lt;&gt;"",IF(VLOOKUP(A53,Ergebnis_je_Aktie_verwässert!A3:AK68,17,FALSE)&lt;&gt;"",IF(VLOOKUP(A53,Ergebnis_je_Aktie_verwässert!A3:AK68,17,FALSE)&lt;=0,9.99999,VLOOKUP(A53,Dividende_je_Aktie!A3:AM68,17,FALSE)/VLOOKUP(A53,Ergebnis_je_Aktie_verwässert!A3:AK68,17,FALSE)),""),"")</f>
        <v>0.75348837209302333</v>
      </c>
      <c r="R53" s="5">
        <f>IF(VLOOKUP(A53,Dividende_je_Aktie!A3:AM68,18,FALSE)&lt;&gt;"",IF(VLOOKUP(A53,Ergebnis_je_Aktie_verwässert!A3:AK68,18,FALSE)&lt;&gt;"",IF(VLOOKUP(A53,Ergebnis_je_Aktie_verwässert!A3:AK68,18,FALSE)&lt;=0,9.99999,VLOOKUP(A53,Dividende_je_Aktie!A3:AM68,18,FALSE)/VLOOKUP(A53,Ergebnis_je_Aktie_verwässert!A3:AK68,18,FALSE)),""),"")</f>
        <v>0.61132075471698122</v>
      </c>
      <c r="S53" s="10">
        <f t="shared" si="5"/>
        <v>0.74402529786364358</v>
      </c>
      <c r="T53" s="4">
        <f t="shared" ca="1" si="6"/>
        <v>0</v>
      </c>
      <c r="U53" s="4">
        <f t="shared" ca="1" si="7"/>
        <v>73</v>
      </c>
      <c r="V53" s="4">
        <f t="shared" ca="1" si="8"/>
        <v>287</v>
      </c>
      <c r="W53" s="10">
        <f t="shared" ca="1" si="9"/>
        <v>0.58913663735934629</v>
      </c>
      <c r="X53" s="5">
        <f t="shared" ca="1" si="10"/>
        <v>-0.20817660494748857</v>
      </c>
    </row>
    <row r="54" spans="1:24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5">
        <f>IF(VLOOKUP(A54,Dividende_je_Aktie!A3:AM68,6,FALSE)&lt;&gt;"",IF(VLOOKUP(A54,Ergebnis_je_Aktie_verwässert!A3:AK68,6,FALSE)&lt;&gt;"",IF(VLOOKUP(A54,Ergebnis_je_Aktie_verwässert!A3:AK68,6,FALSE)&lt;=0,9.99999,VLOOKUP(A54,Dividende_je_Aktie!A3:AM68,6,FALSE)/VLOOKUP(A54,Ergebnis_je_Aktie_verwässert!A3:AK68,6,FALSE)),""),"")</f>
        <v>0.39691714836223507</v>
      </c>
      <c r="G54" s="5">
        <f>IF(VLOOKUP(A54,Dividende_je_Aktie!A3:AM68,7,FALSE)&lt;&gt;"",IF(VLOOKUP(A54,Ergebnis_je_Aktie_verwässert!A3:AK68,7,FALSE)&lt;&gt;"",IF(VLOOKUP(A54,Ergebnis_je_Aktie_verwässert!A3:AK68,7,FALSE)&lt;=0,9.99999,VLOOKUP(A54,Dividende_je_Aktie!A3:AM68,7,FALSE)/VLOOKUP(A54,Ergebnis_je_Aktie_verwässert!A3:AK68,7,FALSE)),""),"")</f>
        <v>0.40490797546012275</v>
      </c>
      <c r="H54" s="5">
        <f>IF(VLOOKUP(A54,Dividende_je_Aktie!A3:AM68,8,FALSE)&lt;&gt;"",IF(VLOOKUP(A54,Ergebnis_je_Aktie_verwässert!A3:AK68,8,FALSE)&lt;&gt;"",IF(VLOOKUP(A54,Ergebnis_je_Aktie_verwässert!A3:AK68,8,FALSE)&lt;=0,9.99999,VLOOKUP(A54,Dividende_je_Aktie!A3:AM68,8,FALSE)/VLOOKUP(A54,Ergebnis_je_Aktie_verwässert!A3:AK68,8,FALSE)),""),"")</f>
        <v>0.3801980198019802</v>
      </c>
      <c r="I54" s="5">
        <f>IF(VLOOKUP(A54,Dividende_je_Aktie!A3:AM68,9,FALSE)&lt;&gt;"",IF(VLOOKUP(A54,Ergebnis_je_Aktie_verwässert!A3:AK68,9,FALSE)&lt;&gt;"",IF(VLOOKUP(A54,Ergebnis_je_Aktie_verwässert!A3:AK68,9,FALSE)&lt;=0,9.99999,VLOOKUP(A54,Dividende_je_Aktie!A3:AM68,9,FALSE)/VLOOKUP(A54,Ergebnis_je_Aktie_verwässert!A3:AK68,9,FALSE)),""),"")</f>
        <v>0.38524590163934425</v>
      </c>
      <c r="J54" s="5">
        <f>IF(VLOOKUP(A54,Dividende_je_Aktie!A3:AM68,10,FALSE)&lt;&gt;"",IF(VLOOKUP(A54,Ergebnis_je_Aktie_verwässert!A3:AK68,10,FALSE)&lt;&gt;"",IF(VLOOKUP(A54,Ergebnis_je_Aktie_verwässert!A3:AK68,10,FALSE)&lt;=0,9.99999,VLOOKUP(A54,Dividende_je_Aktie!A3:AM68,10,FALSE)/VLOOKUP(A54,Ergebnis_je_Aktie_verwässert!A3:AK68,10,FALSE)),""),"")</f>
        <v>0.31673306772908372</v>
      </c>
      <c r="K54" s="5">
        <f>IF(VLOOKUP(A54,Dividende_je_Aktie!A3:AM68,11,FALSE)&lt;&gt;"",IF(VLOOKUP(A54,Ergebnis_je_Aktie_verwässert!A3:AK68,11,FALSE)&lt;&gt;"",IF(VLOOKUP(A54,Ergebnis_je_Aktie_verwässert!A3:AK68,11,FALSE)&lt;=0,9.99999,VLOOKUP(A54,Dividende_je_Aktie!A3:AM68,11,FALSE)/VLOOKUP(A54,Ergebnis_je_Aktie_verwässert!A3:AK68,11,FALSE)),""),"")</f>
        <v>0.32300884955752213</v>
      </c>
      <c r="L54" s="5">
        <f>IF(VLOOKUP(A54,Dividende_je_Aktie!A3:AM68,12,FALSE)&lt;&gt;"",IF(VLOOKUP(A54,Ergebnis_je_Aktie_verwässert!A3:AK68,12,FALSE)&lt;&gt;"",IF(VLOOKUP(A54,Ergebnis_je_Aktie_verwässert!A3:AK68,12,FALSE)&lt;=0,9.99999,VLOOKUP(A54,Dividende_je_Aktie!A3:AM68,12,FALSE)/VLOOKUP(A54,Ergebnis_je_Aktie_verwässert!A3:AK68,12,FALSE)),""),"")</f>
        <v>0.27069351230425054</v>
      </c>
      <c r="M54" s="5">
        <f>IF(VLOOKUP(A54,Dividende_je_Aktie!A3:AM68,13,FALSE)&lt;&gt;"",IF(VLOOKUP(A54,Ergebnis_je_Aktie_verwässert!A3:AK68,13,FALSE)&lt;&gt;"",IF(VLOOKUP(A54,Ergebnis_je_Aktie_verwässert!A3:AK68,13,FALSE)&lt;=0,9.99999,VLOOKUP(A54,Dividende_je_Aktie!A3:AM68,13,FALSE)/VLOOKUP(A54,Ergebnis_je_Aktie_verwässert!A3:AK68,13,FALSE)),""),"")</f>
        <v>0.29459459459459458</v>
      </c>
      <c r="N54" s="5">
        <f>IF(VLOOKUP(A54,Dividende_je_Aktie!A3:AM68,14,FALSE)&lt;&gt;"",IF(VLOOKUP(A54,Ergebnis_je_Aktie_verwässert!A3:AK68,14,FALSE)&lt;&gt;"",IF(VLOOKUP(A54,Ergebnis_je_Aktie_verwässert!A3:AK68,14,FALSE)&lt;=0,9.99999,VLOOKUP(A54,Dividende_je_Aktie!A3:AM68,14,FALSE)/VLOOKUP(A54,Ergebnis_je_Aktie_verwässert!A3:AK68,14,FALSE)),""),"")</f>
        <v>0.28023598820058992</v>
      </c>
      <c r="O54" s="5">
        <f>IF(VLOOKUP(A54,Dividende_je_Aktie!A3:AM68,15,FALSE)&lt;&gt;"",IF(VLOOKUP(A54,Ergebnis_je_Aktie_verwässert!A3:AK68,15,FALSE)&lt;&gt;"",IF(VLOOKUP(A54,Ergebnis_je_Aktie_verwässert!A3:AK68,15,FALSE)&lt;=0,9.99999,VLOOKUP(A54,Dividende_je_Aktie!A3:AM68,15,FALSE)/VLOOKUP(A54,Ergebnis_je_Aktie_verwässert!A3:AK68,15,FALSE)),""),"")</f>
        <v>0.28115015974440893</v>
      </c>
      <c r="P54" s="5">
        <f>IF(VLOOKUP(A54,Dividende_je_Aktie!A3:AM68,16,FALSE)&lt;&gt;"",IF(VLOOKUP(A54,Ergebnis_je_Aktie_verwässert!A3:AK68,16,FALSE)&lt;&gt;"",IF(VLOOKUP(A54,Ergebnis_je_Aktie_verwässert!A3:AK68,16,FALSE)&lt;=0,9.99999,VLOOKUP(A54,Dividende_je_Aktie!A3:AM68,16,FALSE)/VLOOKUP(A54,Ergebnis_je_Aktie_verwässert!A3:AK68,16,FALSE)),""),"")</f>
        <v>0.24723247232472326</v>
      </c>
      <c r="Q54" s="5">
        <f>IF(VLOOKUP(A54,Dividende_je_Aktie!A3:AM68,17,FALSE)&lt;&gt;"",IF(VLOOKUP(A54,Ergebnis_je_Aktie_verwässert!A3:AK68,17,FALSE)&lt;&gt;"",IF(VLOOKUP(A54,Ergebnis_je_Aktie_verwässert!A3:AK68,17,FALSE)&lt;=0,9.99999,VLOOKUP(A54,Dividende_je_Aktie!A3:AM68,17,FALSE)/VLOOKUP(A54,Ergebnis_je_Aktie_verwässert!A3:AK68,17,FALSE)),""),"")</f>
        <v>0.22388059701492535</v>
      </c>
      <c r="R54" s="5">
        <f>IF(VLOOKUP(A54,Dividende_je_Aktie!A3:AM68,18,FALSE)&lt;&gt;"",IF(VLOOKUP(A54,Ergebnis_je_Aktie_verwässert!A3:AK68,18,FALSE)&lt;&gt;"",IF(VLOOKUP(A54,Ergebnis_je_Aktie_verwässert!A3:AK68,18,FALSE)&lt;=0,9.99999,VLOOKUP(A54,Dividende_je_Aktie!A3:AM68,18,FALSE)/VLOOKUP(A54,Ergebnis_je_Aktie_verwässert!A3:AK68,18,FALSE)),""),"")</f>
        <v>0.21576763485477177</v>
      </c>
      <c r="S54" s="10">
        <f t="shared" si="5"/>
        <v>0.30927430166065789</v>
      </c>
      <c r="T54" s="4">
        <f t="shared" ca="1" si="6"/>
        <v>43</v>
      </c>
      <c r="U54" s="4">
        <f t="shared" ca="1" si="7"/>
        <v>317</v>
      </c>
      <c r="V54" s="4">
        <f t="shared" ca="1" si="8"/>
        <v>0</v>
      </c>
      <c r="W54" s="10">
        <f t="shared" ca="1" si="9"/>
        <v>0.40395351555676395</v>
      </c>
      <c r="X54" s="5">
        <f t="shared" ca="1" si="10"/>
        <v>0.30613346594826374</v>
      </c>
    </row>
    <row r="55" spans="1:24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5">
        <f>IF(VLOOKUP(A55,Dividende_je_Aktie!A3:AM68,6,FALSE)&lt;&gt;"",IF(VLOOKUP(A55,Ergebnis_je_Aktie_verwässert!A3:AK68,6,FALSE)&lt;&gt;"",IF(VLOOKUP(A55,Ergebnis_je_Aktie_verwässert!A3:AK68,6,FALSE)&lt;=0,9.99999,VLOOKUP(A55,Dividende_je_Aktie!A3:AM68,6,FALSE)/VLOOKUP(A55,Ergebnis_je_Aktie_verwässert!A3:AK68,6,FALSE)),""),"")</f>
        <v>0.67993630573248398</v>
      </c>
      <c r="G55" s="5">
        <f>IF(VLOOKUP(A55,Dividende_je_Aktie!A3:AM68,7,FALSE)&lt;&gt;"",IF(VLOOKUP(A55,Ergebnis_je_Aktie_verwässert!A3:AK68,7,FALSE)&lt;&gt;"",IF(VLOOKUP(A55,Ergebnis_je_Aktie_verwässert!A3:AK68,7,FALSE)&lt;=0,9.99999,VLOOKUP(A55,Dividende_je_Aktie!A3:AM68,7,FALSE)/VLOOKUP(A55,Ergebnis_je_Aktie_verwässert!A3:AK68,7,FALSE)),""),"")</f>
        <v>0.65151515151515149</v>
      </c>
      <c r="H55" s="5">
        <f>IF(VLOOKUP(A55,Dividende_je_Aktie!A3:AM68,8,FALSE)&lt;&gt;"",IF(VLOOKUP(A55,Ergebnis_je_Aktie_verwässert!A3:AK68,8,FALSE)&lt;&gt;"",IF(VLOOKUP(A55,Ergebnis_je_Aktie_verwässert!A3:AK68,8,FALSE)&lt;=0,9.99999,VLOOKUP(A55,Dividende_je_Aktie!A3:AM68,8,FALSE)/VLOOKUP(A55,Ergebnis_je_Aktie_verwässert!A3:AK68,8,FALSE)),""),"")</f>
        <v>0.63195691202872528</v>
      </c>
      <c r="I55" s="5">
        <f>IF(VLOOKUP(A55,Dividende_je_Aktie!A3:AM68,9,FALSE)&lt;&gt;"",IF(VLOOKUP(A55,Ergebnis_je_Aktie_verwässert!A3:AK68,9,FALSE)&lt;&gt;"",IF(VLOOKUP(A55,Ergebnis_je_Aktie_verwässert!A3:AK68,9,FALSE)&lt;=0,9.99999,VLOOKUP(A55,Dividende_je_Aktie!A3:AM68,9,FALSE)/VLOOKUP(A55,Ergebnis_je_Aktie_verwässert!A3:AK68,9,FALSE)),""),"")</f>
        <v>0.55330882352941169</v>
      </c>
      <c r="J55" s="5">
        <f>IF(VLOOKUP(A55,Dividende_je_Aktie!A3:AM68,10,FALSE)&lt;&gt;"",IF(VLOOKUP(A55,Ergebnis_je_Aktie_verwässert!A3:AK68,10,FALSE)&lt;&gt;"",IF(VLOOKUP(A55,Ergebnis_je_Aktie_verwässert!A3:AK68,10,FALSE)&lt;=0,9.99999,VLOOKUP(A55,Dividende_je_Aktie!A3:AM68,10,FALSE)/VLOOKUP(A55,Ergebnis_je_Aktie_verwässert!A3:AK68,10,FALSE)),""),"")</f>
        <v>0.57637474541751532</v>
      </c>
      <c r="K55" s="5">
        <f>IF(VLOOKUP(A55,Dividende_je_Aktie!A3:AM68,11,FALSE)&lt;&gt;"",IF(VLOOKUP(A55,Ergebnis_je_Aktie_verwässert!A3:AK68,11,FALSE)&lt;&gt;"",IF(VLOOKUP(A55,Ergebnis_je_Aktie_verwässert!A3:AK68,11,FALSE)&lt;=0,9.99999,VLOOKUP(A55,Dividende_je_Aktie!A3:AM68,11,FALSE)/VLOOKUP(A55,Ergebnis_je_Aktie_verwässert!A3:AK68,11,FALSE)),""),"")</f>
        <v>0.50112359550561791</v>
      </c>
      <c r="L55" s="5">
        <f>IF(VLOOKUP(A55,Dividende_je_Aktie!A3:AM68,12,FALSE)&lt;&gt;"",IF(VLOOKUP(A55,Ergebnis_je_Aktie_verwässert!A3:AK68,12,FALSE)&lt;&gt;"",IF(VLOOKUP(A55,Ergebnis_je_Aktie_verwässert!A3:AK68,12,FALSE)&lt;=0,9.99999,VLOOKUP(A55,Dividende_je_Aktie!A3:AM68,12,FALSE)/VLOOKUP(A55,Ergebnis_je_Aktie_verwässert!A3:AK68,12,FALSE)),""),"")</f>
        <v>0.4269972451790634</v>
      </c>
      <c r="M55" s="5">
        <f>IF(VLOOKUP(A55,Dividende_je_Aktie!A3:AM68,13,FALSE)&lt;&gt;"",IF(VLOOKUP(A55,Ergebnis_je_Aktie_verwässert!A3:AK68,13,FALSE)&lt;&gt;"",IF(VLOOKUP(A55,Ergebnis_je_Aktie_verwässert!A3:AK68,13,FALSE)&lt;=0,9.99999,VLOOKUP(A55,Dividende_je_Aktie!A3:AM68,13,FALSE)/VLOOKUP(A55,Ergebnis_je_Aktie_verwässert!A3:AK68,13,FALSE)),""),"")</f>
        <v>0.42800000000000005</v>
      </c>
      <c r="N55" s="5">
        <f>IF(VLOOKUP(A55,Dividende_je_Aktie!A3:AM68,14,FALSE)&lt;&gt;"",IF(VLOOKUP(A55,Ergebnis_je_Aktie_verwässert!A3:AK68,14,FALSE)&lt;&gt;"",IF(VLOOKUP(A55,Ergebnis_je_Aktie_verwässert!A3:AK68,14,FALSE)&lt;=0,9.99999,VLOOKUP(A55,Dividende_je_Aktie!A3:AM68,14,FALSE)/VLOOKUP(A55,Ergebnis_je_Aktie_verwässert!A3:AK68,14,FALSE)),""),"")</f>
        <v>0.18965517241379312</v>
      </c>
      <c r="O55" s="5">
        <f>IF(VLOOKUP(A55,Dividende_je_Aktie!A3:AM68,15,FALSE)&lt;&gt;"",IF(VLOOKUP(A55,Ergebnis_je_Aktie_verwässert!A3:AK68,15,FALSE)&lt;&gt;"",IF(VLOOKUP(A55,Ergebnis_je_Aktie_verwässert!A3:AK68,15,FALSE)&lt;=0,9.99999,VLOOKUP(A55,Dividende_je_Aktie!A3:AM68,15,FALSE)/VLOOKUP(A55,Ergebnis_je_Aktie_verwässert!A3:AK68,15,FALSE)),""),"")</f>
        <v>0.18134715025906736</v>
      </c>
      <c r="P55" s="5" t="str">
        <f>IF(VLOOKUP(A55,Dividende_je_Aktie!A3:AM68,16,FALSE)&lt;&gt;"",IF(VLOOKUP(A55,Ergebnis_je_Aktie_verwässert!A3:AK68,16,FALSE)&lt;&gt;"",IF(VLOOKUP(A55,Ergebnis_je_Aktie_verwässert!A3:AK68,16,FALSE)&lt;=0,9.99999,VLOOKUP(A55,Dividende_je_Aktie!A3:AM68,16,FALSE)/VLOOKUP(A55,Ergebnis_je_Aktie_verwässert!A3:AK68,16,FALSE)),""),"")</f>
        <v/>
      </c>
      <c r="Q55" s="5" t="str">
        <f>IF(VLOOKUP(A55,Dividende_je_Aktie!A3:AM68,17,FALSE)&lt;&gt;"",IF(VLOOKUP(A55,Ergebnis_je_Aktie_verwässert!A3:AK68,17,FALSE)&lt;&gt;"",IF(VLOOKUP(A55,Ergebnis_je_Aktie_verwässert!A3:AK68,17,FALSE)&lt;=0,9.99999,VLOOKUP(A55,Dividende_je_Aktie!A3:AM68,17,FALSE)/VLOOKUP(A55,Ergebnis_je_Aktie_verwässert!A3:AK68,17,FALSE)),""),"")</f>
        <v/>
      </c>
      <c r="R55" s="5" t="str">
        <f>IF(VLOOKUP(A55,Dividende_je_Aktie!A3:AM68,18,FALSE)&lt;&gt;"",IF(VLOOKUP(A55,Ergebnis_je_Aktie_verwässert!A3:AK68,18,FALSE)&lt;&gt;"",IF(VLOOKUP(A55,Ergebnis_je_Aktie_verwässert!A3:AK68,18,FALSE)&lt;=0,9.99999,VLOOKUP(A55,Dividende_je_Aktie!A3:AM68,18,FALSE)/VLOOKUP(A55,Ergebnis_je_Aktie_verwässert!A3:AK68,18,FALSE)),""),"")</f>
        <v/>
      </c>
      <c r="S55" s="10">
        <f t="shared" si="5"/>
        <v>0.48202151015808292</v>
      </c>
      <c r="T55" s="4">
        <f t="shared" ca="1" si="6"/>
        <v>0</v>
      </c>
      <c r="U55" s="4">
        <f t="shared" ca="1" si="7"/>
        <v>73</v>
      </c>
      <c r="V55" s="4">
        <f t="shared" ca="1" si="8"/>
        <v>287</v>
      </c>
      <c r="W55" s="10">
        <f t="shared" ca="1" si="9"/>
        <v>0.63592288836902833</v>
      </c>
      <c r="X55" s="5">
        <f t="shared" ca="1" si="10"/>
        <v>0.31928321655287162</v>
      </c>
    </row>
    <row r="56" spans="1:24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5">
        <f>IF(VLOOKUP(A56,Dividende_je_Aktie!A3:AM68,6,FALSE)&lt;&gt;"",IF(VLOOKUP(A56,Ergebnis_je_Aktie_verwässert!A3:AK68,6,FALSE)&lt;&gt;"",IF(VLOOKUP(A56,Ergebnis_je_Aktie_verwässert!A3:AK68,6,FALSE)&lt;=0,9.99999,VLOOKUP(A56,Dividende_je_Aktie!A3:AM68,6,FALSE)/VLOOKUP(A56,Ergebnis_je_Aktie_verwässert!A3:AK68,6,FALSE)),""),"")</f>
        <v>0.5056179775280899</v>
      </c>
      <c r="G56" s="5">
        <f>IF(VLOOKUP(A56,Dividende_je_Aktie!A3:AM68,7,FALSE)&lt;&gt;"",IF(VLOOKUP(A56,Ergebnis_je_Aktie_verwässert!A3:AK68,7,FALSE)&lt;&gt;"",IF(VLOOKUP(A56,Ergebnis_je_Aktie_verwässert!A3:AK68,7,FALSE)&lt;=0,9.99999,VLOOKUP(A56,Dividende_je_Aktie!A3:AM68,7,FALSE)/VLOOKUP(A56,Ergebnis_je_Aktie_verwässert!A3:AK68,7,FALSE)),""),"")</f>
        <v>0.51465614430665163</v>
      </c>
      <c r="H56" s="5">
        <f>IF(VLOOKUP(A56,Dividende_je_Aktie!A3:AM68,8,FALSE)&lt;&gt;"",IF(VLOOKUP(A56,Ergebnis_je_Aktie_verwässert!A3:AK68,8,FALSE)&lt;&gt;"",IF(VLOOKUP(A56,Ergebnis_je_Aktie_verwässert!A3:AK68,8,FALSE)&lt;=0,9.99999,VLOOKUP(A56,Dividende_je_Aktie!A3:AM68,8,FALSE)/VLOOKUP(A56,Ergebnis_je_Aktie_verwässert!A3:AK68,8,FALSE)),""),"")</f>
        <v>0.51341235184029943</v>
      </c>
      <c r="I56" s="5">
        <f>IF(VLOOKUP(A56,Dividende_je_Aktie!A3:AM68,9,FALSE)&lt;&gt;"",IF(VLOOKUP(A56,Ergebnis_je_Aktie_verwässert!A3:AK68,9,FALSE)&lt;&gt;"",IF(VLOOKUP(A56,Ergebnis_je_Aktie_verwässert!A3:AK68,9,FALSE)&lt;=0,9.99999,VLOOKUP(A56,Dividende_je_Aktie!A3:AM68,9,FALSE)/VLOOKUP(A56,Ergebnis_je_Aktie_verwässert!A3:AK68,9,FALSE)),""),"")</f>
        <v>0.50277392510402219</v>
      </c>
      <c r="J56" s="5">
        <f>IF(VLOOKUP(A56,Dividende_je_Aktie!A3:AM68,10,FALSE)&lt;&gt;"",IF(VLOOKUP(A56,Ergebnis_je_Aktie_verwässert!A3:AK68,10,FALSE)&lt;&gt;"",IF(VLOOKUP(A56,Ergebnis_je_Aktie_verwässert!A3:AK68,10,FALSE)&lt;=0,9.99999,VLOOKUP(A56,Dividende_je_Aktie!A3:AM68,10,FALSE)/VLOOKUP(A56,Ergebnis_je_Aktie_verwässert!A3:AK68,10,FALSE)),""),"")</f>
        <v>0.49467275494672752</v>
      </c>
      <c r="K56" s="5">
        <f>IF(VLOOKUP(A56,Dividende_je_Aktie!A3:AM68,11,FALSE)&lt;&gt;"",IF(VLOOKUP(A56,Ergebnis_je_Aktie_verwässert!A3:AK68,11,FALSE)&lt;&gt;"",IF(VLOOKUP(A56,Ergebnis_je_Aktie_verwässert!A3:AK68,11,FALSE)&lt;=0,9.99999,VLOOKUP(A56,Dividende_je_Aktie!A3:AM68,11,FALSE)/VLOOKUP(A56,Ergebnis_je_Aktie_verwässert!A3:AK68,11,FALSE)),""),"")</f>
        <v>0.48441449031171019</v>
      </c>
      <c r="L56" s="5">
        <f>IF(VLOOKUP(A56,Dividende_je_Aktie!A3:AM68,12,FALSE)&lt;&gt;"",IF(VLOOKUP(A56,Ergebnis_je_Aktie_verwässert!A3:AK68,12,FALSE)&lt;&gt;"",IF(VLOOKUP(A56,Ergebnis_je_Aktie_verwässert!A3:AK68,12,FALSE)&lt;=0,9.99999,VLOOKUP(A56,Dividende_je_Aktie!A3:AM68,12,FALSE)/VLOOKUP(A56,Ergebnis_je_Aktie_verwässert!A3:AK68,12,FALSE)),""),"")</f>
        <v>0.46382189239332094</v>
      </c>
      <c r="M56" s="5">
        <f>IF(VLOOKUP(A56,Dividende_je_Aktie!A3:AM68,13,FALSE)&lt;&gt;"",IF(VLOOKUP(A56,Ergebnis_je_Aktie_verwässert!A3:AK68,13,FALSE)&lt;&gt;"",IF(VLOOKUP(A56,Ergebnis_je_Aktie_verwässert!A3:AK68,13,FALSE)&lt;=0,9.99999,VLOOKUP(A56,Dividende_je_Aktie!A3:AM68,13,FALSE)/VLOOKUP(A56,Ergebnis_je_Aktie_verwässert!A3:AK68,13,FALSE)),""),"")</f>
        <v>0.42654028436018959</v>
      </c>
      <c r="N56" s="5">
        <f>IF(VLOOKUP(A56,Dividende_je_Aktie!A3:AM68,14,FALSE)&lt;&gt;"",IF(VLOOKUP(A56,Ergebnis_je_Aktie_verwässert!A3:AK68,14,FALSE)&lt;&gt;"",IF(VLOOKUP(A56,Ergebnis_je_Aktie_verwässert!A3:AK68,14,FALSE)&lt;=0,9.99999,VLOOKUP(A56,Dividende_je_Aktie!A3:AM68,14,FALSE)/VLOOKUP(A56,Ergebnis_je_Aktie_verwässert!A3:AK68,14,FALSE)),""),"")</f>
        <v>0.47009049241979084</v>
      </c>
      <c r="O56" s="5">
        <f>IF(VLOOKUP(A56,Dividende_je_Aktie!A3:AM68,15,FALSE)&lt;&gt;"",IF(VLOOKUP(A56,Ergebnis_je_Aktie_verwässert!A3:AK68,15,FALSE)&lt;&gt;"",IF(VLOOKUP(A56,Ergebnis_je_Aktie_verwässert!A3:AK68,15,FALSE)&lt;=0,9.99999,VLOOKUP(A56,Dividende_je_Aktie!A3:AM68,15,FALSE)/VLOOKUP(A56,Ergebnis_je_Aktie_verwässert!A3:AK68,15,FALSE)),""),"")</f>
        <v>0.31578947368421051</v>
      </c>
      <c r="P56" s="5">
        <f>IF(VLOOKUP(A56,Dividende_je_Aktie!A3:AM68,16,FALSE)&lt;&gt;"",IF(VLOOKUP(A56,Ergebnis_je_Aktie_verwässert!A3:AK68,16,FALSE)&lt;&gt;"",IF(VLOOKUP(A56,Ergebnis_je_Aktie_verwässert!A3:AK68,16,FALSE)&lt;=0,9.99999,VLOOKUP(A56,Dividende_je_Aktie!A3:AM68,16,FALSE)/VLOOKUP(A56,Ergebnis_je_Aktie_verwässert!A3:AK68,16,FALSE)),""),"")</f>
        <v>0.30247479376718606</v>
      </c>
      <c r="Q56" s="5">
        <f>IF(VLOOKUP(A56,Dividende_je_Aktie!A3:AM68,17,FALSE)&lt;&gt;"",IF(VLOOKUP(A56,Ergebnis_je_Aktie_verwässert!A3:AK68,17,FALSE)&lt;&gt;"",IF(VLOOKUP(A56,Ergebnis_je_Aktie_verwässert!A3:AK68,17,FALSE)&lt;=0,9.99999,VLOOKUP(A56,Dividende_je_Aktie!A3:AM68,17,FALSE)/VLOOKUP(A56,Ergebnis_je_Aktie_verwässert!A3:AK68,17,FALSE)),""),"")</f>
        <v>0.29852366478506293</v>
      </c>
      <c r="R56" s="5">
        <f>IF(VLOOKUP(A56,Dividende_je_Aktie!A3:AM68,18,FALSE)&lt;&gt;"",IF(VLOOKUP(A56,Ergebnis_je_Aktie_verwässert!A3:AK68,18,FALSE)&lt;&gt;"",IF(VLOOKUP(A56,Ergebnis_je_Aktie_verwässert!A3:AK68,18,FALSE)&lt;=0,9.99999,VLOOKUP(A56,Dividende_je_Aktie!A3:AM68,18,FALSE)/VLOOKUP(A56,Ergebnis_je_Aktie_verwässert!A3:AK68,18,FALSE)),""),"")</f>
        <v>0.29289247591772977</v>
      </c>
      <c r="S56" s="10">
        <f t="shared" si="5"/>
        <v>0.42966774779730699</v>
      </c>
      <c r="T56" s="4">
        <f t="shared" ca="1" si="6"/>
        <v>0</v>
      </c>
      <c r="U56" s="4">
        <f t="shared" ca="1" si="7"/>
        <v>73</v>
      </c>
      <c r="V56" s="4">
        <f t="shared" ca="1" si="8"/>
        <v>287</v>
      </c>
      <c r="W56" s="10">
        <f t="shared" ca="1" si="9"/>
        <v>0.51366456531264304</v>
      </c>
      <c r="X56" s="5">
        <f t="shared" ca="1" si="10"/>
        <v>0.19549248912897466</v>
      </c>
    </row>
    <row r="57" spans="1:24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5">
        <f>IF(VLOOKUP(A57,Dividende_je_Aktie!A3:AM68,6,FALSE)&lt;&gt;"",IF(VLOOKUP(A57,Ergebnis_je_Aktie_verwässert!A3:AK68,6,FALSE)&lt;&gt;"",IF(VLOOKUP(A57,Ergebnis_je_Aktie_verwässert!A3:AK68,6,FALSE)&lt;=0,9.99999,VLOOKUP(A57,Dividende_je_Aktie!A3:AM68,6,FALSE)/VLOOKUP(A57,Ergebnis_je_Aktie_verwässert!A3:AK68,6,FALSE)),""),"")</f>
        <v>0.31103074141048825</v>
      </c>
      <c r="G57" s="5">
        <f>IF(VLOOKUP(A57,Dividende_je_Aktie!A3:AM68,7,FALSE)&lt;&gt;"",IF(VLOOKUP(A57,Ergebnis_je_Aktie_verwässert!A3:AK68,7,FALSE)&lt;&gt;"",IF(VLOOKUP(A57,Ergebnis_je_Aktie_verwässert!A3:AK68,7,FALSE)&lt;=0,9.99999,VLOOKUP(A57,Dividende_je_Aktie!A3:AM68,7,FALSE)/VLOOKUP(A57,Ergebnis_je_Aktie_verwässert!A3:AK68,7,FALSE)),""),"")</f>
        <v>0.31536926147704591</v>
      </c>
      <c r="H57" s="5">
        <f>IF(VLOOKUP(A57,Dividende_je_Aktie!A3:AM68,8,FALSE)&lt;&gt;"",IF(VLOOKUP(A57,Ergebnis_je_Aktie_verwässert!A3:AK68,8,FALSE)&lt;&gt;"",IF(VLOOKUP(A57,Ergebnis_je_Aktie_verwässert!A3:AK68,8,FALSE)&lt;=0,9.99999,VLOOKUP(A57,Dividende_je_Aktie!A3:AM68,8,FALSE)/VLOOKUP(A57,Ergebnis_je_Aktie_verwässert!A3:AK68,8,FALSE)),""),"")</f>
        <v>0.31372549019607843</v>
      </c>
      <c r="I57" s="5">
        <f>IF(VLOOKUP(A57,Dividende_je_Aktie!A3:AM68,9,FALSE)&lt;&gt;"",IF(VLOOKUP(A57,Ergebnis_je_Aktie_verwässert!A3:AK68,9,FALSE)&lt;&gt;"",IF(VLOOKUP(A57,Ergebnis_je_Aktie_verwässert!A3:AK68,9,FALSE)&lt;=0,9.99999,VLOOKUP(A57,Dividende_je_Aktie!A3:AM68,9,FALSE)/VLOOKUP(A57,Ergebnis_je_Aktie_verwässert!A3:AK68,9,FALSE)),""),"")</f>
        <v>0.35106382978723411</v>
      </c>
      <c r="J57" s="5">
        <f>IF(VLOOKUP(A57,Dividende_je_Aktie!A3:AM68,10,FALSE)&lt;&gt;"",IF(VLOOKUP(A57,Ergebnis_je_Aktie_verwässert!A3:AK68,10,FALSE)&lt;&gt;"",IF(VLOOKUP(A57,Ergebnis_je_Aktie_verwässert!A3:AK68,10,FALSE)&lt;=0,9.99999,VLOOKUP(A57,Dividende_je_Aktie!A3:AM68,10,FALSE)/VLOOKUP(A57,Ergebnis_je_Aktie_verwässert!A3:AK68,10,FALSE)),""),"")</f>
        <v>0.33242506811989103</v>
      </c>
      <c r="K57" s="5">
        <f>IF(VLOOKUP(A57,Dividende_je_Aktie!A3:AM68,11,FALSE)&lt;&gt;"",IF(VLOOKUP(A57,Ergebnis_je_Aktie_verwässert!A3:AK68,11,FALSE)&lt;&gt;"",IF(VLOOKUP(A57,Ergebnis_je_Aktie_verwässert!A3:AK68,11,FALSE)&lt;=0,9.99999,VLOOKUP(A57,Dividende_je_Aktie!A3:AM68,11,FALSE)/VLOOKUP(A57,Ergebnis_je_Aktie_verwässert!A3:AK68,11,FALSE)),""),"")</f>
        <v>0.27220630372492832</v>
      </c>
      <c r="L57" s="5">
        <f>IF(VLOOKUP(A57,Dividende_je_Aktie!A3:AM68,12,FALSE)&lt;&gt;"",IF(VLOOKUP(A57,Ergebnis_je_Aktie_verwässert!A3:AK68,12,FALSE)&lt;&gt;"",IF(VLOOKUP(A57,Ergebnis_je_Aktie_verwässert!A3:AK68,12,FALSE)&lt;=0,9.99999,VLOOKUP(A57,Dividende_je_Aktie!A3:AM68,12,FALSE)/VLOOKUP(A57,Ergebnis_je_Aktie_verwässert!A3:AK68,12,FALSE)),""),"")</f>
        <v>0.27681660899653981</v>
      </c>
      <c r="M57" s="5">
        <f>IF(VLOOKUP(A57,Dividende_je_Aktie!A3:AM68,13,FALSE)&lt;&gt;"",IF(VLOOKUP(A57,Ergebnis_je_Aktie_verwässert!A3:AK68,13,FALSE)&lt;&gt;"",IF(VLOOKUP(A57,Ergebnis_je_Aktie_verwässert!A3:AK68,13,FALSE)&lt;=0,9.99999,VLOOKUP(A57,Dividende_je_Aktie!A3:AM68,13,FALSE)/VLOOKUP(A57,Ergebnis_je_Aktie_verwässert!A3:AK68,13,FALSE)),""),"")</f>
        <v>0.27906976744186046</v>
      </c>
      <c r="N57" s="5">
        <f>IF(VLOOKUP(A57,Dividende_je_Aktie!A3:AM68,14,FALSE)&lt;&gt;"",IF(VLOOKUP(A57,Ergebnis_je_Aktie_verwässert!A3:AK68,14,FALSE)&lt;&gt;"",IF(VLOOKUP(A57,Ergebnis_je_Aktie_verwässert!A3:AK68,14,FALSE)&lt;=0,9.99999,VLOOKUP(A57,Dividende_je_Aktie!A3:AM68,14,FALSE)/VLOOKUP(A57,Ergebnis_je_Aktie_verwässert!A3:AK68,14,FALSE)),""),"")</f>
        <v>0.37857142857142861</v>
      </c>
      <c r="O57" s="5">
        <f>IF(VLOOKUP(A57,Dividende_je_Aktie!A3:AM68,15,FALSE)&lt;&gt;"",IF(VLOOKUP(A57,Ergebnis_je_Aktie_verwässert!A3:AK68,15,FALSE)&lt;&gt;"",IF(VLOOKUP(A57,Ergebnis_je_Aktie_verwässert!A3:AK68,15,FALSE)&lt;=0,9.99999,VLOOKUP(A57,Dividende_je_Aktie!A3:AM68,15,FALSE)/VLOOKUP(A57,Ergebnis_je_Aktie_verwässert!A3:AK68,15,FALSE)),""),"")</f>
        <v>0.28804347826086957</v>
      </c>
      <c r="P57" s="5">
        <f>IF(VLOOKUP(A57,Dividende_je_Aktie!A3:AM68,16,FALSE)&lt;&gt;"",IF(VLOOKUP(A57,Ergebnis_je_Aktie_verwässert!A3:AK68,16,FALSE)&lt;&gt;"",IF(VLOOKUP(A57,Ergebnis_je_Aktie_verwässert!A3:AK68,16,FALSE)&lt;=0,9.99999,VLOOKUP(A57,Dividende_je_Aktie!A3:AM68,16,FALSE)/VLOOKUP(A57,Ergebnis_je_Aktie_verwässert!A3:AK68,16,FALSE)),""),"")</f>
        <v>0.24766355140186916</v>
      </c>
      <c r="Q57" s="5">
        <f>IF(VLOOKUP(A57,Dividende_je_Aktie!A3:AM68,17,FALSE)&lt;&gt;"",IF(VLOOKUP(A57,Ergebnis_je_Aktie_verwässert!A3:AK68,17,FALSE)&lt;&gt;"",IF(VLOOKUP(A57,Ergebnis_je_Aktie_verwässert!A3:AK68,17,FALSE)&lt;=0,9.99999,VLOOKUP(A57,Dividende_je_Aktie!A3:AM68,17,FALSE)/VLOOKUP(A57,Ergebnis_je_Aktie_verwässert!A3:AK68,17,FALSE)),""),"")</f>
        <v>0.25125628140703515</v>
      </c>
      <c r="R57" s="5">
        <f>IF(VLOOKUP(A57,Dividende_je_Aktie!A3:AM68,18,FALSE)&lt;&gt;"",IF(VLOOKUP(A57,Ergebnis_je_Aktie_verwässert!A3:AK68,18,FALSE)&lt;&gt;"",IF(VLOOKUP(A57,Ergebnis_je_Aktie_verwässert!A3:AK68,18,FALSE)&lt;=0,9.99999,VLOOKUP(A57,Dividende_je_Aktie!A3:AM68,18,FALSE)/VLOOKUP(A57,Ergebnis_je_Aktie_verwässert!A3:AK68,18,FALSE)),""),"")</f>
        <v>0.25423728813559321</v>
      </c>
      <c r="S57" s="10">
        <f t="shared" si="5"/>
        <v>0.29780608453314322</v>
      </c>
      <c r="T57" s="4">
        <f t="shared" ca="1" si="6"/>
        <v>0</v>
      </c>
      <c r="U57" s="4">
        <f t="shared" ca="1" si="7"/>
        <v>73</v>
      </c>
      <c r="V57" s="4">
        <f t="shared" ca="1" si="8"/>
        <v>287</v>
      </c>
      <c r="W57" s="10">
        <f t="shared" ca="1" si="9"/>
        <v>0.31405881048360795</v>
      </c>
      <c r="X57" s="5">
        <f t="shared" ca="1" si="10"/>
        <v>5.4574861947308317E-2</v>
      </c>
    </row>
    <row r="58" spans="1:24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5">
        <f>IF(VLOOKUP(A58,Dividende_je_Aktie!A3:AM68,6,FALSE)&lt;&gt;"",IF(VLOOKUP(A58,Ergebnis_je_Aktie_verwässert!A3:AK68,6,FALSE)&lt;&gt;"",IF(VLOOKUP(A58,Ergebnis_je_Aktie_verwässert!A3:AK68,6,FALSE)&lt;=0,9.99999,VLOOKUP(A58,Dividende_je_Aktie!A3:AM68,6,FALSE)/VLOOKUP(A58,Ergebnis_je_Aktie_verwässert!A3:AK68,6,FALSE)),""),"")</f>
        <v>0.515625</v>
      </c>
      <c r="G58" s="5">
        <f>IF(VLOOKUP(A58,Dividende_je_Aktie!A3:AM68,7,FALSE)&lt;&gt;"",IF(VLOOKUP(A58,Ergebnis_je_Aktie_verwässert!A3:AK68,7,FALSE)&lt;&gt;"",IF(VLOOKUP(A58,Ergebnis_je_Aktie_verwässert!A3:AK68,7,FALSE)&lt;=0,9.99999,VLOOKUP(A58,Dividende_je_Aktie!A3:AM68,7,FALSE)/VLOOKUP(A58,Ergebnis_je_Aktie_verwässert!A3:AK68,7,FALSE)),""),"")</f>
        <v>0.50381679389312972</v>
      </c>
      <c r="H58" s="5">
        <f>IF(VLOOKUP(A58,Dividende_je_Aktie!A3:AM68,8,FALSE)&lt;&gt;"",IF(VLOOKUP(A58,Ergebnis_je_Aktie_verwässert!A3:AK68,8,FALSE)&lt;&gt;"",IF(VLOOKUP(A58,Ergebnis_je_Aktie_verwässert!A3:AK68,8,FALSE)&lt;=0,9.99999,VLOOKUP(A58,Dividende_je_Aktie!A3:AM68,8,FALSE)/VLOOKUP(A58,Ergebnis_je_Aktie_verwässert!A3:AK68,8,FALSE)),""),"")</f>
        <v>0.49177631578947373</v>
      </c>
      <c r="I58" s="5">
        <f>IF(VLOOKUP(A58,Dividende_je_Aktie!A3:AM68,9,FALSE)&lt;&gt;"",IF(VLOOKUP(A58,Ergebnis_je_Aktie_verwässert!A3:AK68,9,FALSE)&lt;&gt;"",IF(VLOOKUP(A58,Ergebnis_je_Aktie_verwässert!A3:AK68,9,FALSE)&lt;=0,9.99999,VLOOKUP(A58,Dividende_je_Aktie!A3:AM68,9,FALSE)/VLOOKUP(A58,Ergebnis_je_Aktie_verwässert!A3:AK68,9,FALSE)),""),"")</f>
        <v>0.5056179775280899</v>
      </c>
      <c r="J58" s="5">
        <f>IF(VLOOKUP(A58,Dividende_je_Aktie!A3:AM68,10,FALSE)&lt;&gt;"",IF(VLOOKUP(A58,Ergebnis_je_Aktie_verwässert!A3:AK68,10,FALSE)&lt;&gt;"",IF(VLOOKUP(A58,Ergebnis_je_Aktie_verwässert!A3:AK68,10,FALSE)&lt;=0,9.99999,VLOOKUP(A58,Dividende_je_Aktie!A3:AM68,10,FALSE)/VLOOKUP(A58,Ergebnis_je_Aktie_verwässert!A3:AK68,10,FALSE)),""),"")</f>
        <v>0.48732943469785578</v>
      </c>
      <c r="K58" s="5">
        <f>IF(VLOOKUP(A58,Dividende_je_Aktie!A3:AM68,11,FALSE)&lt;&gt;"",IF(VLOOKUP(A58,Ergebnis_je_Aktie_verwässert!A3:AK68,11,FALSE)&lt;&gt;"",IF(VLOOKUP(A58,Ergebnis_je_Aktie_verwässert!A3:AK68,11,FALSE)&lt;=0,9.99999,VLOOKUP(A58,Dividende_je_Aktie!A3:AM68,11,FALSE)/VLOOKUP(A58,Ergebnis_je_Aktie_verwässert!A3:AK68,11,FALSE)),""),"")</f>
        <v>0.46843177189409363</v>
      </c>
      <c r="L58" s="5">
        <f>IF(VLOOKUP(A58,Dividende_je_Aktie!A3:AM68,12,FALSE)&lt;&gt;"",IF(VLOOKUP(A58,Ergebnis_je_Aktie_verwässert!A3:AK68,12,FALSE)&lt;&gt;"",IF(VLOOKUP(A58,Ergebnis_je_Aktie_verwässert!A3:AK68,12,FALSE)&lt;=0,9.99999,VLOOKUP(A58,Dividende_je_Aktie!A3:AM68,12,FALSE)/VLOOKUP(A58,Ergebnis_je_Aktie_verwässert!A3:AK68,12,FALSE)),""),"")</f>
        <v>0.46296296296296291</v>
      </c>
      <c r="M58" s="5">
        <f>IF(VLOOKUP(A58,Dividende_je_Aktie!A3:AM68,13,FALSE)&lt;&gt;"",IF(VLOOKUP(A58,Ergebnis_je_Aktie_verwässert!A3:AK68,13,FALSE)&lt;&gt;"",IF(VLOOKUP(A58,Ergebnis_je_Aktie_verwässert!A3:AK68,13,FALSE)&lt;=0,9.99999,VLOOKUP(A58,Dividende_je_Aktie!A3:AM68,13,FALSE)/VLOOKUP(A58,Ergebnis_je_Aktie_verwässert!A3:AK68,13,FALSE)),""),"")</f>
        <v>0.44887780548628431</v>
      </c>
      <c r="N58" s="5">
        <f>IF(VLOOKUP(A58,Dividende_je_Aktie!A3:AM68,14,FALSE)&lt;&gt;"",IF(VLOOKUP(A58,Ergebnis_je_Aktie_verwässert!A3:AK68,14,FALSE)&lt;&gt;"",IF(VLOOKUP(A58,Ergebnis_je_Aktie_verwässert!A3:AK68,14,FALSE)&lt;=0,9.99999,VLOOKUP(A58,Dividende_je_Aktie!A3:AM68,14,FALSE)/VLOOKUP(A58,Ergebnis_je_Aktie_verwässert!A3:AK68,14,FALSE)),""),"")</f>
        <v>0.43859649122807021</v>
      </c>
      <c r="O58" s="5">
        <f>IF(VLOOKUP(A58,Dividende_je_Aktie!A3:AM68,15,FALSE)&lt;&gt;"",IF(VLOOKUP(A58,Ergebnis_je_Aktie_verwässert!A3:AK68,15,FALSE)&lt;&gt;"",IF(VLOOKUP(A58,Ergebnis_je_Aktie_verwässert!A3:AK68,15,FALSE)&lt;=0,9.99999,VLOOKUP(A58,Dividende_je_Aktie!A3:AM68,15,FALSE)/VLOOKUP(A58,Ergebnis_je_Aktie_verwässert!A3:AK68,15,FALSE)),""),"")</f>
        <v>0.41260744985673348</v>
      </c>
      <c r="P58" s="5">
        <f>IF(VLOOKUP(A58,Dividende_je_Aktie!A3:AM68,16,FALSE)&lt;&gt;"",IF(VLOOKUP(A58,Ergebnis_je_Aktie_verwässert!A3:AK68,16,FALSE)&lt;&gt;"",IF(VLOOKUP(A58,Ergebnis_je_Aktie_verwässert!A3:AK68,16,FALSE)&lt;=0,9.99999,VLOOKUP(A58,Dividende_je_Aktie!A3:AM68,16,FALSE)/VLOOKUP(A58,Ergebnis_je_Aktie_verwässert!A3:AK68,16,FALSE)),""),"")</f>
        <v>0.4107142857142857</v>
      </c>
      <c r="Q58" s="5">
        <f>IF(VLOOKUP(A58,Dividende_je_Aktie!A3:AM68,17,FALSE)&lt;&gt;"",IF(VLOOKUP(A58,Ergebnis_je_Aktie_verwässert!A3:AK68,17,FALSE)&lt;&gt;"",IF(VLOOKUP(A58,Ergebnis_je_Aktie_verwässert!A3:AK68,17,FALSE)&lt;=0,9.99999,VLOOKUP(A58,Dividende_je_Aktie!A3:AM68,17,FALSE)/VLOOKUP(A58,Ergebnis_je_Aktie_verwässert!A3:AK68,17,FALSE)),""),"")</f>
        <v>0.39597315436241609</v>
      </c>
      <c r="R58" s="5">
        <f>IF(VLOOKUP(A58,Dividende_je_Aktie!A3:AM68,18,FALSE)&lt;&gt;"",IF(VLOOKUP(A58,Ergebnis_je_Aktie_verwässert!A3:AK68,18,FALSE)&lt;&gt;"",IF(VLOOKUP(A58,Ergebnis_je_Aktie_verwässert!A3:AK68,18,FALSE)&lt;=0,9.99999,VLOOKUP(A58,Dividende_je_Aktie!A3:AM68,18,FALSE)/VLOOKUP(A58,Ergebnis_je_Aktie_verwässert!A3:AK68,18,FALSE)),""),"")</f>
        <v>0.38461538461538458</v>
      </c>
      <c r="S58" s="10">
        <f t="shared" si="5"/>
        <v>0.45591883292529078</v>
      </c>
      <c r="T58" s="4">
        <f t="shared" ca="1" si="6"/>
        <v>0</v>
      </c>
      <c r="U58" s="4">
        <f t="shared" ca="1" si="7"/>
        <v>73</v>
      </c>
      <c r="V58" s="4">
        <f t="shared" ca="1" si="8"/>
        <v>287</v>
      </c>
      <c r="W58" s="10">
        <f t="shared" ca="1" si="9"/>
        <v>0.49421785718271505</v>
      </c>
      <c r="X58" s="5">
        <f t="shared" ca="1" si="10"/>
        <v>8.4004040832636795E-2</v>
      </c>
    </row>
    <row r="59" spans="1:24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5">
        <f>IF(VLOOKUP(A59,Dividende_je_Aktie!A3:AM68,6,FALSE)&lt;&gt;"",IF(VLOOKUP(A59,Ergebnis_je_Aktie_verwässert!A3:AK68,6,FALSE)&lt;&gt;"",IF(VLOOKUP(A59,Ergebnis_je_Aktie_verwässert!A3:AK68,6,FALSE)&lt;=0,9.99999,VLOOKUP(A59,Dividende_je_Aktie!A3:AM68,6,FALSE)/VLOOKUP(A59,Ergebnis_je_Aktie_verwässert!A3:AK68,6,FALSE)),""),"")</f>
        <v>0.69620253164556956</v>
      </c>
      <c r="G59" s="5">
        <f>IF(VLOOKUP(A59,Dividende_je_Aktie!A3:AM68,7,FALSE)&lt;&gt;"",IF(VLOOKUP(A59,Ergebnis_je_Aktie_verwässert!A3:AK68,7,FALSE)&lt;&gt;"",IF(VLOOKUP(A59,Ergebnis_je_Aktie_verwässert!A3:AK68,7,FALSE)&lt;=0,9.99999,VLOOKUP(A59,Dividende_je_Aktie!A3:AM68,7,FALSE)/VLOOKUP(A59,Ergebnis_je_Aktie_verwässert!A3:AK68,7,FALSE)),""),"")</f>
        <v>0.66244725738396626</v>
      </c>
      <c r="H59" s="5">
        <f>IF(VLOOKUP(A59,Dividende_je_Aktie!A3:AM68,8,FALSE)&lt;&gt;"",IF(VLOOKUP(A59,Ergebnis_je_Aktie_verwässert!A3:AK68,8,FALSE)&lt;&gt;"",IF(VLOOKUP(A59,Ergebnis_je_Aktie_verwässert!A3:AK68,8,FALSE)&lt;=0,9.99999,VLOOKUP(A59,Dividende_je_Aktie!A3:AM68,8,FALSE)/VLOOKUP(A59,Ergebnis_je_Aktie_verwässert!A3:AK68,8,FALSE)),""),"")</f>
        <v>0.68018018018018012</v>
      </c>
      <c r="I59" s="5">
        <f>IF(VLOOKUP(A59,Dividende_je_Aktie!A3:AM68,9,FALSE)&lt;&gt;"",IF(VLOOKUP(A59,Ergebnis_je_Aktie_verwässert!A3:AK68,9,FALSE)&lt;&gt;"",IF(VLOOKUP(A59,Ergebnis_je_Aktie_verwässert!A3:AK68,9,FALSE)&lt;=0,9.99999,VLOOKUP(A59,Dividende_je_Aktie!A3:AM68,9,FALSE)/VLOOKUP(A59,Ergebnis_je_Aktie_verwässert!A3:AK68,9,FALSE)),""),"")</f>
        <v>0.84848484848484851</v>
      </c>
      <c r="J59" s="5">
        <f>IF(VLOOKUP(A59,Dividende_je_Aktie!A3:AM68,10,FALSE)&lt;&gt;"",IF(VLOOKUP(A59,Ergebnis_je_Aktie_verwässert!A3:AK68,10,FALSE)&lt;&gt;"",IF(VLOOKUP(A59,Ergebnis_je_Aktie_verwässert!A3:AK68,10,FALSE)&lt;=0,9.99999,VLOOKUP(A59,Dividende_je_Aktie!A3:AM68,10,FALSE)/VLOOKUP(A59,Ergebnis_je_Aktie_verwässert!A3:AK68,10,FALSE)),""),"")</f>
        <v>0.99640287769784175</v>
      </c>
      <c r="K59" s="5">
        <f>IF(VLOOKUP(A59,Dividende_je_Aktie!A3:AM68,11,FALSE)&lt;&gt;"",IF(VLOOKUP(A59,Ergebnis_je_Aktie_verwässert!A3:AK68,11,FALSE)&lt;&gt;"",IF(VLOOKUP(A59,Ergebnis_je_Aktie_verwässert!A3:AK68,11,FALSE)&lt;=0,9.99999,VLOOKUP(A59,Dividende_je_Aktie!A3:AM68,11,FALSE)/VLOOKUP(A59,Ergebnis_je_Aktie_verwässert!A3:AK68,11,FALSE)),""),"")</f>
        <v>0.70855614973262027</v>
      </c>
      <c r="L59" s="5">
        <f>IF(VLOOKUP(A59,Dividende_je_Aktie!A3:AM68,12,FALSE)&lt;&gt;"",IF(VLOOKUP(A59,Ergebnis_je_Aktie_verwässert!A3:AK68,12,FALSE)&lt;&gt;"",IF(VLOOKUP(A59,Ergebnis_je_Aktie_verwässert!A3:AK68,12,FALSE)&lt;=0,9.99999,VLOOKUP(A59,Dividende_je_Aktie!A3:AM68,12,FALSE)/VLOOKUP(A59,Ergebnis_je_Aktie_verwässert!A3:AK68,12,FALSE)),""),"")</f>
        <v>0.58275058275058278</v>
      </c>
      <c r="M59" s="5">
        <f>IF(VLOOKUP(A59,Dividende_je_Aktie!A3:AM68,13,FALSE)&lt;&gt;"",IF(VLOOKUP(A59,Ergebnis_je_Aktie_verwässert!A3:AK68,13,FALSE)&lt;&gt;"",IF(VLOOKUP(A59,Ergebnis_je_Aktie_verwässert!A3:AK68,13,FALSE)&lt;=0,9.99999,VLOOKUP(A59,Dividende_je_Aktie!A3:AM68,13,FALSE)/VLOOKUP(A59,Ergebnis_je_Aktie_verwässert!A3:AK68,13,FALSE)),""),"")</f>
        <v>0.57416267942583732</v>
      </c>
      <c r="N59" s="5">
        <f>IF(VLOOKUP(A59,Dividende_je_Aktie!A3:AM68,14,FALSE)&lt;&gt;"",IF(VLOOKUP(A59,Ergebnis_je_Aktie_verwässert!A3:AK68,14,FALSE)&lt;&gt;"",IF(VLOOKUP(A59,Ergebnis_je_Aktie_verwässert!A3:AK68,14,FALSE)&lt;=0,9.99999,VLOOKUP(A59,Dividende_je_Aktie!A3:AM68,14,FALSE)/VLOOKUP(A59,Ergebnis_je_Aktie_verwässert!A3:AK68,14,FALSE)),""),"")</f>
        <v>0.54590570719602982</v>
      </c>
      <c r="O59" s="5">
        <f>IF(VLOOKUP(A59,Dividende_je_Aktie!A3:AM68,15,FALSE)&lt;&gt;"",IF(VLOOKUP(A59,Ergebnis_je_Aktie_verwässert!A3:AK68,15,FALSE)&lt;&gt;"",IF(VLOOKUP(A59,Ergebnis_je_Aktie_verwässert!A3:AK68,15,FALSE)&lt;=0,9.99999,VLOOKUP(A59,Dividende_je_Aktie!A3:AM68,15,FALSE)/VLOOKUP(A59,Ergebnis_je_Aktie_verwässert!A3:AK68,15,FALSE)),""),"")</f>
        <v>0.70408163265306123</v>
      </c>
      <c r="P59" s="5">
        <f>IF(VLOOKUP(A59,Dividende_je_Aktie!A3:AM68,16,FALSE)&lt;&gt;"",IF(VLOOKUP(A59,Ergebnis_je_Aktie_verwässert!A3:AK68,16,FALSE)&lt;&gt;"",IF(VLOOKUP(A59,Ergebnis_je_Aktie_verwässert!A3:AK68,16,FALSE)&lt;=0,9.99999,VLOOKUP(A59,Dividende_je_Aktie!A3:AM68,16,FALSE)/VLOOKUP(A59,Ergebnis_je_Aktie_verwässert!A3:AK68,16,FALSE)),""),"")</f>
        <v>0.44987146529562982</v>
      </c>
      <c r="Q59" s="5">
        <f>IF(VLOOKUP(A59,Dividende_je_Aktie!A3:AM68,17,FALSE)&lt;&gt;"",IF(VLOOKUP(A59,Ergebnis_je_Aktie_verwässert!A3:AK68,17,FALSE)&lt;&gt;"",IF(VLOOKUP(A59,Ergebnis_je_Aktie_verwässert!A3:AK68,17,FALSE)&lt;=0,9.99999,VLOOKUP(A59,Dividende_je_Aktie!A3:AM68,17,FALSE)/VLOOKUP(A59,Ergebnis_je_Aktie_verwässert!A3:AK68,17,FALSE)),""),"")</f>
        <v>0.51525423728813557</v>
      </c>
      <c r="R59" s="5">
        <f>IF(VLOOKUP(A59,Dividende_je_Aktie!A3:AM68,18,FALSE)&lt;&gt;"",IF(VLOOKUP(A59,Ergebnis_je_Aktie_verwässert!A3:AK68,18,FALSE)&lt;&gt;"",IF(VLOOKUP(A59,Ergebnis_je_Aktie_verwässert!A3:AK68,18,FALSE)&lt;=0,9.99999,VLOOKUP(A59,Dividende_je_Aktie!A3:AM68,18,FALSE)/VLOOKUP(A59,Ergebnis_je_Aktie_verwässert!A3:AK68,18,FALSE)),""),"")</f>
        <v>0.7142857142857143</v>
      </c>
      <c r="S59" s="10">
        <f t="shared" si="5"/>
        <v>0.66758352800153975</v>
      </c>
      <c r="T59" s="4">
        <f t="shared" ca="1" si="6"/>
        <v>0</v>
      </c>
      <c r="U59" s="4">
        <f t="shared" ca="1" si="7"/>
        <v>73</v>
      </c>
      <c r="V59" s="4">
        <f t="shared" ca="1" si="8"/>
        <v>287</v>
      </c>
      <c r="W59" s="10">
        <f t="shared" ca="1" si="9"/>
        <v>0.67658433750205893</v>
      </c>
      <c r="X59" s="5">
        <f t="shared" ca="1" si="10"/>
        <v>1.3482671640302035E-2</v>
      </c>
    </row>
    <row r="60" spans="1:24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5">
        <f>IF(VLOOKUP(A60,Dividende_je_Aktie!A3:AM68,6,FALSE)&lt;&gt;"",IF(VLOOKUP(A60,Ergebnis_je_Aktie_verwässert!A3:AK68,6,FALSE)&lt;&gt;"",IF(VLOOKUP(A60,Ergebnis_je_Aktie_verwässert!A3:AK68,6,FALSE)&lt;=0,9.99999,VLOOKUP(A60,Dividende_je_Aktie!A3:AM68,6,FALSE)/VLOOKUP(A60,Ergebnis_je_Aktie_verwässert!A3:AK68,6,FALSE)),""),"")</f>
        <v>0.57289719626168223</v>
      </c>
      <c r="G60" s="5">
        <f>IF(VLOOKUP(A60,Dividende_je_Aktie!A3:AM68,7,FALSE)&lt;&gt;"",IF(VLOOKUP(A60,Ergebnis_je_Aktie_verwässert!A3:AK68,7,FALSE)&lt;&gt;"",IF(VLOOKUP(A60,Ergebnis_je_Aktie_verwässert!A3:AK68,7,FALSE)&lt;=0,9.99999,VLOOKUP(A60,Dividende_je_Aktie!A3:AM68,7,FALSE)/VLOOKUP(A60,Ergebnis_je_Aktie_verwässert!A3:AK68,7,FALSE)),""),"")</f>
        <v>0.58032128514056225</v>
      </c>
      <c r="H60" s="5">
        <f>IF(VLOOKUP(A60,Dividende_je_Aktie!A3:AM68,8,FALSE)&lt;&gt;"",IF(VLOOKUP(A60,Ergebnis_je_Aktie_verwässert!A3:AK68,8,FALSE)&lt;&gt;"",IF(VLOOKUP(A60,Ergebnis_je_Aktie_verwässert!A3:AK68,8,FALSE)&lt;=0,9.99999,VLOOKUP(A60,Dividende_je_Aktie!A3:AM68,8,FALSE)/VLOOKUP(A60,Ergebnis_je_Aktie_verwässert!A3:AK68,8,FALSE)),""),"")</f>
        <v>0.60810810810810811</v>
      </c>
      <c r="I60" s="5">
        <f>IF(VLOOKUP(A60,Dividende_je_Aktie!A3:AM68,9,FALSE)&lt;&gt;"",IF(VLOOKUP(A60,Ergebnis_je_Aktie_verwässert!A3:AK68,9,FALSE)&lt;&gt;"",IF(VLOOKUP(A60,Ergebnis_je_Aktie_verwässert!A3:AK68,9,FALSE)&lt;=0,9.99999,VLOOKUP(A60,Dividende_je_Aktie!A3:AM68,9,FALSE)/VLOOKUP(A60,Ergebnis_je_Aktie_verwässert!A3:AK68,9,FALSE)),""),"")</f>
        <v>0.58230683090705493</v>
      </c>
      <c r="J60" s="5">
        <f>IF(VLOOKUP(A60,Dividende_je_Aktie!A3:AM68,10,FALSE)&lt;&gt;"",IF(VLOOKUP(A60,Ergebnis_je_Aktie_verwässert!A3:AK68,10,FALSE)&lt;&gt;"",IF(VLOOKUP(A60,Ergebnis_je_Aktie_verwässert!A3:AK68,10,FALSE)&lt;=0,9.99999,VLOOKUP(A60,Dividende_je_Aktie!A3:AM68,10,FALSE)/VLOOKUP(A60,Ergebnis_je_Aktie_verwässert!A3:AK68,10,FALSE)),""),"")</f>
        <v>0.47474747474747475</v>
      </c>
      <c r="K60" s="5">
        <f>IF(VLOOKUP(A60,Dividende_je_Aktie!A3:AM68,11,FALSE)&lt;&gt;"",IF(VLOOKUP(A60,Ergebnis_je_Aktie_verwässert!A3:AK68,11,FALSE)&lt;&gt;"",IF(VLOOKUP(A60,Ergebnis_je_Aktie_verwässert!A3:AK68,11,FALSE)&lt;=0,9.99999,VLOOKUP(A60,Dividende_je_Aktie!A3:AM68,11,FALSE)/VLOOKUP(A60,Ergebnis_je_Aktie_verwässert!A3:AK68,11,FALSE)),""),"")</f>
        <v>0.5714285714285714</v>
      </c>
      <c r="L60" s="5">
        <f>IF(VLOOKUP(A60,Dividende_je_Aktie!A3:AM68,12,FALSE)&lt;&gt;"",IF(VLOOKUP(A60,Ergebnis_je_Aktie_verwässert!A3:AK68,12,FALSE)&lt;&gt;"",IF(VLOOKUP(A60,Ergebnis_je_Aktie_verwässert!A3:AK68,12,FALSE)&lt;=0,9.99999,VLOOKUP(A60,Dividende_je_Aktie!A3:AM68,12,FALSE)/VLOOKUP(A60,Ergebnis_je_Aktie_verwässert!A3:AK68,12,FALSE)),""),"")</f>
        <v>0.52631578947368418</v>
      </c>
      <c r="M60" s="5">
        <f>IF(VLOOKUP(A60,Dividende_je_Aktie!A3:AM68,13,FALSE)&lt;&gt;"",IF(VLOOKUP(A60,Ergebnis_je_Aktie_verwässert!A3:AK68,13,FALSE)&lt;&gt;"",IF(VLOOKUP(A60,Ergebnis_je_Aktie_verwässert!A3:AK68,13,FALSE)&lt;=0,9.99999,VLOOKUP(A60,Dividende_je_Aktie!A3:AM68,13,FALSE)/VLOOKUP(A60,Ergebnis_je_Aktie_verwässert!A3:AK68,13,FALSE)),""),"")</f>
        <v>0.57575757575757569</v>
      </c>
      <c r="N60" s="5">
        <f>IF(VLOOKUP(A60,Dividende_je_Aktie!A3:AM68,14,FALSE)&lt;&gt;"",IF(VLOOKUP(A60,Ergebnis_je_Aktie_verwässert!A3:AK68,14,FALSE)&lt;&gt;"",IF(VLOOKUP(A60,Ergebnis_je_Aktie_verwässert!A3:AK68,14,FALSE)&lt;=0,9.99999,VLOOKUP(A60,Dividende_je_Aktie!A3:AM68,14,FALSE)/VLOOKUP(A60,Ergebnis_je_Aktie_verwässert!A3:AK68,14,FALSE)),""),"")</f>
        <v>0.55384615384615377</v>
      </c>
      <c r="O60" s="5">
        <f>IF(VLOOKUP(A60,Dividende_je_Aktie!A3:AM68,15,FALSE)&lt;&gt;"",IF(VLOOKUP(A60,Ergebnis_je_Aktie_verwässert!A3:AK68,15,FALSE)&lt;&gt;"",IF(VLOOKUP(A60,Ergebnis_je_Aktie_verwässert!A3:AK68,15,FALSE)&lt;=0,9.99999,VLOOKUP(A60,Dividende_je_Aktie!A3:AM68,15,FALSE)/VLOOKUP(A60,Ergebnis_je_Aktie_verwässert!A3:AK68,15,FALSE)),""),"")</f>
        <v>0.57627118644067798</v>
      </c>
      <c r="P60" s="5">
        <f>IF(VLOOKUP(A60,Dividende_je_Aktie!A3:AM68,16,FALSE)&lt;&gt;"",IF(VLOOKUP(A60,Ergebnis_je_Aktie_verwässert!A3:AK68,16,FALSE)&lt;&gt;"",IF(VLOOKUP(A60,Ergebnis_je_Aktie_verwässert!A3:AK68,16,FALSE)&lt;=0,9.99999,VLOOKUP(A60,Dividende_je_Aktie!A3:AM68,16,FALSE)/VLOOKUP(A60,Ergebnis_je_Aktie_verwässert!A3:AK68,16,FALSE)),""),"")</f>
        <v>0.6</v>
      </c>
      <c r="Q60" s="5">
        <f>IF(VLOOKUP(A60,Dividende_je_Aktie!A3:AM68,17,FALSE)&lt;&gt;"",IF(VLOOKUP(A60,Ergebnis_je_Aktie_verwässert!A3:AK68,17,FALSE)&lt;&gt;"",IF(VLOOKUP(A60,Ergebnis_je_Aktie_verwässert!A3:AK68,17,FALSE)&lt;=0,9.99999,VLOOKUP(A60,Dividende_je_Aktie!A3:AM68,17,FALSE)/VLOOKUP(A60,Ergebnis_je_Aktie_verwässert!A3:AK68,17,FALSE)),""),"")</f>
        <v>0.46268656716417905</v>
      </c>
      <c r="R60" s="5">
        <f>IF(VLOOKUP(A60,Dividende_je_Aktie!A3:AM68,18,FALSE)&lt;&gt;"",IF(VLOOKUP(A60,Ergebnis_je_Aktie_verwässert!A3:AK68,18,FALSE)&lt;&gt;"",IF(VLOOKUP(A60,Ergebnis_je_Aktie_verwässert!A3:AK68,18,FALSE)&lt;=0,9.99999,VLOOKUP(A60,Dividende_je_Aktie!A3:AM68,18,FALSE)/VLOOKUP(A60,Ergebnis_je_Aktie_verwässert!A3:AK68,18,FALSE)),""),"")</f>
        <v>0.65217391304347816</v>
      </c>
      <c r="S60" s="10">
        <f t="shared" si="5"/>
        <v>0.56437389633224644</v>
      </c>
      <c r="T60" s="4">
        <f t="shared" ca="1" si="6"/>
        <v>0</v>
      </c>
      <c r="U60" s="4">
        <f t="shared" ca="1" si="7"/>
        <v>254</v>
      </c>
      <c r="V60" s="4">
        <f t="shared" ca="1" si="8"/>
        <v>106</v>
      </c>
      <c r="W60" s="10">
        <f t="shared" ca="1" si="9"/>
        <v>0.58850296079211739</v>
      </c>
      <c r="X60" s="5">
        <f t="shared" ca="1" si="10"/>
        <v>4.2753686193994778E-2</v>
      </c>
    </row>
    <row r="61" spans="1:24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5">
        <f>IF(VLOOKUP(A61,Dividende_je_Aktie!A3:AM68,6,FALSE)&lt;&gt;"",IF(VLOOKUP(A61,Ergebnis_je_Aktie_verwässert!A3:AK68,6,FALSE)&lt;&gt;"",IF(VLOOKUP(A61,Ergebnis_je_Aktie_verwässert!A3:AK68,6,FALSE)&lt;=0,9.99999,VLOOKUP(A61,Dividende_je_Aktie!A3:AM68,6,FALSE)/VLOOKUP(A61,Ergebnis_je_Aktie_verwässert!A3:AK68,6,FALSE)),""),"")</f>
        <v>0.49407114624505932</v>
      </c>
      <c r="G61" s="5">
        <f>IF(VLOOKUP(A61,Dividende_je_Aktie!A3:AM68,7,FALSE)&lt;&gt;"",IF(VLOOKUP(A61,Ergebnis_je_Aktie_verwässert!A3:AK68,7,FALSE)&lt;&gt;"",IF(VLOOKUP(A61,Ergebnis_je_Aktie_verwässert!A3:AK68,7,FALSE)&lt;=0,9.99999,VLOOKUP(A61,Dividende_je_Aktie!A3:AM68,7,FALSE)/VLOOKUP(A61,Ergebnis_je_Aktie_verwässert!A3:AK68,7,FALSE)),""),"")</f>
        <v>0.49785407725321884</v>
      </c>
      <c r="H61" s="5">
        <f>IF(VLOOKUP(A61,Dividende_je_Aktie!A3:AM68,8,FALSE)&lt;&gt;"",IF(VLOOKUP(A61,Ergebnis_je_Aktie_verwässert!A3:AK68,8,FALSE)&lt;&gt;"",IF(VLOOKUP(A61,Ergebnis_je_Aktie_verwässert!A3:AK68,8,FALSE)&lt;=0,9.99999,VLOOKUP(A61,Dividende_je_Aktie!A3:AM68,8,FALSE)/VLOOKUP(A61,Ergebnis_je_Aktie_verwässert!A3:AK68,8,FALSE)),""),"")</f>
        <v>0.47413793103448282</v>
      </c>
      <c r="I61" s="5">
        <f>IF(VLOOKUP(A61,Dividende_je_Aktie!A3:AM68,9,FALSE)&lt;&gt;"",IF(VLOOKUP(A61,Ergebnis_je_Aktie_verwässert!A3:AK68,9,FALSE)&lt;&gt;"",IF(VLOOKUP(A61,Ergebnis_je_Aktie_verwässert!A3:AK68,9,FALSE)&lt;=0,9.99999,VLOOKUP(A61,Dividende_je_Aktie!A3:AM68,9,FALSE)/VLOOKUP(A61,Ergebnis_je_Aktie_verwässert!A3:AK68,9,FALSE)),""),"")</f>
        <v>0.50239234449760772</v>
      </c>
      <c r="J61" s="5">
        <f>IF(VLOOKUP(A61,Dividende_je_Aktie!A3:AM68,10,FALSE)&lt;&gt;"",IF(VLOOKUP(A61,Ergebnis_je_Aktie_verwässert!A3:AK68,10,FALSE)&lt;&gt;"",IF(VLOOKUP(A61,Ergebnis_je_Aktie_verwässert!A3:AK68,10,FALSE)&lt;=0,9.99999,VLOOKUP(A61,Dividende_je_Aktie!A3:AM68,10,FALSE)/VLOOKUP(A61,Ergebnis_je_Aktie_verwässert!A3:AK68,10,FALSE)),""),"")</f>
        <v>0.49509803921568629</v>
      </c>
      <c r="K61" s="5">
        <f>IF(VLOOKUP(A61,Dividende_je_Aktie!A3:AM68,11,FALSE)&lt;&gt;"",IF(VLOOKUP(A61,Ergebnis_je_Aktie_verwässert!A3:AK68,11,FALSE)&lt;&gt;"",IF(VLOOKUP(A61,Ergebnis_je_Aktie_verwässert!A3:AK68,11,FALSE)&lt;=0,9.99999,VLOOKUP(A61,Dividende_je_Aktie!A3:AM68,11,FALSE)/VLOOKUP(A61,Ergebnis_je_Aktie_verwässert!A3:AK68,11,FALSE)),""),"")</f>
        <v>0.34469696969696967</v>
      </c>
      <c r="L61" s="5">
        <f>IF(VLOOKUP(A61,Dividende_je_Aktie!A3:AM68,12,FALSE)&lt;&gt;"",IF(VLOOKUP(A61,Ergebnis_je_Aktie_verwässert!A3:AK68,12,FALSE)&lt;&gt;"",IF(VLOOKUP(A61,Ergebnis_je_Aktie_verwässert!A3:AK68,12,FALSE)&lt;=0,9.99999,VLOOKUP(A61,Dividende_je_Aktie!A3:AM68,12,FALSE)/VLOOKUP(A61,Ergebnis_je_Aktie_verwässert!A3:AK68,12,FALSE)),""),"")</f>
        <v>0.53289473684210531</v>
      </c>
      <c r="M61" s="5">
        <f>IF(VLOOKUP(A61,Dividende_je_Aktie!A3:AM68,13,FALSE)&lt;&gt;"",IF(VLOOKUP(A61,Ergebnis_je_Aktie_verwässert!A3:AK68,13,FALSE)&lt;&gt;"",IF(VLOOKUP(A61,Ergebnis_je_Aktie_verwässert!A3:AK68,13,FALSE)&lt;=0,9.99999,VLOOKUP(A61,Dividende_je_Aktie!A3:AM68,13,FALSE)/VLOOKUP(A61,Ergebnis_je_Aktie_verwässert!A3:AK68,13,FALSE)),""),"")</f>
        <v>0.55737704918032793</v>
      </c>
      <c r="N61" s="5">
        <f>IF(VLOOKUP(A61,Dividende_je_Aktie!A3:AM68,14,FALSE)&lt;&gt;"",IF(VLOOKUP(A61,Ergebnis_je_Aktie_verwässert!A3:AK68,14,FALSE)&lt;&gt;"",IF(VLOOKUP(A61,Ergebnis_je_Aktie_verwässert!A3:AK68,14,FALSE)&lt;=0,9.99999,VLOOKUP(A61,Dividende_je_Aktie!A3:AM68,14,FALSE)/VLOOKUP(A61,Ergebnis_je_Aktie_verwässert!A3:AK68,14,FALSE)),""),"")</f>
        <v>0.46399999999999997</v>
      </c>
      <c r="O61" s="5">
        <f>IF(VLOOKUP(A61,Dividende_je_Aktie!A3:AM68,15,FALSE)&lt;&gt;"",IF(VLOOKUP(A61,Ergebnis_je_Aktie_verwässert!A3:AK68,15,FALSE)&lt;&gt;"",IF(VLOOKUP(A61,Ergebnis_je_Aktie_verwässert!A3:AK68,15,FALSE)&lt;=0,9.99999,VLOOKUP(A61,Dividende_je_Aktie!A3:AM68,15,FALSE)/VLOOKUP(A61,Ergebnis_je_Aktie_verwässert!A3:AK68,15,FALSE)),""),"")</f>
        <v>0.43283582089552231</v>
      </c>
      <c r="P61" s="5">
        <f>IF(VLOOKUP(A61,Dividende_je_Aktie!A3:AM68,16,FALSE)&lt;&gt;"",IF(VLOOKUP(A61,Ergebnis_je_Aktie_verwässert!A3:AK68,16,FALSE)&lt;&gt;"",IF(VLOOKUP(A61,Ergebnis_je_Aktie_verwässert!A3:AK68,16,FALSE)&lt;=0,9.99999,VLOOKUP(A61,Dividende_je_Aktie!A3:AM68,16,FALSE)/VLOOKUP(A61,Ergebnis_je_Aktie_verwässert!A3:AK68,16,FALSE)),""),"")</f>
        <v>0.45454545454545453</v>
      </c>
      <c r="Q61" s="5" t="str">
        <f>IF(VLOOKUP(A61,Dividende_je_Aktie!A3:AM68,17,FALSE)&lt;&gt;"",IF(VLOOKUP(A61,Ergebnis_je_Aktie_verwässert!A3:AK68,17,FALSE)&lt;&gt;"",IF(VLOOKUP(A61,Ergebnis_je_Aktie_verwässert!A3:AK68,17,FALSE)&lt;=0,9.99999,VLOOKUP(A61,Dividende_je_Aktie!A3:AM68,17,FALSE)/VLOOKUP(A61,Ergebnis_je_Aktie_verwässert!A3:AK68,17,FALSE)),""),"")</f>
        <v/>
      </c>
      <c r="R61" s="5" t="str">
        <f>IF(VLOOKUP(A61,Dividende_je_Aktie!A3:AM68,18,FALSE)&lt;&gt;"",IF(VLOOKUP(A61,Ergebnis_je_Aktie_verwässert!A3:AK68,18,FALSE)&lt;&gt;"",IF(VLOOKUP(A61,Ergebnis_je_Aktie_verwässert!A3:AK68,18,FALSE)&lt;=0,9.99999,VLOOKUP(A61,Dividende_je_Aktie!A3:AM68,18,FALSE)/VLOOKUP(A61,Ergebnis_je_Aktie_verwässert!A3:AK68,18,FALSE)),""),"")</f>
        <v/>
      </c>
      <c r="S61" s="10">
        <f t="shared" si="5"/>
        <v>0.4772639608551304</v>
      </c>
      <c r="T61" s="4">
        <f t="shared" ca="1" si="6"/>
        <v>0</v>
      </c>
      <c r="U61" s="4">
        <f t="shared" ca="1" si="7"/>
        <v>343</v>
      </c>
      <c r="V61" s="4">
        <f t="shared" ca="1" si="8"/>
        <v>17</v>
      </c>
      <c r="W61" s="10">
        <f t="shared" ca="1" si="9"/>
        <v>0.49673414812622302</v>
      </c>
      <c r="X61" s="5">
        <f t="shared" ca="1" si="10"/>
        <v>4.0795427411294938E-2</v>
      </c>
    </row>
    <row r="62" spans="1:24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5">
        <f>IF(VLOOKUP(A62,Dividende_je_Aktie!A3:AM68,6,FALSE)&lt;&gt;"",IF(VLOOKUP(A62,Ergebnis_je_Aktie_verwässert!A3:AK68,6,FALSE)&lt;&gt;"",IF(VLOOKUP(A62,Ergebnis_je_Aktie_verwässert!A3:AK68,6,FALSE)&lt;=0,9.99999,VLOOKUP(A62,Dividende_je_Aktie!A3:AM68,6,FALSE)/VLOOKUP(A62,Ergebnis_je_Aktie_verwässert!A3:AK68,6,FALSE)),""),"")</f>
        <v>0.99388753056234713</v>
      </c>
      <c r="G62" s="5">
        <f>IF(VLOOKUP(A62,Dividende_je_Aktie!A3:AM68,7,FALSE)&lt;&gt;"",IF(VLOOKUP(A62,Ergebnis_je_Aktie_verwässert!A3:AK68,7,FALSE)&lt;&gt;"",IF(VLOOKUP(A62,Ergebnis_je_Aktie_verwässert!A3:AK68,7,FALSE)&lt;=0,9.99999,VLOOKUP(A62,Dividende_je_Aktie!A3:AM68,7,FALSE)/VLOOKUP(A62,Ergebnis_je_Aktie_verwässert!A3:AK68,7,FALSE)),""),"")</f>
        <v>1.0995907230559345</v>
      </c>
      <c r="H62" s="5">
        <f>IF(VLOOKUP(A62,Dividende_je_Aktie!A3:AM68,8,FALSE)&lt;&gt;"",IF(VLOOKUP(A62,Ergebnis_je_Aktie_verwässert!A3:AK68,8,FALSE)&lt;&gt;"",IF(VLOOKUP(A62,Ergebnis_je_Aktie_verwässert!A3:AK68,8,FALSE)&lt;=0,9.99999,VLOOKUP(A62,Dividende_je_Aktie!A3:AM68,8,FALSE)/VLOOKUP(A62,Ergebnis_je_Aktie_verwässert!A3:AK68,8,FALSE)),""),"")</f>
        <v>1.0253807106598984</v>
      </c>
      <c r="I62" s="5">
        <f>IF(VLOOKUP(A62,Dividende_je_Aktie!A3:AM68,9,FALSE)&lt;&gt;"",IF(VLOOKUP(A62,Ergebnis_je_Aktie_verwässert!A3:AK68,9,FALSE)&lt;&gt;"",IF(VLOOKUP(A62,Ergebnis_je_Aktie_verwässert!A3:AK68,9,FALSE)&lt;=0,9.99999,VLOOKUP(A62,Dividende_je_Aktie!A3:AM68,9,FALSE)/VLOOKUP(A62,Ergebnis_je_Aktie_verwässert!A3:AK68,9,FALSE)),""),"")</f>
        <v>1.4035087719298247</v>
      </c>
      <c r="J62" s="5">
        <f>IF(VLOOKUP(A62,Dividende_je_Aktie!A3:AM68,10,FALSE)&lt;&gt;"",IF(VLOOKUP(A62,Ergebnis_je_Aktie_verwässert!A3:AK68,10,FALSE)&lt;&gt;"",IF(VLOOKUP(A62,Ergebnis_je_Aktie_verwässert!A3:AK68,10,FALSE)&lt;=0,9.99999,VLOOKUP(A62,Dividende_je_Aktie!A3:AM68,10,FALSE)/VLOOKUP(A62,Ergebnis_je_Aktie_verwässert!A3:AK68,10,FALSE)),""),"")</f>
        <v>0.70270270270270263</v>
      </c>
      <c r="K62" s="5">
        <f>IF(VLOOKUP(A62,Dividende_je_Aktie!A3:AM68,11,FALSE)&lt;&gt;"",IF(VLOOKUP(A62,Ergebnis_je_Aktie_verwässert!A3:AK68,11,FALSE)&lt;&gt;"",IF(VLOOKUP(A62,Ergebnis_je_Aktie_verwässert!A3:AK68,11,FALSE)&lt;=0,9.99999,VLOOKUP(A62,Dividende_je_Aktie!A3:AM68,11,FALSE)/VLOOKUP(A62,Ergebnis_je_Aktie_verwässert!A3:AK68,11,FALSE)),""),"")</f>
        <v>0.80434782608695643</v>
      </c>
      <c r="L62" s="5">
        <f>IF(VLOOKUP(A62,Dividende_je_Aktie!A3:AM68,12,FALSE)&lt;&gt;"",IF(VLOOKUP(A62,Ergebnis_je_Aktie_verwässert!A3:AK68,12,FALSE)&lt;&gt;"",IF(VLOOKUP(A62,Ergebnis_je_Aktie_verwässert!A3:AK68,12,FALSE)&lt;=0,9.99999,VLOOKUP(A62,Dividende_je_Aktie!A3:AM68,12,FALSE)/VLOOKUP(A62,Ergebnis_je_Aktie_verwässert!A3:AK68,12,FALSE)),""),"")</f>
        <v>0.67961165048543681</v>
      </c>
      <c r="M62" s="5">
        <f>IF(VLOOKUP(A62,Dividende_je_Aktie!A3:AM68,13,FALSE)&lt;&gt;"",IF(VLOOKUP(A62,Ergebnis_je_Aktie_verwässert!A3:AK68,13,FALSE)&lt;&gt;"",IF(VLOOKUP(A62,Ergebnis_je_Aktie_verwässert!A3:AK68,13,FALSE)&lt;=0,9.99999,VLOOKUP(A62,Dividende_je_Aktie!A3:AM68,13,FALSE)/VLOOKUP(A62,Ergebnis_je_Aktie_verwässert!A3:AK68,13,FALSE)),""),"")</f>
        <v>2.03125</v>
      </c>
      <c r="N62" s="5">
        <f>IF(VLOOKUP(A62,Dividende_je_Aktie!A3:AM68,14,FALSE)&lt;&gt;"",IF(VLOOKUP(A62,Ergebnis_je_Aktie_verwässert!A3:AK68,14,FALSE)&lt;&gt;"",IF(VLOOKUP(A62,Ergebnis_je_Aktie_verwässert!A3:AK68,14,FALSE)&lt;=0,9.99999,VLOOKUP(A62,Dividende_je_Aktie!A3:AM68,14,FALSE)/VLOOKUP(A62,Ergebnis_je_Aktie_verwässert!A3:AK68,14,FALSE)),""),"")</f>
        <v>0.56481481481481477</v>
      </c>
      <c r="O62" s="5">
        <f>IF(VLOOKUP(A62,Dividende_je_Aktie!A3:AM68,15,FALSE)&lt;&gt;"",IF(VLOOKUP(A62,Ergebnis_je_Aktie_verwässert!A3:AK68,15,FALSE)&lt;&gt;"",IF(VLOOKUP(A62,Ergebnis_je_Aktie_verwässert!A3:AK68,15,FALSE)&lt;=0,9.99999,VLOOKUP(A62,Dividende_je_Aktie!A3:AM68,15,FALSE)/VLOOKUP(A62,Ergebnis_je_Aktie_verwässert!A3:AK68,15,FALSE)),""),"")</f>
        <v>0.64772727272727271</v>
      </c>
      <c r="P62" s="5">
        <f>IF(VLOOKUP(A62,Dividende_je_Aktie!A3:AM68,16,FALSE)&lt;&gt;"",IF(VLOOKUP(A62,Ergebnis_je_Aktie_verwässert!A3:AK68,16,FALSE)&lt;&gt;"",IF(VLOOKUP(A62,Ergebnis_je_Aktie_verwässert!A3:AK68,16,FALSE)&lt;=0,9.99999,VLOOKUP(A62,Dividende_je_Aktie!A3:AM68,16,FALSE)/VLOOKUP(A62,Ergebnis_je_Aktie_verwässert!A3:AK68,16,FALSE)),""),"")</f>
        <v>0.56382978723404265</v>
      </c>
      <c r="Q62" s="5">
        <f>IF(VLOOKUP(A62,Dividende_je_Aktie!A3:AM68,17,FALSE)&lt;&gt;"",IF(VLOOKUP(A62,Ergebnis_je_Aktie_verwässert!A3:AK68,17,FALSE)&lt;&gt;"",IF(VLOOKUP(A62,Ergebnis_je_Aktie_verwässert!A3:AK68,17,FALSE)&lt;=0,9.99999,VLOOKUP(A62,Dividende_je_Aktie!A3:AM68,17,FALSE)/VLOOKUP(A62,Ergebnis_je_Aktie_verwässert!A3:AK68,17,FALSE)),""),"")</f>
        <v>0.50526315789473686</v>
      </c>
      <c r="R62" s="5">
        <f>IF(VLOOKUP(A62,Dividende_je_Aktie!A3:AM68,18,FALSE)&lt;&gt;"",IF(VLOOKUP(A62,Ergebnis_je_Aktie_verwässert!A3:AK68,18,FALSE)&lt;&gt;"",IF(VLOOKUP(A62,Ergebnis_je_Aktie_verwässert!A3:AK68,18,FALSE)&lt;=0,9.99999,VLOOKUP(A62,Dividende_je_Aktie!A3:AM68,18,FALSE)/VLOOKUP(A62,Ergebnis_je_Aktie_verwässert!A3:AK68,18,FALSE)),""),"")</f>
        <v>0.53658536585365857</v>
      </c>
      <c r="S62" s="10">
        <f t="shared" si="5"/>
        <v>0.88911540876981754</v>
      </c>
      <c r="T62" s="4">
        <f t="shared" ca="1" si="6"/>
        <v>0</v>
      </c>
      <c r="U62" s="4">
        <f t="shared" ca="1" si="7"/>
        <v>73</v>
      </c>
      <c r="V62" s="4">
        <f t="shared" ca="1" si="8"/>
        <v>287</v>
      </c>
      <c r="W62" s="10">
        <f t="shared" ca="1" si="9"/>
        <v>1.0404288520624279</v>
      </c>
      <c r="X62" s="5">
        <f t="shared" ca="1" si="10"/>
        <v>0.17018425482240596</v>
      </c>
    </row>
    <row r="63" spans="1:24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5">
        <f>IF(VLOOKUP(A63,Dividende_je_Aktie!A3:AM68,6,FALSE)&lt;&gt;"",IF(VLOOKUP(A63,Ergebnis_je_Aktie_verwässert!A3:AK68,6,FALSE)&lt;&gt;"",IF(VLOOKUP(A63,Ergebnis_je_Aktie_verwässert!A3:AK68,6,FALSE)&lt;=0,9.99999,VLOOKUP(A63,Dividende_je_Aktie!A3:AM68,6,FALSE)/VLOOKUP(A63,Ergebnis_je_Aktie_verwässert!A3:AK68,6,FALSE)),""),"")</f>
        <v>0.5253623188405796</v>
      </c>
      <c r="G63" s="5">
        <f>IF(VLOOKUP(A63,Dividende_je_Aktie!A3:AM68,7,FALSE)&lt;&gt;"",IF(VLOOKUP(A63,Ergebnis_je_Aktie_verwässert!A3:AK68,7,FALSE)&lt;&gt;"",IF(VLOOKUP(A63,Ergebnis_je_Aktie_verwässert!A3:AK68,7,FALSE)&lt;=0,9.99999,VLOOKUP(A63,Dividende_je_Aktie!A3:AM68,7,FALSE)/VLOOKUP(A63,Ergebnis_je_Aktie_verwässert!A3:AK68,7,FALSE)),""),"")</f>
        <v>0.52918287937743202</v>
      </c>
      <c r="H63" s="5">
        <f>IF(VLOOKUP(A63,Dividende_je_Aktie!A3:AM68,8,FALSE)&lt;&gt;"",IF(VLOOKUP(A63,Ergebnis_je_Aktie_verwässert!A3:AK68,8,FALSE)&lt;&gt;"",IF(VLOOKUP(A63,Ergebnis_je_Aktie_verwässert!A3:AK68,8,FALSE)&lt;=0,9.99999,VLOOKUP(A63,Dividende_je_Aktie!A3:AM68,8,FALSE)/VLOOKUP(A63,Ergebnis_je_Aktie_verwässert!A3:AK68,8,FALSE)),""),"")</f>
        <v>0.53112033195020747</v>
      </c>
      <c r="I63" s="5">
        <f>IF(VLOOKUP(A63,Dividende_je_Aktie!A3:AM68,9,FALSE)&lt;&gt;"",IF(VLOOKUP(A63,Ergebnis_je_Aktie_verwässert!A3:AK68,9,FALSE)&lt;&gt;"",IF(VLOOKUP(A63,Ergebnis_je_Aktie_verwässert!A3:AK68,9,FALSE)&lt;=0,9.99999,VLOOKUP(A63,Dividende_je_Aktie!A3:AM68,9,FALSE)/VLOOKUP(A63,Ergebnis_je_Aktie_verwässert!A3:AK68,9,FALSE)),""),"")</f>
        <v>0.30839002267573695</v>
      </c>
      <c r="J63" s="5">
        <f>IF(VLOOKUP(A63,Dividende_je_Aktie!A3:AM68,10,FALSE)&lt;&gt;"",IF(VLOOKUP(A63,Ergebnis_je_Aktie_verwässert!A3:AK68,10,FALSE)&lt;&gt;"",IF(VLOOKUP(A63,Ergebnis_je_Aktie_verwässert!A3:AK68,10,FALSE)&lt;=0,9.99999,VLOOKUP(A63,Dividende_je_Aktie!A3:AM68,10,FALSE)/VLOOKUP(A63,Ergebnis_je_Aktie_verwässert!A3:AK68,10,FALSE)),""),"")</f>
        <v>0.57322175732217573</v>
      </c>
      <c r="K63" s="5">
        <f>IF(VLOOKUP(A63,Dividende_je_Aktie!A3:AM68,11,FALSE)&lt;&gt;"",IF(VLOOKUP(A63,Ergebnis_je_Aktie_verwässert!A3:AK68,11,FALSE)&lt;&gt;"",IF(VLOOKUP(A63,Ergebnis_je_Aktie_verwässert!A3:AK68,11,FALSE)&lt;=0,9.99999,VLOOKUP(A63,Dividende_je_Aktie!A3:AM68,11,FALSE)/VLOOKUP(A63,Ergebnis_je_Aktie_verwässert!A3:AK68,11,FALSE)),""),"")</f>
        <v>0.53600000000000003</v>
      </c>
      <c r="L63" s="5">
        <f>IF(VLOOKUP(A63,Dividende_je_Aktie!A3:AM68,12,FALSE)&lt;&gt;"",IF(VLOOKUP(A63,Ergebnis_je_Aktie_verwässert!A3:AK68,12,FALSE)&lt;&gt;"",IF(VLOOKUP(A63,Ergebnis_je_Aktie_verwässert!A3:AK68,12,FALSE)&lt;=0,9.99999,VLOOKUP(A63,Dividende_je_Aktie!A3:AM68,12,FALSE)/VLOOKUP(A63,Ergebnis_je_Aktie_verwässert!A3:AK68,12,FALSE)),""),"")</f>
        <v>0.52742616033755274</v>
      </c>
      <c r="M63" s="5">
        <f>IF(VLOOKUP(A63,Dividende_je_Aktie!A3:AM68,13,FALSE)&lt;&gt;"",IF(VLOOKUP(A63,Ergebnis_je_Aktie_verwässert!A3:AK68,13,FALSE)&lt;&gt;"",IF(VLOOKUP(A63,Ergebnis_je_Aktie_verwässert!A3:AK68,13,FALSE)&lt;=0,9.99999,VLOOKUP(A63,Dividende_je_Aktie!A3:AM68,13,FALSE)/VLOOKUP(A63,Ergebnis_je_Aktie_verwässert!A3:AK68,13,FALSE)),""),"")</f>
        <v>0.53738317757009335</v>
      </c>
      <c r="N63" s="5">
        <f>IF(VLOOKUP(A63,Dividende_je_Aktie!A3:AM68,14,FALSE)&lt;&gt;"",IF(VLOOKUP(A63,Ergebnis_je_Aktie_verwässert!A3:AK68,14,FALSE)&lt;&gt;"",IF(VLOOKUP(A63,Ergebnis_je_Aktie_verwässert!A3:AK68,14,FALSE)&lt;=0,9.99999,VLOOKUP(A63,Dividende_je_Aktie!A3:AM68,14,FALSE)/VLOOKUP(A63,Ergebnis_je_Aktie_verwässert!A3:AK68,14,FALSE)),""),"")</f>
        <v>0.51282051282051289</v>
      </c>
      <c r="O63" s="5">
        <f>IF(VLOOKUP(A63,Dividende_je_Aktie!A3:AM68,15,FALSE)&lt;&gt;"",IF(VLOOKUP(A63,Ergebnis_je_Aktie_verwässert!A3:AK68,15,FALSE)&lt;&gt;"",IF(VLOOKUP(A63,Ergebnis_je_Aktie_verwässert!A3:AK68,15,FALSE)&lt;=0,9.99999,VLOOKUP(A63,Dividende_je_Aktie!A3:AM68,15,FALSE)/VLOOKUP(A63,Ergebnis_je_Aktie_verwässert!A3:AK68,15,FALSE)),""),"")</f>
        <v>0.39999999999999997</v>
      </c>
      <c r="P63" s="5">
        <f>IF(VLOOKUP(A63,Dividende_je_Aktie!A3:AM68,16,FALSE)&lt;&gt;"",IF(VLOOKUP(A63,Ergebnis_je_Aktie_verwässert!A3:AK68,16,FALSE)&lt;&gt;"",IF(VLOOKUP(A63,Ergebnis_je_Aktie_verwässert!A3:AK68,16,FALSE)&lt;=0,9.99999,VLOOKUP(A63,Dividende_je_Aktie!A3:AM68,16,FALSE)/VLOOKUP(A63,Ergebnis_je_Aktie_verwässert!A3:AK68,16,FALSE)),""),"")</f>
        <v>0.390625</v>
      </c>
      <c r="Q63" s="5" t="str">
        <f>IF(VLOOKUP(A63,Dividende_je_Aktie!A3:AM68,17,FALSE)&lt;&gt;"",IF(VLOOKUP(A63,Ergebnis_je_Aktie_verwässert!A3:AK68,17,FALSE)&lt;&gt;"",IF(VLOOKUP(A63,Ergebnis_je_Aktie_verwässert!A3:AK68,17,FALSE)&lt;=0,9.99999,VLOOKUP(A63,Dividende_je_Aktie!A3:AM68,17,FALSE)/VLOOKUP(A63,Ergebnis_je_Aktie_verwässert!A3:AK68,17,FALSE)),""),"")</f>
        <v/>
      </c>
      <c r="R63" s="5" t="str">
        <f>IF(VLOOKUP(A63,Dividende_je_Aktie!A3:AM68,18,FALSE)&lt;&gt;"",IF(VLOOKUP(A63,Ergebnis_je_Aktie_verwässert!A3:AK68,18,FALSE)&lt;&gt;"",IF(VLOOKUP(A63,Ergebnis_je_Aktie_verwässert!A3:AK68,18,FALSE)&lt;=0,9.99999,VLOOKUP(A63,Dividende_je_Aktie!A3:AM68,18,FALSE)/VLOOKUP(A63,Ergebnis_je_Aktie_verwässert!A3:AK68,18,FALSE)),""),"")</f>
        <v/>
      </c>
      <c r="S63" s="10">
        <f t="shared" si="5"/>
        <v>0.48832110553584462</v>
      </c>
      <c r="T63" s="4">
        <f t="shared" ca="1" si="6"/>
        <v>0</v>
      </c>
      <c r="U63" s="4">
        <f t="shared" ca="1" si="7"/>
        <v>73</v>
      </c>
      <c r="V63" s="4">
        <f t="shared" ca="1" si="8"/>
        <v>287</v>
      </c>
      <c r="W63" s="10">
        <f t="shared" ca="1" si="9"/>
        <v>0.5307274596229502</v>
      </c>
      <c r="X63" s="5">
        <f t="shared" ca="1" si="10"/>
        <v>8.6841124838485495E-2</v>
      </c>
    </row>
    <row r="64" spans="1:24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5">
        <f>IF(VLOOKUP(A64,Dividende_je_Aktie!A3:AM68,6,FALSE)&lt;&gt;"",IF(VLOOKUP(A64,Ergebnis_je_Aktie_verwässert!A3:AK68,6,FALSE)&lt;&gt;"",IF(VLOOKUP(A64,Ergebnis_je_Aktie_verwässert!A3:AK68,6,FALSE)&lt;=0,9.99999,VLOOKUP(A64,Dividende_je_Aktie!A3:AM68,6,FALSE)/VLOOKUP(A64,Ergebnis_je_Aktie_verwässert!A3:AK68,6,FALSE)),""),"")</f>
        <v>0.78328173374612997</v>
      </c>
      <c r="G64" s="5">
        <f>IF(VLOOKUP(A64,Dividende_je_Aktie!A3:AM68,7,FALSE)&lt;&gt;"",IF(VLOOKUP(A64,Ergebnis_je_Aktie_verwässert!A3:AK68,7,FALSE)&lt;&gt;"",IF(VLOOKUP(A64,Ergebnis_je_Aktie_verwässert!A3:AK68,7,FALSE)&lt;=0,9.99999,VLOOKUP(A64,Dividende_je_Aktie!A3:AM68,7,FALSE)/VLOOKUP(A64,Ergebnis_je_Aktie_verwässert!A3:AK68,7,FALSE)),""),"")</f>
        <v>0.77483443708609268</v>
      </c>
      <c r="H64" s="5">
        <f>IF(VLOOKUP(A64,Dividende_je_Aktie!A3:AM68,8,FALSE)&lt;&gt;"",IF(VLOOKUP(A64,Ergebnis_je_Aktie_verwässert!A3:AK68,8,FALSE)&lt;&gt;"",IF(VLOOKUP(A64,Ergebnis_je_Aktie_verwässert!A3:AK68,8,FALSE)&lt;=0,9.99999,VLOOKUP(A64,Dividende_je_Aktie!A3:AM68,8,FALSE)/VLOOKUP(A64,Ergebnis_je_Aktie_verwässert!A3:AK68,8,FALSE)),""),"")</f>
        <v>0.77857142857142869</v>
      </c>
      <c r="I64" s="5">
        <f>IF(VLOOKUP(A64,Dividende_je_Aktie!A3:AM68,9,FALSE)&lt;&gt;"",IF(VLOOKUP(A64,Ergebnis_je_Aktie_verwässert!A3:AK68,9,FALSE)&lt;&gt;"",IF(VLOOKUP(A64,Ergebnis_je_Aktie_verwässert!A3:AK68,9,FALSE)&lt;=0,9.99999,VLOOKUP(A64,Dividende_je_Aktie!A3:AM68,9,FALSE)/VLOOKUP(A64,Ergebnis_je_Aktie_verwässert!A3:AK68,9,FALSE)),""),"")</f>
        <v>0.6640625</v>
      </c>
      <c r="J64" s="5">
        <f>IF(VLOOKUP(A64,Dividende_je_Aktie!A3:AM68,10,FALSE)&lt;&gt;"",IF(VLOOKUP(A64,Ergebnis_je_Aktie_verwässert!A3:AK68,10,FALSE)&lt;&gt;"",IF(VLOOKUP(A64,Ergebnis_je_Aktie_verwässert!A3:AK68,10,FALSE)&lt;=0,9.99999,VLOOKUP(A64,Dividende_je_Aktie!A3:AM68,10,FALSE)/VLOOKUP(A64,Ergebnis_je_Aktie_verwässert!A3:AK68,10,FALSE)),""),"")</f>
        <v>0.81415929203539839</v>
      </c>
      <c r="K64" s="5">
        <f>IF(VLOOKUP(A64,Dividende_je_Aktie!A3:AM68,11,FALSE)&lt;&gt;"",IF(VLOOKUP(A64,Ergebnis_je_Aktie_verwässert!A3:AK68,11,FALSE)&lt;&gt;"",IF(VLOOKUP(A64,Ergebnis_je_Aktie_verwässert!A3:AK68,11,FALSE)&lt;=0,9.99999,VLOOKUP(A64,Dividende_je_Aktie!A3:AM68,11,FALSE)/VLOOKUP(A64,Ergebnis_je_Aktie_verwässert!A3:AK68,11,FALSE)),""),"")</f>
        <v>0.82524271844660191</v>
      </c>
      <c r="L64" s="5">
        <f>IF(VLOOKUP(A64,Dividende_je_Aktie!A3:AM68,12,FALSE)&lt;&gt;"",IF(VLOOKUP(A64,Ergebnis_je_Aktie_verwässert!A3:AK68,12,FALSE)&lt;&gt;"",IF(VLOOKUP(A64,Ergebnis_je_Aktie_verwässert!A3:AK68,12,FALSE)&lt;=0,9.99999,VLOOKUP(A64,Dividende_je_Aktie!A3:AM68,12,FALSE)/VLOOKUP(A64,Ergebnis_je_Aktie_verwässert!A3:AK68,12,FALSE)),""),"")</f>
        <v>0.96341463414634154</v>
      </c>
      <c r="M64" s="5">
        <f>IF(VLOOKUP(A64,Dividende_je_Aktie!A3:AM68,13,FALSE)&lt;&gt;"",IF(VLOOKUP(A64,Ergebnis_je_Aktie_verwässert!A3:AK68,13,FALSE)&lt;&gt;"",IF(VLOOKUP(A64,Ergebnis_je_Aktie_verwässert!A3:AK68,13,FALSE)&lt;=0,9.99999,VLOOKUP(A64,Dividende_je_Aktie!A3:AM68,13,FALSE)/VLOOKUP(A64,Ergebnis_je_Aktie_verwässert!A3:AK68,13,FALSE)),""),"")</f>
        <v>0.78074866310160418</v>
      </c>
      <c r="N64" s="5">
        <f>IF(VLOOKUP(A64,Dividende_je_Aktie!A3:AM68,14,FALSE)&lt;&gt;"",IF(VLOOKUP(A64,Ergebnis_je_Aktie_verwässert!A3:AK68,14,FALSE)&lt;&gt;"",IF(VLOOKUP(A64,Ergebnis_je_Aktie_verwässert!A3:AK68,14,FALSE)&lt;=0,9.99999,VLOOKUP(A64,Dividende_je_Aktie!A3:AM68,14,FALSE)/VLOOKUP(A64,Ergebnis_je_Aktie_verwässert!A3:AK68,14,FALSE)),""),"")</f>
        <v>0.85714285714285721</v>
      </c>
      <c r="O64" s="5">
        <f>IF(VLOOKUP(A64,Dividende_je_Aktie!A3:AM68,15,FALSE)&lt;&gt;"",IF(VLOOKUP(A64,Ergebnis_je_Aktie_verwässert!A3:AK68,15,FALSE)&lt;&gt;"",IF(VLOOKUP(A64,Ergebnis_je_Aktie_verwässert!A3:AK68,15,FALSE)&lt;=0,9.99999,VLOOKUP(A64,Dividende_je_Aktie!A3:AM68,15,FALSE)/VLOOKUP(A64,Ergebnis_je_Aktie_verwässert!A3:AK68,15,FALSE)),""),"")</f>
        <v>0.70270270270270274</v>
      </c>
      <c r="P64" s="5">
        <f>IF(VLOOKUP(A64,Dividende_je_Aktie!A3:AM68,16,FALSE)&lt;&gt;"",IF(VLOOKUP(A64,Ergebnis_je_Aktie_verwässert!A3:AK68,16,FALSE)&lt;&gt;"",IF(VLOOKUP(A64,Ergebnis_je_Aktie_verwässert!A3:AK68,16,FALSE)&lt;=0,9.99999,VLOOKUP(A64,Dividende_je_Aktie!A3:AM68,16,FALSE)/VLOOKUP(A64,Ergebnis_je_Aktie_verwässert!A3:AK68,16,FALSE)),""),"")</f>
        <v>0.63648648648648642</v>
      </c>
      <c r="Q64" s="5">
        <f>IF(VLOOKUP(A64,Dividende_je_Aktie!A3:AM68,17,FALSE)&lt;&gt;"",IF(VLOOKUP(A64,Ergebnis_je_Aktie_verwässert!A3:AK68,17,FALSE)&lt;&gt;"",IF(VLOOKUP(A64,Ergebnis_je_Aktie_verwässert!A3:AK68,17,FALSE)&lt;=0,9.99999,VLOOKUP(A64,Dividende_je_Aktie!A3:AM68,17,FALSE)/VLOOKUP(A64,Ergebnis_je_Aktie_verwässert!A3:AK68,17,FALSE)),""),"")</f>
        <v>0.55298013245033106</v>
      </c>
      <c r="R64" s="5">
        <f>IF(VLOOKUP(A64,Dividende_je_Aktie!A3:AM68,18,FALSE)&lt;&gt;"",IF(VLOOKUP(A64,Ergebnis_je_Aktie_verwässert!A3:AK68,18,FALSE)&lt;&gt;"",IF(VLOOKUP(A64,Ergebnis_je_Aktie_verwässert!A3:AK68,18,FALSE)&lt;=0,9.99999,VLOOKUP(A64,Dividende_je_Aktie!A3:AM68,18,FALSE)/VLOOKUP(A64,Ergebnis_je_Aktie_verwässert!A3:AK68,18,FALSE)),""),"")</f>
        <v>0.58114754098360655</v>
      </c>
      <c r="S64" s="10">
        <f t="shared" si="5"/>
        <v>0.74729039437689093</v>
      </c>
      <c r="T64" s="4">
        <f t="shared" ca="1" si="6"/>
        <v>0</v>
      </c>
      <c r="U64" s="4">
        <f t="shared" ca="1" si="7"/>
        <v>73</v>
      </c>
      <c r="V64" s="4">
        <f t="shared" ca="1" si="8"/>
        <v>287</v>
      </c>
      <c r="W64" s="10">
        <f t="shared" ca="1" si="9"/>
        <v>0.77781364974245781</v>
      </c>
      <c r="X64" s="5">
        <f t="shared" ca="1" si="10"/>
        <v>4.0845239809375489E-2</v>
      </c>
    </row>
    <row r="65" spans="1:24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5">
        <f>IF(VLOOKUP(A65,Dividende_je_Aktie!A3:AM68,6,FALSE)&lt;&gt;"",IF(VLOOKUP(A65,Ergebnis_je_Aktie_verwässert!A3:AK68,6,FALSE)&lt;&gt;"",IF(VLOOKUP(A65,Ergebnis_je_Aktie_verwässert!A3:AK68,6,FALSE)&lt;=0,9.99999,VLOOKUP(A65,Dividende_je_Aktie!A3:AM68,6,FALSE)/VLOOKUP(A65,Ergebnis_je_Aktie_verwässert!A3:AK68,6,FALSE)),""),"")</f>
        <v>0.13005780346820811</v>
      </c>
      <c r="G65" s="5">
        <f>IF(VLOOKUP(A65,Dividende_je_Aktie!A3:AM68,7,FALSE)&lt;&gt;"",IF(VLOOKUP(A65,Ergebnis_je_Aktie_verwässert!A3:AK68,7,FALSE)&lt;&gt;"",IF(VLOOKUP(A65,Ergebnis_je_Aktie_verwässert!A3:AK68,7,FALSE)&lt;=0,9.99999,VLOOKUP(A65,Dividende_je_Aktie!A3:AM68,7,FALSE)/VLOOKUP(A65,Ergebnis_je_Aktie_verwässert!A3:AK68,7,FALSE)),""),"")</f>
        <v>0.1299638989169675</v>
      </c>
      <c r="H65" s="5">
        <f>IF(VLOOKUP(A65,Dividende_je_Aktie!A3:AM68,8,FALSE)&lt;&gt;"",IF(VLOOKUP(A65,Ergebnis_je_Aktie_verwässert!A3:AK68,8,FALSE)&lt;&gt;"",IF(VLOOKUP(A65,Ergebnis_je_Aktie_verwässert!A3:AK68,8,FALSE)&lt;=0,9.99999,VLOOKUP(A65,Dividende_je_Aktie!A3:AM68,8,FALSE)/VLOOKUP(A65,Ergebnis_je_Aktie_verwässert!A3:AK68,8,FALSE)),""),"")</f>
        <v>0.1234817813765182</v>
      </c>
      <c r="I65" s="5">
        <f>IF(VLOOKUP(A65,Dividende_je_Aktie!A3:AM68,9,FALSE)&lt;&gt;"",IF(VLOOKUP(A65,Ergebnis_je_Aktie_verwässert!A3:AK68,9,FALSE)&lt;&gt;"",IF(VLOOKUP(A65,Ergebnis_je_Aktie_verwässert!A3:AK68,9,FALSE)&lt;=0,9.99999,VLOOKUP(A65,Dividende_je_Aktie!A3:AM68,9,FALSE)/VLOOKUP(A65,Ergebnis_je_Aktie_verwässert!A3:AK68,9,FALSE)),""),"")</f>
        <v>9.6153846153846145E-2</v>
      </c>
      <c r="J65" s="5">
        <f>IF(VLOOKUP(A65,Dividende_je_Aktie!A3:AM68,10,FALSE)&lt;&gt;"",IF(VLOOKUP(A65,Ergebnis_je_Aktie_verwässert!A3:AK68,10,FALSE)&lt;&gt;"",IF(VLOOKUP(A65,Ergebnis_je_Aktie_verwässert!A3:AK68,10,FALSE)&lt;=0,9.99999,VLOOKUP(A65,Dividende_je_Aktie!A3:AM68,10,FALSE)/VLOOKUP(A65,Ergebnis_je_Aktie_verwässert!A3:AK68,10,FALSE)),""),"")</f>
        <v>3.2626427406199025E-2</v>
      </c>
      <c r="K65" s="5">
        <f>IF(VLOOKUP(A65,Dividende_je_Aktie!A3:AM68,11,FALSE)&lt;&gt;"",IF(VLOOKUP(A65,Ergebnis_je_Aktie_verwässert!A3:AK68,11,FALSE)&lt;&gt;"",IF(VLOOKUP(A65,Ergebnis_je_Aktie_verwässert!A3:AK68,11,FALSE)&lt;=0,9.99999,VLOOKUP(A65,Dividende_je_Aktie!A3:AM68,11,FALSE)/VLOOKUP(A65,Ergebnis_je_Aktie_verwässert!A3:AK68,11,FALSE)),""),"")</f>
        <v>0</v>
      </c>
      <c r="L65" s="5">
        <f>IF(VLOOKUP(A65,Dividende_je_Aktie!A3:AM68,12,FALSE)&lt;&gt;"",IF(VLOOKUP(A65,Ergebnis_je_Aktie_verwässert!A3:AK68,12,FALSE)&lt;&gt;"",IF(VLOOKUP(A65,Ergebnis_je_Aktie_verwässert!A3:AK68,12,FALSE)&lt;=0,9.99999,VLOOKUP(A65,Dividende_je_Aktie!A3:AM68,12,FALSE)/VLOOKUP(A65,Ergebnis_je_Aktie_verwässert!A3:AK68,12,FALSE)),""),"")</f>
        <v>0</v>
      </c>
      <c r="M65" s="5">
        <f>IF(VLOOKUP(A65,Dividende_je_Aktie!A3:AM68,13,FALSE)&lt;&gt;"",IF(VLOOKUP(A65,Ergebnis_je_Aktie_verwässert!A3:AK68,13,FALSE)&lt;&gt;"",IF(VLOOKUP(A65,Ergebnis_je_Aktie_verwässert!A3:AK68,13,FALSE)&lt;=0,9.99999,VLOOKUP(A65,Dividende_je_Aktie!A3:AM68,13,FALSE)/VLOOKUP(A65,Ergebnis_je_Aktie_verwässert!A3:AK68,13,FALSE)),""),"")</f>
        <v>0</v>
      </c>
      <c r="N65" s="5">
        <f>IF(VLOOKUP(A65,Dividende_je_Aktie!A3:AM68,14,FALSE)&lt;&gt;"",IF(VLOOKUP(A65,Ergebnis_je_Aktie_verwässert!A3:AK68,14,FALSE)&lt;&gt;"",IF(VLOOKUP(A65,Ergebnis_je_Aktie_verwässert!A3:AK68,14,FALSE)&lt;=0,9.99999,VLOOKUP(A65,Dividende_je_Aktie!A3:AM68,14,FALSE)/VLOOKUP(A65,Ergebnis_je_Aktie_verwässert!A3:AK68,14,FALSE)),""),"")</f>
        <v>9.9999900000000004</v>
      </c>
      <c r="O65" s="5">
        <f>IF(VLOOKUP(A65,Dividende_je_Aktie!A3:AM68,15,FALSE)&lt;&gt;"",IF(VLOOKUP(A65,Ergebnis_je_Aktie_verwässert!A3:AK68,15,FALSE)&lt;&gt;"",IF(VLOOKUP(A65,Ergebnis_je_Aktie_verwässert!A3:AK68,15,FALSE)&lt;=0,9.99999,VLOOKUP(A65,Dividende_je_Aktie!A3:AM68,15,FALSE)/VLOOKUP(A65,Ergebnis_je_Aktie_verwässert!A3:AK68,15,FALSE)),""),"")</f>
        <v>9.9999900000000004</v>
      </c>
      <c r="P65" s="5">
        <f>IF(VLOOKUP(A65,Dividende_je_Aktie!A3:AM68,16,FALSE)&lt;&gt;"",IF(VLOOKUP(A65,Ergebnis_je_Aktie_verwässert!A3:AK68,16,FALSE)&lt;&gt;"",IF(VLOOKUP(A65,Ergebnis_je_Aktie_verwässert!A3:AK68,16,FALSE)&lt;=0,9.99999,VLOOKUP(A65,Dividende_je_Aktie!A3:AM68,16,FALSE)/VLOOKUP(A65,Ergebnis_je_Aktie_verwässert!A3:AK68,16,FALSE)),""),"")</f>
        <v>0.32217573221757323</v>
      </c>
      <c r="Q65" s="5">
        <f>IF(VLOOKUP(A65,Dividende_je_Aktie!A3:AM68,17,FALSE)&lt;&gt;"",IF(VLOOKUP(A65,Ergebnis_je_Aktie_verwässert!A3:AK68,17,FALSE)&lt;&gt;"",IF(VLOOKUP(A65,Ergebnis_je_Aktie_verwässert!A3:AK68,17,FALSE)&lt;=0,9.99999,VLOOKUP(A65,Dividende_je_Aktie!A3:AM68,17,FALSE)/VLOOKUP(A65,Ergebnis_je_Aktie_verwässert!A3:AK68,17,FALSE)),""),"")</f>
        <v>0.12126865671641791</v>
      </c>
      <c r="R65" s="5">
        <f>IF(VLOOKUP(A65,Dividende_je_Aktie!A3:AM68,18,FALSE)&lt;&gt;"",IF(VLOOKUP(A65,Ergebnis_je_Aktie_verwässert!A3:AK68,18,FALSE)&lt;&gt;"",IF(VLOOKUP(A65,Ergebnis_je_Aktie_verwässert!A3:AK68,18,FALSE)&lt;=0,9.99999,VLOOKUP(A65,Dividende_je_Aktie!A3:AM68,18,FALSE)/VLOOKUP(A65,Ergebnis_je_Aktie_verwässert!A3:AK68,18,FALSE)),""),"")</f>
        <v>0.15789473684210525</v>
      </c>
      <c r="S65" s="10">
        <f t="shared" si="5"/>
        <v>1.6241232986998335</v>
      </c>
      <c r="T65" s="4">
        <f t="shared" ca="1" si="6"/>
        <v>0</v>
      </c>
      <c r="U65" s="4">
        <f t="shared" ca="1" si="7"/>
        <v>73</v>
      </c>
      <c r="V65" s="4">
        <f t="shared" ca="1" si="8"/>
        <v>287</v>
      </c>
      <c r="W65" s="10">
        <f t="shared" ca="1" si="9"/>
        <v>0.12479621076666488</v>
      </c>
      <c r="X65" s="5">
        <f t="shared" ca="1" si="10"/>
        <v>-0.92316087647620815</v>
      </c>
    </row>
    <row r="66" spans="1:24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5">
        <f>IF(VLOOKUP(A66,Dividende_je_Aktie!A3:AM68,6,FALSE)&lt;&gt;"",IF(VLOOKUP(A66,Ergebnis_je_Aktie_verwässert!A3:AK68,6,FALSE)&lt;&gt;"",IF(VLOOKUP(A66,Ergebnis_je_Aktie_verwässert!A3:AK68,6,FALSE)&lt;=0,9.99999,VLOOKUP(A66,Dividende_je_Aktie!A3:AM68,6,FALSE)/VLOOKUP(A66,Ergebnis_je_Aktie_verwässert!A3:AK68,6,FALSE)),""),"")</f>
        <v>0.4061302681992337</v>
      </c>
      <c r="G66" s="5">
        <f>IF(VLOOKUP(A66,Dividende_je_Aktie!A3:AM68,7,FALSE)&lt;&gt;"",IF(VLOOKUP(A66,Ergebnis_je_Aktie_verwässert!A3:AK68,7,FALSE)&lt;&gt;"",IF(VLOOKUP(A66,Ergebnis_je_Aktie_verwässert!A3:AK68,7,FALSE)&lt;=0,9.99999,VLOOKUP(A66,Dividende_je_Aktie!A3:AM68,7,FALSE)/VLOOKUP(A66,Ergebnis_je_Aktie_verwässert!A3:AK68,7,FALSE)),""),"")</f>
        <v>0.41558441558441556</v>
      </c>
      <c r="H66" s="5">
        <f>IF(VLOOKUP(A66,Dividende_je_Aktie!A3:AM68,8,FALSE)&lt;&gt;"",IF(VLOOKUP(A66,Ergebnis_je_Aktie_verwässert!A3:AK68,8,FALSE)&lt;&gt;"",IF(VLOOKUP(A66,Ergebnis_je_Aktie_verwässert!A3:AK68,8,FALSE)&lt;=0,9.99999,VLOOKUP(A66,Dividende_je_Aktie!A3:AM68,8,FALSE)/VLOOKUP(A66,Ergebnis_je_Aktie_verwässert!A3:AK68,8,FALSE)),""),"")</f>
        <v>0.43283582089552231</v>
      </c>
      <c r="I66" s="5">
        <f>IF(VLOOKUP(A66,Dividende_je_Aktie!A3:AM68,9,FALSE)&lt;&gt;"",IF(VLOOKUP(A66,Ergebnis_je_Aktie_verwässert!A3:AK68,9,FALSE)&lt;&gt;"",IF(VLOOKUP(A66,Ergebnis_je_Aktie_verwässert!A3:AK68,9,FALSE)&lt;=0,9.99999,VLOOKUP(A66,Dividende_je_Aktie!A3:AM68,9,FALSE)/VLOOKUP(A66,Ergebnis_je_Aktie_verwässert!A3:AK68,9,FALSE)),""),"")</f>
        <v>0.40103896103896103</v>
      </c>
      <c r="J66" s="5">
        <f>IF(VLOOKUP(A66,Dividende_je_Aktie!A3:AM68,10,FALSE)&lt;&gt;"",IF(VLOOKUP(A66,Ergebnis_je_Aktie_verwässert!A3:AK68,10,FALSE)&lt;&gt;"",IF(VLOOKUP(A66,Ergebnis_je_Aktie_verwässert!A3:AK68,10,FALSE)&lt;=0,9.99999,VLOOKUP(A66,Dividende_je_Aktie!A3:AM68,10,FALSE)/VLOOKUP(A66,Ergebnis_je_Aktie_verwässert!A3:AK68,10,FALSE)),""),"")</f>
        <v>0.39834024896265557</v>
      </c>
      <c r="K66" s="5">
        <f>IF(VLOOKUP(A66,Dividende_je_Aktie!A3:AM68,11,FALSE)&lt;&gt;"",IF(VLOOKUP(A66,Ergebnis_je_Aktie_verwässert!A3:AK68,11,FALSE)&lt;&gt;"",IF(VLOOKUP(A66,Ergebnis_je_Aktie_verwässert!A3:AK68,11,FALSE)&lt;=0,9.99999,VLOOKUP(A66,Dividende_je_Aktie!A3:AM68,11,FALSE)/VLOOKUP(A66,Ergebnis_je_Aktie_verwässert!A3:AK68,11,FALSE)),""),"")</f>
        <v>0.43509789702683105</v>
      </c>
      <c r="L66" s="5">
        <f>IF(VLOOKUP(A66,Dividende_je_Aktie!A3:AM68,12,FALSE)&lt;&gt;"",IF(VLOOKUP(A66,Ergebnis_je_Aktie_verwässert!A3:AK68,12,FALSE)&lt;&gt;"",IF(VLOOKUP(A66,Ergebnis_je_Aktie_verwässert!A3:AK68,12,FALSE)&lt;=0,9.99999,VLOOKUP(A66,Dividende_je_Aktie!A3:AM68,12,FALSE)/VLOOKUP(A66,Ergebnis_je_Aktie_verwässert!A3:AK68,12,FALSE)),""),"")</f>
        <v>0.44462409054163299</v>
      </c>
      <c r="M66" s="5">
        <f>IF(VLOOKUP(A66,Dividende_je_Aktie!A3:AM68,13,FALSE)&lt;&gt;"",IF(VLOOKUP(A66,Ergebnis_je_Aktie_verwässert!A3:AK68,13,FALSE)&lt;&gt;"",IF(VLOOKUP(A66,Ergebnis_je_Aktie_verwässert!A3:AK68,13,FALSE)&lt;=0,9.99999,VLOOKUP(A66,Dividende_je_Aktie!A3:AM68,13,FALSE)/VLOOKUP(A66,Ergebnis_je_Aktie_verwässert!A3:AK68,13,FALSE)),""),"")</f>
        <v>0.37914691943127959</v>
      </c>
      <c r="N66" s="5">
        <f>IF(VLOOKUP(A66,Dividende_je_Aktie!A3:AM68,14,FALSE)&lt;&gt;"",IF(VLOOKUP(A66,Ergebnis_je_Aktie_verwässert!A3:AK68,14,FALSE)&lt;&gt;"",IF(VLOOKUP(A66,Ergebnis_je_Aktie_verwässert!A3:AK68,14,FALSE)&lt;=0,9.99999,VLOOKUP(A66,Dividende_je_Aktie!A3:AM68,14,FALSE)/VLOOKUP(A66,Ergebnis_je_Aktie_verwässert!A3:AK68,14,FALSE)),""),"")</f>
        <v>0.51063829787234039</v>
      </c>
      <c r="O66" s="5">
        <f>IF(VLOOKUP(A66,Dividende_je_Aktie!A3:AM68,15,FALSE)&lt;&gt;"",IF(VLOOKUP(A66,Ergebnis_je_Aktie_verwässert!A3:AK68,15,FALSE)&lt;&gt;"",IF(VLOOKUP(A66,Ergebnis_je_Aktie_verwässert!A3:AK68,15,FALSE)&lt;=0,9.99999,VLOOKUP(A66,Dividende_je_Aktie!A3:AM68,15,FALSE)/VLOOKUP(A66,Ergebnis_je_Aktie_verwässert!A3:AK68,15,FALSE)),""),"")</f>
        <v>0.53979238754325254</v>
      </c>
      <c r="P66" s="5" t="str">
        <f>IF(VLOOKUP(A66,Dividende_je_Aktie!A3:AM68,16,FALSE)&lt;&gt;"",IF(VLOOKUP(A66,Ergebnis_je_Aktie_verwässert!A3:AK68,16,FALSE)&lt;&gt;"",IF(VLOOKUP(A66,Ergebnis_je_Aktie_verwässert!A3:AK68,16,FALSE)&lt;=0,9.99999,VLOOKUP(A66,Dividende_je_Aktie!A3:AM68,16,FALSE)/VLOOKUP(A66,Ergebnis_je_Aktie_verwässert!A3:AK68,16,FALSE)),""),"")</f>
        <v/>
      </c>
      <c r="Q66" s="5" t="str">
        <f>IF(VLOOKUP(A66,Dividende_je_Aktie!A3:AM68,17,FALSE)&lt;&gt;"",IF(VLOOKUP(A66,Ergebnis_je_Aktie_verwässert!A3:AK68,17,FALSE)&lt;&gt;"",IF(VLOOKUP(A66,Ergebnis_je_Aktie_verwässert!A3:AK68,17,FALSE)&lt;=0,9.99999,VLOOKUP(A66,Dividende_je_Aktie!A3:AM68,17,FALSE)/VLOOKUP(A66,Ergebnis_je_Aktie_verwässert!A3:AK68,17,FALSE)),""),"")</f>
        <v/>
      </c>
      <c r="R66" s="5" t="str">
        <f>IF(VLOOKUP(A66,Dividende_je_Aktie!A3:AM68,18,FALSE)&lt;&gt;"",IF(VLOOKUP(A66,Ergebnis_je_Aktie_verwässert!A3:AK68,18,FALSE)&lt;&gt;"",IF(VLOOKUP(A66,Ergebnis_je_Aktie_verwässert!A3:AK68,18,FALSE)&lt;=0,9.99999,VLOOKUP(A66,Dividende_je_Aktie!A3:AM68,18,FALSE)/VLOOKUP(A66,Ergebnis_je_Aktie_verwässert!A3:AK68,18,FALSE)),""),"")</f>
        <v/>
      </c>
      <c r="S66" s="10">
        <f t="shared" si="5"/>
        <v>0.43632293070961248</v>
      </c>
      <c r="T66" s="4">
        <f t="shared" ca="1" si="6"/>
        <v>0</v>
      </c>
      <c r="U66" s="4">
        <f t="shared" ca="1" si="7"/>
        <v>73</v>
      </c>
      <c r="V66" s="4">
        <f t="shared" ca="1" si="8"/>
        <v>287</v>
      </c>
      <c r="W66" s="10">
        <f t="shared" ca="1" si="9"/>
        <v>0.42933761926299235</v>
      </c>
      <c r="X66" s="5">
        <f t="shared" ca="1" si="10"/>
        <v>-1.6009498825238389E-2</v>
      </c>
    </row>
    <row r="67" spans="1:24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5">
        <f>IF(VLOOKUP(A67,Dividende_je_Aktie!A3:AM68,6,FALSE)&lt;&gt;"",IF(VLOOKUP(A67,Ergebnis_je_Aktie_verwässert!A3:AK68,6,FALSE)&lt;&gt;"",IF(VLOOKUP(A67,Ergebnis_je_Aktie_verwässert!A3:AK68,6,FALSE)&lt;=0,9.99999,VLOOKUP(A67,Dividende_je_Aktie!A3:AM68,6,FALSE)/VLOOKUP(A67,Ergebnis_je_Aktie_verwässert!A3:AK68,6,FALSE)),""),"")</f>
        <v>0.57763975155279501</v>
      </c>
      <c r="G67" s="5">
        <f>IF(VLOOKUP(A67,Dividende_je_Aktie!A3:AM68,7,FALSE)&lt;&gt;"",IF(VLOOKUP(A67,Ergebnis_je_Aktie_verwässert!A3:AK68,7,FALSE)&lt;&gt;"",IF(VLOOKUP(A67,Ergebnis_je_Aktie_verwässert!A3:AK68,7,FALSE)&lt;=0,9.99999,VLOOKUP(A67,Dividende_je_Aktie!A3:AM68,7,FALSE)/VLOOKUP(A67,Ergebnis_je_Aktie_verwässert!A3:AK68,7,FALSE)),""),"")</f>
        <v>0.57947019867549665</v>
      </c>
      <c r="H67" s="5">
        <f>IF(VLOOKUP(A67,Dividende_je_Aktie!A3:AM68,8,FALSE)&lt;&gt;"",IF(VLOOKUP(A67,Ergebnis_je_Aktie_verwässert!A3:AK68,8,FALSE)&lt;&gt;"",IF(VLOOKUP(A67,Ergebnis_je_Aktie_verwässert!A3:AK68,8,FALSE)&lt;=0,9.99999,VLOOKUP(A67,Dividende_je_Aktie!A3:AM68,8,FALSE)/VLOOKUP(A67,Ergebnis_je_Aktie_verwässert!A3:AK68,8,FALSE)),""),"")</f>
        <v>0.60147601476014756</v>
      </c>
      <c r="I67" s="5">
        <f>IF(VLOOKUP(A67,Dividende_je_Aktie!A3:AM68,9,FALSE)&lt;&gt;"",IF(VLOOKUP(A67,Ergebnis_je_Aktie_verwässert!A3:AK68,9,FALSE)&lt;&gt;"",IF(VLOOKUP(A67,Ergebnis_je_Aktie_verwässert!A3:AK68,9,FALSE)&lt;=0,9.99999,VLOOKUP(A67,Dividende_je_Aktie!A3:AM68,9,FALSE)/VLOOKUP(A67,Ergebnis_je_Aktie_verwässert!A3:AK68,9,FALSE)),""),"")</f>
        <v>0.54770318021201414</v>
      </c>
      <c r="J67" s="5">
        <f>IF(VLOOKUP(A67,Dividende_je_Aktie!A3:AM68,10,FALSE)&lt;&gt;"",IF(VLOOKUP(A67,Ergebnis_je_Aktie_verwässert!A3:AK68,10,FALSE)&lt;&gt;"",IF(VLOOKUP(A67,Ergebnis_je_Aktie_verwässert!A3:AK68,10,FALSE)&lt;=0,9.99999,VLOOKUP(A67,Dividende_je_Aktie!A3:AM68,10,FALSE)/VLOOKUP(A67,Ergebnis_je_Aktie_verwässert!A3:AK68,10,FALSE)),""),"")</f>
        <v>0.4731182795698925</v>
      </c>
      <c r="K67" s="5">
        <f>IF(VLOOKUP(A67,Dividende_je_Aktie!A3:AM68,11,FALSE)&lt;&gt;"",IF(VLOOKUP(A67,Ergebnis_je_Aktie_verwässert!A3:AK68,11,FALSE)&lt;&gt;"",IF(VLOOKUP(A67,Ergebnis_je_Aktie_verwässert!A3:AK68,11,FALSE)&lt;=0,9.99999,VLOOKUP(A67,Dividende_je_Aktie!A3:AM68,11,FALSE)/VLOOKUP(A67,Ergebnis_je_Aktie_verwässert!A3:AK68,11,FALSE)),""),"")</f>
        <v>0.51914893617021274</v>
      </c>
      <c r="L67" s="5">
        <f>IF(VLOOKUP(A67,Dividende_je_Aktie!A3:AM68,12,FALSE)&lt;&gt;"",IF(VLOOKUP(A67,Ergebnis_je_Aktie_verwässert!A3:AK68,12,FALSE)&lt;&gt;"",IF(VLOOKUP(A67,Ergebnis_je_Aktie_verwässert!A3:AK68,12,FALSE)&lt;=0,9.99999,VLOOKUP(A67,Dividende_je_Aktie!A3:AM68,12,FALSE)/VLOOKUP(A67,Ergebnis_je_Aktie_verwässert!A3:AK68,12,FALSE)),""),"")</f>
        <v>0.4148148148148148</v>
      </c>
      <c r="M67" s="5">
        <f>IF(VLOOKUP(A67,Dividende_je_Aktie!A3:AM68,13,FALSE)&lt;&gt;"",IF(VLOOKUP(A67,Ergebnis_je_Aktie_verwässert!A3:AK68,13,FALSE)&lt;&gt;"",IF(VLOOKUP(A67,Ergebnis_je_Aktie_verwässert!A3:AK68,13,FALSE)&lt;=0,9.99999,VLOOKUP(A67,Dividende_je_Aktie!A3:AM68,13,FALSE)/VLOOKUP(A67,Ergebnis_je_Aktie_verwässert!A3:AK68,13,FALSE)),""),"")</f>
        <v>0.42857142857142849</v>
      </c>
      <c r="N67" s="5">
        <f>IF(VLOOKUP(A67,Dividende_je_Aktie!A3:AM68,14,FALSE)&lt;&gt;"",IF(VLOOKUP(A67,Ergebnis_je_Aktie_verwässert!A3:AK68,14,FALSE)&lt;&gt;"",IF(VLOOKUP(A67,Ergebnis_je_Aktie_verwässert!A3:AK68,14,FALSE)&lt;=0,9.99999,VLOOKUP(A67,Dividende_je_Aktie!A3:AM68,14,FALSE)/VLOOKUP(A67,Ergebnis_je_Aktie_verwässert!A3:AK68,14,FALSE)),""),"")</f>
        <v>0.45263157894736844</v>
      </c>
      <c r="O67" s="5">
        <f>IF(VLOOKUP(A67,Dividende_je_Aktie!A3:AM68,15,FALSE)&lt;&gt;"",IF(VLOOKUP(A67,Ergebnis_je_Aktie_verwässert!A3:AK68,15,FALSE)&lt;&gt;"",IF(VLOOKUP(A67,Ergebnis_je_Aktie_verwässert!A3:AK68,15,FALSE)&lt;=0,9.99999,VLOOKUP(A67,Dividende_je_Aktie!A3:AM68,15,FALSE)/VLOOKUP(A67,Ergebnis_je_Aktie_verwässert!A3:AK68,15,FALSE)),""),"")</f>
        <v>0.42473118279569894</v>
      </c>
      <c r="P67" s="5">
        <f>IF(VLOOKUP(A67,Dividende_je_Aktie!A3:AM68,16,FALSE)&lt;&gt;"",IF(VLOOKUP(A67,Ergebnis_je_Aktie_verwässert!A3:AK68,16,FALSE)&lt;&gt;"",IF(VLOOKUP(A67,Ergebnis_je_Aktie_verwässert!A3:AK68,16,FALSE)&lt;=0,9.99999,VLOOKUP(A67,Dividende_je_Aktie!A3:AM68,16,FALSE)/VLOOKUP(A67,Ergebnis_je_Aktie_verwässert!A3:AK68,16,FALSE)),""),"")</f>
        <v>0.45283018867924524</v>
      </c>
      <c r="Q67" s="5">
        <f>IF(VLOOKUP(A67,Dividende_je_Aktie!A3:AM68,17,FALSE)&lt;&gt;"",IF(VLOOKUP(A67,Ergebnis_je_Aktie_verwässert!A3:AK68,17,FALSE)&lt;&gt;"",IF(VLOOKUP(A67,Ergebnis_je_Aktie_verwässert!A3:AK68,17,FALSE)&lt;=0,9.99999,VLOOKUP(A67,Dividende_je_Aktie!A3:AM68,17,FALSE)/VLOOKUP(A67,Ergebnis_je_Aktie_verwässert!A3:AK68,17,FALSE)),""),"")</f>
        <v>0.46206896551724141</v>
      </c>
      <c r="R67" s="5">
        <f>IF(VLOOKUP(A67,Dividende_je_Aktie!A3:AM68,18,FALSE)&lt;&gt;"",IF(VLOOKUP(A67,Ergebnis_je_Aktie_verwässert!A3:AK68,18,FALSE)&lt;&gt;"",IF(VLOOKUP(A67,Ergebnis_je_Aktie_verwässert!A3:AK68,18,FALSE)&lt;=0,9.99999,VLOOKUP(A67,Dividende_je_Aktie!A3:AM68,18,FALSE)/VLOOKUP(A67,Ergebnis_je_Aktie_verwässert!A3:AK68,18,FALSE)),""),"")</f>
        <v>0.40259740259740256</v>
      </c>
      <c r="S67" s="10">
        <f t="shared" si="5"/>
        <v>0.4874463017587507</v>
      </c>
      <c r="T67" s="4">
        <f t="shared" ca="1" si="6"/>
        <v>0</v>
      </c>
      <c r="U67" s="4">
        <f t="shared" ca="1" si="7"/>
        <v>283</v>
      </c>
      <c r="V67" s="4">
        <f t="shared" ca="1" si="8"/>
        <v>77</v>
      </c>
      <c r="W67" s="10">
        <f t="shared" ca="1" si="9"/>
        <v>0.58417699822693581</v>
      </c>
      <c r="X67" s="5">
        <f t="shared" ca="1" si="10"/>
        <v>0.19844380010510276</v>
      </c>
    </row>
    <row r="68" spans="1:24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5">
        <f>IF(VLOOKUP(A68,Dividende_je_Aktie!A3:AM68,6,FALSE)&lt;&gt;"",IF(VLOOKUP(A68,Ergebnis_je_Aktie_verwässert!A3:AK68,6,FALSE)&lt;&gt;"",IF(VLOOKUP(A68,Ergebnis_je_Aktie_verwässert!A3:AK68,6,FALSE)&lt;=0,9.99999,VLOOKUP(A68,Dividende_je_Aktie!A3:AM68,6,FALSE)/VLOOKUP(A68,Ergebnis_je_Aktie_verwässert!A3:AK68,6,FALSE)),""),"")</f>
        <v>0.60363086232980334</v>
      </c>
      <c r="G68" s="5">
        <f>IF(VLOOKUP(A68,Dividende_je_Aktie!A3:AM68,7,FALSE)&lt;&gt;"",IF(VLOOKUP(A68,Ergebnis_je_Aktie_verwässert!A3:AK68,7,FALSE)&lt;&gt;"",IF(VLOOKUP(A68,Ergebnis_je_Aktie_verwässert!A3:AK68,7,FALSE)&lt;=0,9.99999,VLOOKUP(A68,Dividende_je_Aktie!A3:AM68,7,FALSE)/VLOOKUP(A68,Ergebnis_je_Aktie_verwässert!A3:AK68,7,FALSE)),""),"")</f>
        <v>0.60517799352750812</v>
      </c>
      <c r="H68" s="5">
        <f>IF(VLOOKUP(A68,Dividende_je_Aktie!A3:AM68,8,FALSE)&lt;&gt;"",IF(VLOOKUP(A68,Ergebnis_je_Aktie_verwässert!A3:AK68,8,FALSE)&lt;&gt;"",IF(VLOOKUP(A68,Ergebnis_je_Aktie_verwässert!A3:AK68,8,FALSE)&lt;=0,9.99999,VLOOKUP(A68,Dividende_je_Aktie!A3:AM68,8,FALSE)/VLOOKUP(A68,Ergebnis_je_Aktie_verwässert!A3:AK68,8,FALSE)),""),"")</f>
        <v>0.61754385964912284</v>
      </c>
      <c r="I68" s="5">
        <f>IF(VLOOKUP(A68,Dividende_je_Aktie!A3:AM68,9,FALSE)&lt;&gt;"",IF(VLOOKUP(A68,Ergebnis_je_Aktie_verwässert!A3:AK68,9,FALSE)&lt;&gt;"",IF(VLOOKUP(A68,Ergebnis_je_Aktie_verwässert!A3:AK68,9,FALSE)&lt;=0,9.99999,VLOOKUP(A68,Dividende_je_Aktie!A3:AM68,9,FALSE)/VLOOKUP(A68,Ergebnis_je_Aktie_verwässert!A3:AK68,9,FALSE)),""),"")</f>
        <v>0.6098003629764065</v>
      </c>
      <c r="J68" s="5">
        <f>IF(VLOOKUP(A68,Dividende_je_Aktie!A3:AM68,10,FALSE)&lt;&gt;"",IF(VLOOKUP(A68,Ergebnis_je_Aktie_verwässert!A3:AK68,10,FALSE)&lt;&gt;"",IF(VLOOKUP(A68,Ergebnis_je_Aktie_verwässert!A3:AK68,10,FALSE)&lt;=0,9.99999,VLOOKUP(A68,Dividende_je_Aktie!A3:AM68,10,FALSE)/VLOOKUP(A68,Ergebnis_je_Aktie_verwässert!A3:AK68,10,FALSE)),""),"")</f>
        <v>0.58589511754068713</v>
      </c>
      <c r="K68" s="5">
        <f>IF(VLOOKUP(A68,Dividende_je_Aktie!A3:AM68,11,FALSE)&lt;&gt;"",IF(VLOOKUP(A68,Ergebnis_je_Aktie_verwässert!A3:AK68,11,FALSE)&lt;&gt;"",IF(VLOOKUP(A68,Ergebnis_je_Aktie_verwässert!A3:AK68,11,FALSE)&lt;=0,9.99999,VLOOKUP(A68,Dividende_je_Aktie!A3:AM68,11,FALSE)/VLOOKUP(A68,Ergebnis_je_Aktie_verwässert!A3:AK68,11,FALSE)),""),"")</f>
        <v>0.66968325791855199</v>
      </c>
      <c r="L68" s="5">
        <f>IF(VLOOKUP(A68,Dividende_je_Aktie!A3:AM68,12,FALSE)&lt;&gt;"",IF(VLOOKUP(A68,Ergebnis_je_Aktie_verwässert!A3:AK68,12,FALSE)&lt;&gt;"",IF(VLOOKUP(A68,Ergebnis_je_Aktie_verwässert!A3:AK68,12,FALSE)&lt;=0,9.99999,VLOOKUP(A68,Dividende_je_Aktie!A3:AM68,12,FALSE)/VLOOKUP(A68,Ergebnis_je_Aktie_verwässert!A3:AK68,12,FALSE)),""),"")</f>
        <v>0.70175438596491224</v>
      </c>
      <c r="M68" s="5">
        <f>IF(VLOOKUP(A68,Dividende_je_Aktie!A3:AM68,13,FALSE)&lt;&gt;"",IF(VLOOKUP(A68,Ergebnis_je_Aktie_verwässert!A3:AK68,13,FALSE)&lt;&gt;"",IF(VLOOKUP(A68,Ergebnis_je_Aktie_verwässert!A3:AK68,13,FALSE)&lt;=0,9.99999,VLOOKUP(A68,Dividende_je_Aktie!A3:AM68,13,FALSE)/VLOOKUP(A68,Ergebnis_je_Aktie_verwässert!A3:AK68,13,FALSE)),""),"")</f>
        <v>0.59325842696629216</v>
      </c>
      <c r="N68" s="5">
        <f>IF(VLOOKUP(A68,Dividende_je_Aktie!A3:AM68,14,FALSE)&lt;&gt;"",IF(VLOOKUP(A68,Ergebnis_je_Aktie_verwässert!A3:AK68,14,FALSE)&lt;&gt;"",IF(VLOOKUP(A68,Ergebnis_je_Aktie_verwässert!A3:AK68,14,FALSE)&lt;=0,9.99999,VLOOKUP(A68,Dividende_je_Aktie!A3:AM68,14,FALSE)/VLOOKUP(A68,Ergebnis_je_Aktie_verwässert!A3:AK68,14,FALSE)),""),"")</f>
        <v>0.53097345132743368</v>
      </c>
      <c r="O68" s="5">
        <f>IF(VLOOKUP(A68,Dividende_je_Aktie!A3:AM68,15,FALSE)&lt;&gt;"",IF(VLOOKUP(A68,Ergebnis_je_Aktie_verwässert!A3:AK68,15,FALSE)&lt;&gt;"",IF(VLOOKUP(A68,Ergebnis_je_Aktie_verwässert!A3:AK68,15,FALSE)&lt;=0,9.99999,VLOOKUP(A68,Dividende_je_Aktie!A3:AM68,15,FALSE)/VLOOKUP(A68,Ergebnis_je_Aktie_verwässert!A3:AK68,15,FALSE)),""),"")</f>
        <v>0.57425742574257421</v>
      </c>
      <c r="P68" s="5">
        <f>IF(VLOOKUP(A68,Dividende_je_Aktie!A3:AM68,16,FALSE)&lt;&gt;"",IF(VLOOKUP(A68,Ergebnis_je_Aktie_verwässert!A3:AK68,16,FALSE)&lt;&gt;"",IF(VLOOKUP(A68,Ergebnis_je_Aktie_verwässert!A3:AK68,16,FALSE)&lt;=0,9.99999,VLOOKUP(A68,Dividende_je_Aktie!A3:AM68,16,FALSE)/VLOOKUP(A68,Ergebnis_je_Aktie_verwässert!A3:AK68,16,FALSE)),""),"")</f>
        <v>0.51833740831295849</v>
      </c>
      <c r="Q68" s="5">
        <f>IF(VLOOKUP(A68,Dividende_je_Aktie!A3:AM68,17,FALSE)&lt;&gt;"",IF(VLOOKUP(A68,Ergebnis_je_Aktie_verwässert!A3:AK68,17,FALSE)&lt;&gt;"",IF(VLOOKUP(A68,Ergebnis_je_Aktie_verwässert!A3:AK68,17,FALSE)&lt;=0,9.99999,VLOOKUP(A68,Dividende_je_Aktie!A3:AM68,17,FALSE)/VLOOKUP(A68,Ergebnis_je_Aktie_verwässert!A3:AK68,17,FALSE)),""),"")</f>
        <v>0.60307692307692307</v>
      </c>
      <c r="R68" s="5">
        <f>IF(VLOOKUP(A68,Dividende_je_Aktie!A3:AM68,18,FALSE)&lt;&gt;"",IF(VLOOKUP(A68,Ergebnis_je_Aktie_verwässert!A3:AK68,18,FALSE)&lt;&gt;"",IF(VLOOKUP(A68,Ergebnis_je_Aktie_verwässert!A3:AK68,18,FALSE)&lt;=0,9.99999,VLOOKUP(A68,Dividende_je_Aktie!A3:AM68,18,FALSE)/VLOOKUP(A68,Ergebnis_je_Aktie_verwässert!A3:AK68,18,FALSE)),""),"")</f>
        <v>0.54878048780487809</v>
      </c>
      <c r="S68" s="10">
        <f t="shared" si="5"/>
        <v>0.59708999716446542</v>
      </c>
      <c r="T68" s="4">
        <f t="shared" ref="T68" ca="1" si="11">IF(DAYS360(TODAY(),DATE(E68+2,D68,C68))&gt;=720,0,360-U68)</f>
        <v>0</v>
      </c>
      <c r="U68" s="4">
        <f t="shared" ref="U68" ca="1" si="12">IF(DAYS360(TODAY(),DATE(E68+1,D68,C68))&lt;=360,DAYS360(TODAY(),DATE(E68+1,D68,C68)),360-V68)</f>
        <v>73</v>
      </c>
      <c r="V68" s="4">
        <f t="shared" ca="1" si="8"/>
        <v>287</v>
      </c>
      <c r="W68" s="10">
        <f t="shared" ref="W68" ca="1" si="13">IF(T68&gt;0,(F68/360*T68)+(G68/360*U68)+(H68/360*V68),(G68/360*U68)+(H68/360*V68))</f>
        <v>0.61503633679668435</v>
      </c>
      <c r="X68" s="5">
        <f t="shared" ref="X68" ca="1" si="14">(W68/S68)-1</f>
        <v>3.0056339442035007E-2</v>
      </c>
    </row>
  </sheetData>
  <autoFilter ref="A3:X3">
    <sortState ref="A4:S68">
      <sortCondition ref="B3"/>
    </sortState>
  </autoFilter>
  <mergeCells count="2">
    <mergeCell ref="T1:V1"/>
    <mergeCell ref="C2:E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workbookViewId="0">
      <selection activeCell="D4" sqref="D4"/>
    </sheetView>
  </sheetViews>
  <sheetFormatPr baseColWidth="10" defaultRowHeight="15" x14ac:dyDescent="0.25"/>
  <cols>
    <col min="1" max="1" width="11" bestFit="1" customWidth="1"/>
    <col min="2" max="3" width="10.28515625" bestFit="1" customWidth="1"/>
    <col min="4" max="4" width="11" bestFit="1" customWidth="1"/>
    <col min="5" max="6" width="10.28515625" bestFit="1" customWidth="1"/>
    <col min="7" max="7" width="10.85546875" customWidth="1"/>
    <col min="8" max="8" width="15.42578125" customWidth="1"/>
    <col min="9" max="9" width="7.28515625" bestFit="1" customWidth="1"/>
    <col min="10" max="10" width="10.28515625" bestFit="1" customWidth="1"/>
    <col min="11" max="11" width="7.28515625" bestFit="1" customWidth="1"/>
    <col min="12" max="12" width="10.28515625" bestFit="1" customWidth="1"/>
    <col min="13" max="16" width="12.7109375" customWidth="1"/>
    <col min="17" max="17" width="7.28515625" bestFit="1" customWidth="1"/>
    <col min="18" max="18" width="12.7109375" customWidth="1"/>
    <col min="19" max="19" width="13.5703125" customWidth="1"/>
    <col min="20" max="20" width="14.28515625" customWidth="1"/>
  </cols>
  <sheetData>
    <row r="1" spans="1:20" x14ac:dyDescent="0.25">
      <c r="A1" s="98" t="s">
        <v>162</v>
      </c>
      <c r="B1" s="98"/>
      <c r="D1" s="7"/>
    </row>
    <row r="2" spans="1:20" x14ac:dyDescent="0.25">
      <c r="A2" s="1" t="s">
        <v>160</v>
      </c>
      <c r="B2" s="1" t="s">
        <v>161</v>
      </c>
    </row>
    <row r="3" spans="1:20" x14ac:dyDescent="0.25">
      <c r="A3" s="18">
        <v>0.5</v>
      </c>
      <c r="B3" s="18">
        <v>90</v>
      </c>
    </row>
    <row r="4" spans="1:20" x14ac:dyDescent="0.25">
      <c r="A4" s="21">
        <v>90.5</v>
      </c>
      <c r="B4" s="21">
        <v>130</v>
      </c>
    </row>
    <row r="5" spans="1:20" x14ac:dyDescent="0.25">
      <c r="A5" s="24">
        <v>130.5</v>
      </c>
      <c r="B5" s="24">
        <v>170</v>
      </c>
    </row>
    <row r="6" spans="1:20" x14ac:dyDescent="0.25">
      <c r="A6" s="29">
        <v>170.5</v>
      </c>
      <c r="B6" s="29">
        <v>210</v>
      </c>
      <c r="D6" s="86" t="s">
        <v>184</v>
      </c>
    </row>
    <row r="7" spans="1:20" x14ac:dyDescent="0.25">
      <c r="A7" s="32">
        <v>210.5</v>
      </c>
      <c r="B7" s="32">
        <v>250</v>
      </c>
      <c r="D7" s="47">
        <f>A11+C20+E20+G11+I11+K20+M11+O20+Q20+S20+A24+C33+E33+G33+I24+K24+M33+O33+Q33+S33</f>
        <v>250</v>
      </c>
    </row>
    <row r="9" spans="1:20" ht="30" customHeight="1" x14ac:dyDescent="0.25">
      <c r="A9" s="103" t="s">
        <v>165</v>
      </c>
      <c r="B9" s="103"/>
      <c r="C9" s="102" t="s">
        <v>156</v>
      </c>
      <c r="D9" s="102"/>
      <c r="E9" s="102" t="s">
        <v>157</v>
      </c>
      <c r="F9" s="102"/>
      <c r="G9" s="102" t="s">
        <v>166</v>
      </c>
      <c r="H9" s="102"/>
      <c r="I9" s="102" t="s">
        <v>158</v>
      </c>
      <c r="J9" s="102"/>
      <c r="K9" s="102" t="s">
        <v>159</v>
      </c>
      <c r="L9" s="102"/>
      <c r="M9" s="102" t="s">
        <v>167</v>
      </c>
      <c r="N9" s="102"/>
      <c r="O9" s="102" t="s">
        <v>168</v>
      </c>
      <c r="P9" s="102"/>
      <c r="Q9" s="102" t="s">
        <v>263</v>
      </c>
      <c r="R9" s="102"/>
      <c r="S9" s="102" t="s">
        <v>264</v>
      </c>
      <c r="T9" s="102"/>
    </row>
    <row r="10" spans="1:20" x14ac:dyDescent="0.25">
      <c r="A10" s="1" t="s">
        <v>163</v>
      </c>
      <c r="B10" s="1" t="s">
        <v>164</v>
      </c>
      <c r="C10" s="1" t="s">
        <v>163</v>
      </c>
      <c r="D10" s="1" t="s">
        <v>164</v>
      </c>
      <c r="E10" s="1" t="s">
        <v>163</v>
      </c>
      <c r="F10" s="1" t="s">
        <v>164</v>
      </c>
      <c r="G10" s="1" t="s">
        <v>163</v>
      </c>
      <c r="H10" s="1" t="s">
        <v>164</v>
      </c>
      <c r="I10" s="1" t="s">
        <v>163</v>
      </c>
      <c r="J10" s="1" t="s">
        <v>164</v>
      </c>
      <c r="K10" s="1" t="s">
        <v>163</v>
      </c>
      <c r="L10" s="1" t="s">
        <v>164</v>
      </c>
      <c r="M10" s="1" t="s">
        <v>163</v>
      </c>
      <c r="N10" s="1" t="s">
        <v>164</v>
      </c>
      <c r="O10" s="1" t="s">
        <v>163</v>
      </c>
      <c r="P10" s="1" t="s">
        <v>164</v>
      </c>
      <c r="Q10" s="1" t="s">
        <v>163</v>
      </c>
      <c r="R10" s="1" t="s">
        <v>164</v>
      </c>
      <c r="S10" s="1" t="s">
        <v>163</v>
      </c>
      <c r="T10" s="1" t="s">
        <v>164</v>
      </c>
    </row>
    <row r="11" spans="1:20" x14ac:dyDescent="0.25">
      <c r="A11" s="30">
        <v>30</v>
      </c>
      <c r="B11" s="31">
        <v>-0.15</v>
      </c>
      <c r="C11" s="19">
        <v>1.5</v>
      </c>
      <c r="D11" s="20">
        <v>5.0000000000000001E-3</v>
      </c>
      <c r="E11" s="19">
        <v>0.5</v>
      </c>
      <c r="F11" s="20">
        <v>-0.2</v>
      </c>
      <c r="G11" s="30">
        <v>10</v>
      </c>
      <c r="H11" s="31">
        <v>0.4</v>
      </c>
      <c r="I11" s="30">
        <v>10</v>
      </c>
      <c r="J11" s="31">
        <v>-0.2</v>
      </c>
      <c r="K11" s="19">
        <v>2</v>
      </c>
      <c r="L11" s="20">
        <v>-0.1</v>
      </c>
      <c r="M11" s="30">
        <v>15</v>
      </c>
      <c r="N11" s="31">
        <v>0</v>
      </c>
      <c r="O11" s="19">
        <v>1</v>
      </c>
      <c r="P11" s="20">
        <v>-0.25</v>
      </c>
      <c r="Q11" s="19">
        <v>1</v>
      </c>
      <c r="R11" s="20">
        <v>-0.6</v>
      </c>
      <c r="S11" s="19">
        <v>1</v>
      </c>
      <c r="T11" s="20">
        <v>5.0000000000000001E-3</v>
      </c>
    </row>
    <row r="12" spans="1:20" x14ac:dyDescent="0.25">
      <c r="A12" s="30">
        <v>27</v>
      </c>
      <c r="B12" s="31">
        <v>-0.1</v>
      </c>
      <c r="C12" s="19">
        <v>3</v>
      </c>
      <c r="D12" s="20">
        <v>0.01</v>
      </c>
      <c r="E12" s="19">
        <v>1</v>
      </c>
      <c r="F12" s="20">
        <v>-0.15</v>
      </c>
      <c r="G12" s="30">
        <v>9</v>
      </c>
      <c r="H12" s="31">
        <v>0.45</v>
      </c>
      <c r="I12" s="30">
        <v>9</v>
      </c>
      <c r="J12" s="31">
        <v>-0.15</v>
      </c>
      <c r="K12" s="19">
        <v>4</v>
      </c>
      <c r="L12" s="20">
        <v>0</v>
      </c>
      <c r="M12" s="30">
        <v>13.5</v>
      </c>
      <c r="N12" s="31">
        <v>0.05</v>
      </c>
      <c r="O12" s="19">
        <v>2</v>
      </c>
      <c r="P12" s="20">
        <v>-0.15</v>
      </c>
      <c r="Q12" s="19">
        <v>2</v>
      </c>
      <c r="R12" s="20">
        <v>-0.5</v>
      </c>
      <c r="S12" s="19">
        <v>2</v>
      </c>
      <c r="T12" s="20">
        <v>0.01</v>
      </c>
    </row>
    <row r="13" spans="1:20" x14ac:dyDescent="0.25">
      <c r="A13" s="27">
        <v>24</v>
      </c>
      <c r="B13" s="28">
        <v>-0.05</v>
      </c>
      <c r="C13" s="22">
        <v>4.5</v>
      </c>
      <c r="D13" s="23">
        <v>1.4999999999999999E-2</v>
      </c>
      <c r="E13" s="22">
        <v>1.5</v>
      </c>
      <c r="F13" s="23">
        <v>-0.1</v>
      </c>
      <c r="G13" s="27">
        <v>8</v>
      </c>
      <c r="H13" s="28">
        <v>0.5</v>
      </c>
      <c r="I13" s="27">
        <v>8</v>
      </c>
      <c r="J13" s="28">
        <v>-0.1</v>
      </c>
      <c r="K13" s="22">
        <v>6</v>
      </c>
      <c r="L13" s="23">
        <v>0.1</v>
      </c>
      <c r="M13" s="27">
        <v>12</v>
      </c>
      <c r="N13" s="28">
        <v>0.1</v>
      </c>
      <c r="O13" s="22">
        <v>3</v>
      </c>
      <c r="P13" s="23">
        <v>-0.05</v>
      </c>
      <c r="Q13" s="22">
        <v>3</v>
      </c>
      <c r="R13" s="23">
        <v>-0.4</v>
      </c>
      <c r="S13" s="22">
        <v>3</v>
      </c>
      <c r="T13" s="23">
        <v>1.4999999999999999E-2</v>
      </c>
    </row>
    <row r="14" spans="1:20" x14ac:dyDescent="0.25">
      <c r="A14" s="27">
        <v>21</v>
      </c>
      <c r="B14" s="28">
        <v>0</v>
      </c>
      <c r="C14" s="22">
        <v>6</v>
      </c>
      <c r="D14" s="23">
        <v>0.02</v>
      </c>
      <c r="E14" s="22">
        <v>2</v>
      </c>
      <c r="F14" s="23">
        <v>-0.05</v>
      </c>
      <c r="G14" s="27">
        <v>7</v>
      </c>
      <c r="H14" s="28">
        <v>0.55000000000000004</v>
      </c>
      <c r="I14" s="27">
        <v>7</v>
      </c>
      <c r="J14" s="28">
        <v>-0.05</v>
      </c>
      <c r="K14" s="22">
        <v>8</v>
      </c>
      <c r="L14" s="23">
        <v>0.2</v>
      </c>
      <c r="M14" s="27">
        <v>10.5</v>
      </c>
      <c r="N14" s="28">
        <v>0.15</v>
      </c>
      <c r="O14" s="22">
        <v>4</v>
      </c>
      <c r="P14" s="23">
        <v>0.05</v>
      </c>
      <c r="Q14" s="22">
        <v>4</v>
      </c>
      <c r="R14" s="23">
        <v>-0.3</v>
      </c>
      <c r="S14" s="22">
        <v>4</v>
      </c>
      <c r="T14" s="23">
        <v>0.02</v>
      </c>
    </row>
    <row r="15" spans="1:20" x14ac:dyDescent="0.25">
      <c r="A15" s="25">
        <v>18</v>
      </c>
      <c r="B15" s="26">
        <v>0.05</v>
      </c>
      <c r="C15" s="25">
        <v>7.5</v>
      </c>
      <c r="D15" s="26">
        <v>2.5000000000000001E-2</v>
      </c>
      <c r="E15" s="25">
        <v>2.5</v>
      </c>
      <c r="F15" s="26">
        <v>0</v>
      </c>
      <c r="G15" s="25">
        <v>6</v>
      </c>
      <c r="H15" s="26">
        <v>0.6</v>
      </c>
      <c r="I15" s="25">
        <v>6</v>
      </c>
      <c r="J15" s="26">
        <v>0</v>
      </c>
      <c r="K15" s="25">
        <v>10</v>
      </c>
      <c r="L15" s="26">
        <v>0.3</v>
      </c>
      <c r="M15" s="25">
        <v>9</v>
      </c>
      <c r="N15" s="26">
        <v>0.2</v>
      </c>
      <c r="O15" s="25">
        <v>5</v>
      </c>
      <c r="P15" s="26">
        <v>0.15</v>
      </c>
      <c r="Q15" s="25">
        <v>5</v>
      </c>
      <c r="R15" s="26">
        <v>-0.2</v>
      </c>
      <c r="S15" s="25">
        <v>5</v>
      </c>
      <c r="T15" s="26">
        <v>2.5000000000000001E-2</v>
      </c>
    </row>
    <row r="16" spans="1:20" x14ac:dyDescent="0.25">
      <c r="A16" s="25">
        <v>15</v>
      </c>
      <c r="B16" s="26">
        <v>0.1</v>
      </c>
      <c r="C16" s="25">
        <v>9</v>
      </c>
      <c r="D16" s="26">
        <v>0.03</v>
      </c>
      <c r="E16" s="25">
        <v>3</v>
      </c>
      <c r="F16" s="26">
        <v>0.05</v>
      </c>
      <c r="G16" s="25">
        <v>5</v>
      </c>
      <c r="H16" s="26">
        <v>0.65</v>
      </c>
      <c r="I16" s="25">
        <v>5</v>
      </c>
      <c r="J16" s="26">
        <v>0.05</v>
      </c>
      <c r="K16" s="25">
        <v>12</v>
      </c>
      <c r="L16" s="26">
        <v>0.4</v>
      </c>
      <c r="M16" s="25">
        <v>7.5</v>
      </c>
      <c r="N16" s="26">
        <v>0.25</v>
      </c>
      <c r="O16" s="25">
        <v>6</v>
      </c>
      <c r="P16" s="26">
        <v>0.25</v>
      </c>
      <c r="Q16" s="25">
        <v>6</v>
      </c>
      <c r="R16" s="26">
        <v>-0.1</v>
      </c>
      <c r="S16" s="25">
        <v>6</v>
      </c>
      <c r="T16" s="26">
        <v>0.03</v>
      </c>
    </row>
    <row r="17" spans="1:20" x14ac:dyDescent="0.25">
      <c r="A17" s="22">
        <v>12</v>
      </c>
      <c r="B17" s="23">
        <v>0.15</v>
      </c>
      <c r="C17" s="27">
        <v>10.5</v>
      </c>
      <c r="D17" s="28">
        <v>3.5000000000000003E-2</v>
      </c>
      <c r="E17" s="27">
        <v>3.5</v>
      </c>
      <c r="F17" s="28">
        <v>0.1</v>
      </c>
      <c r="G17" s="22">
        <v>4</v>
      </c>
      <c r="H17" s="23">
        <v>0.7</v>
      </c>
      <c r="I17" s="22">
        <v>4</v>
      </c>
      <c r="J17" s="23">
        <v>0.1</v>
      </c>
      <c r="K17" s="27">
        <v>14</v>
      </c>
      <c r="L17" s="28">
        <v>0.5</v>
      </c>
      <c r="M17" s="22">
        <v>6</v>
      </c>
      <c r="N17" s="23">
        <v>0.3</v>
      </c>
      <c r="O17" s="27">
        <v>7</v>
      </c>
      <c r="P17" s="28">
        <v>0.35</v>
      </c>
      <c r="Q17" s="27">
        <v>7</v>
      </c>
      <c r="R17" s="28">
        <v>0</v>
      </c>
      <c r="S17" s="27">
        <v>7</v>
      </c>
      <c r="T17" s="28">
        <v>3.5000000000000003E-2</v>
      </c>
    </row>
    <row r="18" spans="1:20" x14ac:dyDescent="0.25">
      <c r="A18" s="22">
        <v>9</v>
      </c>
      <c r="B18" s="23">
        <v>0.2</v>
      </c>
      <c r="C18" s="27">
        <v>12</v>
      </c>
      <c r="D18" s="28">
        <v>0.04</v>
      </c>
      <c r="E18" s="27">
        <v>4</v>
      </c>
      <c r="F18" s="28">
        <v>0.15</v>
      </c>
      <c r="G18" s="22">
        <v>3</v>
      </c>
      <c r="H18" s="23">
        <v>0.75</v>
      </c>
      <c r="I18" s="22">
        <v>3</v>
      </c>
      <c r="J18" s="23">
        <v>0.15</v>
      </c>
      <c r="K18" s="27">
        <v>16</v>
      </c>
      <c r="L18" s="28">
        <v>0.6</v>
      </c>
      <c r="M18" s="22">
        <v>4.5</v>
      </c>
      <c r="N18" s="23">
        <v>0.35</v>
      </c>
      <c r="O18" s="27">
        <v>8</v>
      </c>
      <c r="P18" s="28">
        <v>0.45</v>
      </c>
      <c r="Q18" s="27">
        <v>8</v>
      </c>
      <c r="R18" s="28">
        <v>0.1</v>
      </c>
      <c r="S18" s="27">
        <v>8</v>
      </c>
      <c r="T18" s="28">
        <v>0.04</v>
      </c>
    </row>
    <row r="19" spans="1:20" x14ac:dyDescent="0.25">
      <c r="A19" s="19">
        <v>6</v>
      </c>
      <c r="B19" s="20">
        <v>0.25</v>
      </c>
      <c r="C19" s="30">
        <v>13.5</v>
      </c>
      <c r="D19" s="31">
        <v>4.4999999999999998E-2</v>
      </c>
      <c r="E19" s="30">
        <v>4.5</v>
      </c>
      <c r="F19" s="31">
        <v>0.2</v>
      </c>
      <c r="G19" s="19">
        <v>2</v>
      </c>
      <c r="H19" s="20">
        <v>0.8</v>
      </c>
      <c r="I19" s="19">
        <v>2</v>
      </c>
      <c r="J19" s="20">
        <v>0.2</v>
      </c>
      <c r="K19" s="30">
        <v>18</v>
      </c>
      <c r="L19" s="31">
        <v>0.7</v>
      </c>
      <c r="M19" s="19">
        <v>3</v>
      </c>
      <c r="N19" s="20">
        <v>0.4</v>
      </c>
      <c r="O19" s="30">
        <v>9</v>
      </c>
      <c r="P19" s="31">
        <v>0.55000000000000004</v>
      </c>
      <c r="Q19" s="30">
        <v>9</v>
      </c>
      <c r="R19" s="31">
        <v>0.2</v>
      </c>
      <c r="S19" s="30">
        <v>9</v>
      </c>
      <c r="T19" s="31">
        <v>4.4999999999999998E-2</v>
      </c>
    </row>
    <row r="20" spans="1:20" x14ac:dyDescent="0.25">
      <c r="A20" s="19">
        <v>3</v>
      </c>
      <c r="B20" s="20"/>
      <c r="C20" s="30">
        <v>15</v>
      </c>
      <c r="D20" s="31"/>
      <c r="E20" s="30">
        <v>5</v>
      </c>
      <c r="F20" s="31"/>
      <c r="G20" s="19">
        <v>1</v>
      </c>
      <c r="H20" s="20"/>
      <c r="I20" s="19">
        <v>1</v>
      </c>
      <c r="J20" s="20"/>
      <c r="K20" s="30">
        <v>20</v>
      </c>
      <c r="L20" s="31"/>
      <c r="M20" s="19">
        <v>1.5</v>
      </c>
      <c r="N20" s="20"/>
      <c r="O20" s="30">
        <v>10</v>
      </c>
      <c r="P20" s="31"/>
      <c r="Q20" s="30">
        <v>10</v>
      </c>
      <c r="R20" s="31"/>
      <c r="S20" s="30">
        <v>10</v>
      </c>
      <c r="T20" s="31"/>
    </row>
    <row r="21" spans="1:20" x14ac:dyDescent="0.25">
      <c r="A21" s="17"/>
    </row>
    <row r="22" spans="1:20" ht="30" customHeight="1" x14ac:dyDescent="0.25">
      <c r="A22" s="103" t="s">
        <v>254</v>
      </c>
      <c r="B22" s="103"/>
      <c r="C22" s="103" t="s">
        <v>181</v>
      </c>
      <c r="D22" s="103"/>
      <c r="E22" s="103" t="s">
        <v>265</v>
      </c>
      <c r="F22" s="103"/>
      <c r="G22" s="103" t="s">
        <v>183</v>
      </c>
      <c r="H22" s="103"/>
      <c r="I22" s="103" t="s">
        <v>185</v>
      </c>
      <c r="J22" s="103"/>
      <c r="K22" s="103" t="s">
        <v>186</v>
      </c>
      <c r="L22" s="103"/>
      <c r="M22" s="103" t="s">
        <v>187</v>
      </c>
      <c r="N22" s="103"/>
      <c r="O22" s="102" t="s">
        <v>239</v>
      </c>
      <c r="P22" s="102"/>
      <c r="Q22" s="102" t="s">
        <v>266</v>
      </c>
      <c r="R22" s="102"/>
      <c r="S22" s="102" t="s">
        <v>240</v>
      </c>
      <c r="T22" s="102"/>
    </row>
    <row r="23" spans="1:20" x14ac:dyDescent="0.25">
      <c r="A23" s="1" t="s">
        <v>163</v>
      </c>
      <c r="B23" s="1" t="s">
        <v>164</v>
      </c>
      <c r="C23" s="1" t="s">
        <v>163</v>
      </c>
      <c r="D23" s="1" t="s">
        <v>164</v>
      </c>
      <c r="E23" s="1" t="s">
        <v>163</v>
      </c>
      <c r="F23" s="1" t="s">
        <v>164</v>
      </c>
      <c r="G23" s="1" t="s">
        <v>163</v>
      </c>
      <c r="H23" s="1" t="s">
        <v>164</v>
      </c>
      <c r="I23" s="1" t="s">
        <v>163</v>
      </c>
      <c r="J23" s="1" t="s">
        <v>164</v>
      </c>
      <c r="K23" s="1" t="s">
        <v>163</v>
      </c>
      <c r="L23" s="1" t="s">
        <v>164</v>
      </c>
      <c r="M23" s="1" t="s">
        <v>163</v>
      </c>
      <c r="N23" s="1" t="s">
        <v>164</v>
      </c>
      <c r="O23" s="1" t="s">
        <v>163</v>
      </c>
      <c r="P23" s="1" t="s">
        <v>164</v>
      </c>
      <c r="Q23" s="1" t="s">
        <v>163</v>
      </c>
      <c r="R23" s="1" t="s">
        <v>164</v>
      </c>
      <c r="S23" s="1" t="s">
        <v>163</v>
      </c>
      <c r="T23" s="1" t="s">
        <v>164</v>
      </c>
    </row>
    <row r="24" spans="1:20" x14ac:dyDescent="0.25">
      <c r="A24" s="30">
        <v>10</v>
      </c>
      <c r="B24" s="31">
        <v>0.4</v>
      </c>
      <c r="C24" s="19">
        <v>1.5</v>
      </c>
      <c r="D24" s="20">
        <v>-0.1</v>
      </c>
      <c r="E24" s="19">
        <v>1.5</v>
      </c>
      <c r="F24" s="20">
        <v>-0.3</v>
      </c>
      <c r="G24" s="19">
        <v>1</v>
      </c>
      <c r="H24" s="20">
        <v>-0.1</v>
      </c>
      <c r="I24" s="30">
        <v>10</v>
      </c>
      <c r="J24" s="31">
        <v>-3.5000000000000003E-2</v>
      </c>
      <c r="K24" s="30">
        <v>10</v>
      </c>
      <c r="L24" s="31">
        <v>-3.5000000000000003E-2</v>
      </c>
      <c r="M24" s="19">
        <v>0.5</v>
      </c>
      <c r="N24" s="48">
        <v>-9.9999990000000007</v>
      </c>
      <c r="O24" s="19">
        <v>2</v>
      </c>
      <c r="P24" s="20">
        <v>-0.1</v>
      </c>
      <c r="Q24" s="19">
        <v>1</v>
      </c>
      <c r="R24" s="20">
        <v>-0.6</v>
      </c>
      <c r="S24" s="19">
        <v>1</v>
      </c>
      <c r="T24" s="20">
        <v>-0.25</v>
      </c>
    </row>
    <row r="25" spans="1:20" x14ac:dyDescent="0.25">
      <c r="A25" s="30">
        <v>9</v>
      </c>
      <c r="B25" s="31">
        <v>0.45</v>
      </c>
      <c r="C25" s="19">
        <v>3</v>
      </c>
      <c r="D25" s="20">
        <v>0</v>
      </c>
      <c r="E25" s="19">
        <v>3</v>
      </c>
      <c r="F25" s="20">
        <v>-0.25</v>
      </c>
      <c r="G25" s="19">
        <v>2</v>
      </c>
      <c r="H25" s="20">
        <v>0</v>
      </c>
      <c r="I25" s="30">
        <v>9</v>
      </c>
      <c r="J25" s="31">
        <v>-0.03</v>
      </c>
      <c r="K25" s="30">
        <v>9</v>
      </c>
      <c r="L25" s="31">
        <v>-0.03</v>
      </c>
      <c r="M25" s="19">
        <v>1</v>
      </c>
      <c r="N25" s="48">
        <v>-0.99999899999999997</v>
      </c>
      <c r="O25" s="19">
        <v>4</v>
      </c>
      <c r="P25" s="20">
        <v>0</v>
      </c>
      <c r="Q25" s="19">
        <v>2</v>
      </c>
      <c r="R25" s="20">
        <v>-0.5</v>
      </c>
      <c r="S25" s="19">
        <v>2</v>
      </c>
      <c r="T25" s="20">
        <v>-0.15</v>
      </c>
    </row>
    <row r="26" spans="1:20" x14ac:dyDescent="0.25">
      <c r="A26" s="27">
        <v>8</v>
      </c>
      <c r="B26" s="28">
        <v>0.5</v>
      </c>
      <c r="C26" s="22">
        <v>4.5</v>
      </c>
      <c r="D26" s="23">
        <v>0.1</v>
      </c>
      <c r="E26" s="22">
        <v>4.5</v>
      </c>
      <c r="F26" s="23">
        <v>-0.2</v>
      </c>
      <c r="G26" s="22">
        <v>3</v>
      </c>
      <c r="H26" s="23">
        <v>0.1</v>
      </c>
      <c r="I26" s="27">
        <v>8</v>
      </c>
      <c r="J26" s="28">
        <v>-2.5000000000000001E-2</v>
      </c>
      <c r="K26" s="27">
        <v>8</v>
      </c>
      <c r="L26" s="28">
        <v>-2.5000000000000001E-2</v>
      </c>
      <c r="M26" s="22">
        <v>1.5</v>
      </c>
      <c r="N26" s="49">
        <v>-0.5</v>
      </c>
      <c r="O26" s="22">
        <v>6</v>
      </c>
      <c r="P26" s="23">
        <v>0.1</v>
      </c>
      <c r="Q26" s="22">
        <v>3</v>
      </c>
      <c r="R26" s="23">
        <v>-0.4</v>
      </c>
      <c r="S26" s="22">
        <v>3</v>
      </c>
      <c r="T26" s="23">
        <v>-0.05</v>
      </c>
    </row>
    <row r="27" spans="1:20" x14ac:dyDescent="0.25">
      <c r="A27" s="27">
        <v>7</v>
      </c>
      <c r="B27" s="28">
        <v>0.55000000000000004</v>
      </c>
      <c r="C27" s="22">
        <v>6</v>
      </c>
      <c r="D27" s="23">
        <v>0.2</v>
      </c>
      <c r="E27" s="22">
        <v>6</v>
      </c>
      <c r="F27" s="23">
        <v>-0.15</v>
      </c>
      <c r="G27" s="22">
        <v>4</v>
      </c>
      <c r="H27" s="23">
        <v>0.2</v>
      </c>
      <c r="I27" s="27">
        <v>7</v>
      </c>
      <c r="J27" s="28">
        <v>-0.02</v>
      </c>
      <c r="K27" s="27">
        <v>7</v>
      </c>
      <c r="L27" s="28">
        <v>-0.02</v>
      </c>
      <c r="M27" s="22">
        <v>2</v>
      </c>
      <c r="N27" s="49">
        <v>-0.25</v>
      </c>
      <c r="O27" s="22">
        <v>8</v>
      </c>
      <c r="P27" s="23">
        <v>0.2</v>
      </c>
      <c r="Q27" s="22">
        <v>4</v>
      </c>
      <c r="R27" s="23">
        <v>-0.3</v>
      </c>
      <c r="S27" s="22">
        <v>4</v>
      </c>
      <c r="T27" s="23">
        <v>0.05</v>
      </c>
    </row>
    <row r="28" spans="1:20" x14ac:dyDescent="0.25">
      <c r="A28" s="25">
        <v>6</v>
      </c>
      <c r="B28" s="26">
        <v>0.6</v>
      </c>
      <c r="C28" s="25">
        <v>7.5</v>
      </c>
      <c r="D28" s="26">
        <v>0.3</v>
      </c>
      <c r="E28" s="25">
        <v>7.5</v>
      </c>
      <c r="F28" s="26">
        <v>-0.1</v>
      </c>
      <c r="G28" s="25">
        <v>5</v>
      </c>
      <c r="H28" s="26">
        <v>0.3</v>
      </c>
      <c r="I28" s="25">
        <v>6</v>
      </c>
      <c r="J28" s="26">
        <v>-1.4999999999999999E-2</v>
      </c>
      <c r="K28" s="25">
        <v>6</v>
      </c>
      <c r="L28" s="26">
        <v>-1.4999999999999999E-2</v>
      </c>
      <c r="M28" s="25">
        <v>2.5</v>
      </c>
      <c r="N28" s="50">
        <v>0</v>
      </c>
      <c r="O28" s="25">
        <v>10</v>
      </c>
      <c r="P28" s="26">
        <v>0.3</v>
      </c>
      <c r="Q28" s="25">
        <v>5</v>
      </c>
      <c r="R28" s="26">
        <v>-0.2</v>
      </c>
      <c r="S28" s="25">
        <v>5</v>
      </c>
      <c r="T28" s="26">
        <v>0.15</v>
      </c>
    </row>
    <row r="29" spans="1:20" x14ac:dyDescent="0.25">
      <c r="A29" s="25">
        <v>5</v>
      </c>
      <c r="B29" s="26">
        <v>0.65</v>
      </c>
      <c r="C29" s="25">
        <v>9</v>
      </c>
      <c r="D29" s="26">
        <v>0.4</v>
      </c>
      <c r="E29" s="25">
        <v>9</v>
      </c>
      <c r="F29" s="26">
        <v>-0.05</v>
      </c>
      <c r="G29" s="25">
        <v>6</v>
      </c>
      <c r="H29" s="26">
        <v>0.4</v>
      </c>
      <c r="I29" s="25">
        <v>5</v>
      </c>
      <c r="J29" s="26">
        <v>-0.01</v>
      </c>
      <c r="K29" s="25">
        <v>5</v>
      </c>
      <c r="L29" s="26">
        <v>-0.01</v>
      </c>
      <c r="M29" s="25">
        <v>3</v>
      </c>
      <c r="N29" s="50">
        <v>0.25</v>
      </c>
      <c r="O29" s="25">
        <v>12</v>
      </c>
      <c r="P29" s="26">
        <v>0.4</v>
      </c>
      <c r="Q29" s="25">
        <v>6</v>
      </c>
      <c r="R29" s="26">
        <v>-0.1</v>
      </c>
      <c r="S29" s="25">
        <v>6</v>
      </c>
      <c r="T29" s="26">
        <v>0.25</v>
      </c>
    </row>
    <row r="30" spans="1:20" x14ac:dyDescent="0.25">
      <c r="A30" s="22">
        <v>4</v>
      </c>
      <c r="B30" s="23">
        <v>0.7</v>
      </c>
      <c r="C30" s="27">
        <v>10.5</v>
      </c>
      <c r="D30" s="28">
        <v>0.5</v>
      </c>
      <c r="E30" s="27">
        <v>10.5</v>
      </c>
      <c r="F30" s="28">
        <v>0</v>
      </c>
      <c r="G30" s="27">
        <v>7</v>
      </c>
      <c r="H30" s="28">
        <v>0.5</v>
      </c>
      <c r="I30" s="22">
        <v>4</v>
      </c>
      <c r="J30" s="23">
        <v>-5.0000000000000001E-3</v>
      </c>
      <c r="K30" s="22">
        <v>4</v>
      </c>
      <c r="L30" s="23">
        <v>-5.0000000000000001E-3</v>
      </c>
      <c r="M30" s="27">
        <v>3.5</v>
      </c>
      <c r="N30" s="51">
        <v>0.5</v>
      </c>
      <c r="O30" s="27">
        <v>14</v>
      </c>
      <c r="P30" s="28">
        <v>0.5</v>
      </c>
      <c r="Q30" s="27">
        <v>7</v>
      </c>
      <c r="R30" s="28">
        <v>0</v>
      </c>
      <c r="S30" s="27">
        <v>7</v>
      </c>
      <c r="T30" s="28">
        <v>0.35</v>
      </c>
    </row>
    <row r="31" spans="1:20" x14ac:dyDescent="0.25">
      <c r="A31" s="22">
        <v>3</v>
      </c>
      <c r="B31" s="23">
        <v>0.75</v>
      </c>
      <c r="C31" s="27">
        <v>12</v>
      </c>
      <c r="D31" s="28">
        <v>0.6</v>
      </c>
      <c r="E31" s="27">
        <v>12</v>
      </c>
      <c r="F31" s="28">
        <v>0.05</v>
      </c>
      <c r="G31" s="27">
        <v>8</v>
      </c>
      <c r="H31" s="28">
        <v>0.6</v>
      </c>
      <c r="I31" s="22">
        <v>3</v>
      </c>
      <c r="J31" s="23">
        <v>0</v>
      </c>
      <c r="K31" s="22">
        <v>3</v>
      </c>
      <c r="L31" s="23">
        <v>0</v>
      </c>
      <c r="M31" s="27">
        <v>4</v>
      </c>
      <c r="N31" s="51">
        <v>0.75</v>
      </c>
      <c r="O31" s="27">
        <v>16</v>
      </c>
      <c r="P31" s="28">
        <v>0.6</v>
      </c>
      <c r="Q31" s="27">
        <v>8</v>
      </c>
      <c r="R31" s="28">
        <v>0.1</v>
      </c>
      <c r="S31" s="27">
        <v>8</v>
      </c>
      <c r="T31" s="28">
        <v>0.45</v>
      </c>
    </row>
    <row r="32" spans="1:20" x14ac:dyDescent="0.25">
      <c r="A32" s="19">
        <v>2</v>
      </c>
      <c r="B32" s="20">
        <v>0.8</v>
      </c>
      <c r="C32" s="30">
        <v>13.5</v>
      </c>
      <c r="D32" s="31">
        <v>0.7</v>
      </c>
      <c r="E32" s="30">
        <v>13.5</v>
      </c>
      <c r="F32" s="31">
        <v>0.1</v>
      </c>
      <c r="G32" s="30">
        <v>9</v>
      </c>
      <c r="H32" s="31">
        <v>0.7</v>
      </c>
      <c r="I32" s="19">
        <v>2</v>
      </c>
      <c r="J32" s="20">
        <v>5.0000000000000001E-3</v>
      </c>
      <c r="K32" s="19">
        <v>2</v>
      </c>
      <c r="L32" s="20">
        <v>5.0000000000000001E-3</v>
      </c>
      <c r="M32" s="30">
        <v>4.5</v>
      </c>
      <c r="N32" s="52">
        <v>1</v>
      </c>
      <c r="O32" s="30">
        <v>18</v>
      </c>
      <c r="P32" s="31">
        <v>0.7</v>
      </c>
      <c r="Q32" s="30">
        <v>9</v>
      </c>
      <c r="R32" s="31">
        <v>0.2</v>
      </c>
      <c r="S32" s="30">
        <v>9</v>
      </c>
      <c r="T32" s="31">
        <v>0.55000000000000004</v>
      </c>
    </row>
    <row r="33" spans="1:20" x14ac:dyDescent="0.25">
      <c r="A33" s="19">
        <v>1</v>
      </c>
      <c r="B33" s="20"/>
      <c r="C33" s="30">
        <v>15</v>
      </c>
      <c r="D33" s="31"/>
      <c r="E33" s="30">
        <v>15</v>
      </c>
      <c r="F33" s="31"/>
      <c r="G33" s="30">
        <v>10</v>
      </c>
      <c r="H33" s="31"/>
      <c r="I33" s="19">
        <v>1</v>
      </c>
      <c r="J33" s="20"/>
      <c r="K33" s="19">
        <v>1</v>
      </c>
      <c r="L33" s="20"/>
      <c r="M33" s="30">
        <v>5</v>
      </c>
      <c r="N33" s="52"/>
      <c r="O33" s="30">
        <v>20</v>
      </c>
      <c r="P33" s="31"/>
      <c r="Q33" s="30">
        <v>10</v>
      </c>
      <c r="R33" s="31"/>
      <c r="S33" s="30">
        <v>10</v>
      </c>
      <c r="T33" s="31"/>
    </row>
  </sheetData>
  <mergeCells count="21">
    <mergeCell ref="O22:P22"/>
    <mergeCell ref="Q22:R22"/>
    <mergeCell ref="S22:T22"/>
    <mergeCell ref="K22:L22"/>
    <mergeCell ref="M22:N22"/>
    <mergeCell ref="A22:B22"/>
    <mergeCell ref="C22:D22"/>
    <mergeCell ref="E22:F22"/>
    <mergeCell ref="G22:H22"/>
    <mergeCell ref="I22:J22"/>
    <mergeCell ref="S9:T9"/>
    <mergeCell ref="A1:B1"/>
    <mergeCell ref="A9:B9"/>
    <mergeCell ref="C9:D9"/>
    <mergeCell ref="E9:F9"/>
    <mergeCell ref="G9:H9"/>
    <mergeCell ref="I9:J9"/>
    <mergeCell ref="K9:L9"/>
    <mergeCell ref="M9:N9"/>
    <mergeCell ref="O9:P9"/>
    <mergeCell ref="Q9:R9"/>
  </mergeCells>
  <conditionalFormatting sqref="D7">
    <cfRule type="cellIs" dxfId="0" priority="1" operator="notEqual">
      <formula>$B$7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zoomScale="60" zoomScaleNormal="60" workbookViewId="0"/>
  </sheetViews>
  <sheetFormatPr baseColWidth="10" defaultRowHeight="15" x14ac:dyDescent="0.25"/>
  <cols>
    <col min="1" max="1" width="28" bestFit="1" customWidth="1"/>
    <col min="2" max="2" width="20.85546875" bestFit="1" customWidth="1"/>
    <col min="3" max="3" width="14.7109375" bestFit="1" customWidth="1"/>
    <col min="4" max="4" width="15.140625" bestFit="1" customWidth="1"/>
    <col min="5" max="5" width="14.42578125" bestFit="1" customWidth="1"/>
    <col min="6" max="13" width="14.85546875" bestFit="1" customWidth="1"/>
    <col min="14" max="14" width="15.85546875" bestFit="1" customWidth="1"/>
  </cols>
  <sheetData>
    <row r="1" spans="1:15" x14ac:dyDescent="0.25">
      <c r="B1" s="39"/>
      <c r="C1" s="39"/>
      <c r="D1" s="38">
        <v>2015</v>
      </c>
      <c r="E1" s="38">
        <v>2014</v>
      </c>
      <c r="F1" s="38">
        <v>2013</v>
      </c>
      <c r="G1" s="38">
        <v>2012</v>
      </c>
      <c r="H1" s="38">
        <v>2011</v>
      </c>
      <c r="I1" s="38">
        <v>2010</v>
      </c>
      <c r="J1" s="38">
        <v>2009</v>
      </c>
      <c r="K1" s="38">
        <v>2008</v>
      </c>
      <c r="L1" s="38">
        <v>2007</v>
      </c>
      <c r="M1" s="38">
        <v>2006</v>
      </c>
      <c r="N1" s="38">
        <v>2005</v>
      </c>
      <c r="O1" s="39"/>
    </row>
    <row r="2" spans="1:15" x14ac:dyDescent="0.25">
      <c r="A2" s="38" t="s">
        <v>0</v>
      </c>
      <c r="B2" s="38" t="s">
        <v>1</v>
      </c>
      <c r="C2" s="38" t="s">
        <v>204</v>
      </c>
      <c r="D2" s="38" t="s">
        <v>142</v>
      </c>
      <c r="E2" s="38" t="s">
        <v>131</v>
      </c>
      <c r="F2" s="38" t="s">
        <v>132</v>
      </c>
      <c r="G2" s="38" t="s">
        <v>133</v>
      </c>
      <c r="H2" s="38" t="s">
        <v>134</v>
      </c>
      <c r="I2" s="38" t="s">
        <v>135</v>
      </c>
      <c r="J2" s="38" t="s">
        <v>136</v>
      </c>
      <c r="K2" s="38" t="s">
        <v>137</v>
      </c>
      <c r="L2" s="38" t="s">
        <v>138</v>
      </c>
      <c r="M2" s="38" t="s">
        <v>139</v>
      </c>
      <c r="N2" s="38" t="s">
        <v>140</v>
      </c>
      <c r="O2" s="39"/>
    </row>
    <row r="3" spans="1:15" x14ac:dyDescent="0.25">
      <c r="A3" s="39" t="s">
        <v>106</v>
      </c>
      <c r="B3" s="39" t="s">
        <v>197</v>
      </c>
      <c r="C3" s="68">
        <f t="shared" ref="C3:C34" si="0">SUM(D3:N3)</f>
        <v>2</v>
      </c>
      <c r="D3" s="58">
        <v>1</v>
      </c>
      <c r="E3" s="58">
        <v>1</v>
      </c>
      <c r="F3" s="58">
        <v>0</v>
      </c>
      <c r="G3" s="58">
        <v>0</v>
      </c>
      <c r="H3" s="58">
        <v>0</v>
      </c>
      <c r="I3" s="58">
        <v>0</v>
      </c>
      <c r="J3" s="58">
        <v>0</v>
      </c>
      <c r="K3" s="58">
        <v>0</v>
      </c>
      <c r="L3" s="58">
        <v>0</v>
      </c>
      <c r="M3" s="58">
        <v>0</v>
      </c>
      <c r="N3" s="58">
        <v>0</v>
      </c>
    </row>
    <row r="4" spans="1:15" x14ac:dyDescent="0.25">
      <c r="A4" s="39" t="s">
        <v>2</v>
      </c>
      <c r="B4" s="39" t="s">
        <v>3</v>
      </c>
      <c r="C4" s="68">
        <f t="shared" si="0"/>
        <v>10</v>
      </c>
      <c r="D4" s="58">
        <v>1</v>
      </c>
      <c r="E4" s="58">
        <v>1</v>
      </c>
      <c r="F4" s="58">
        <v>1</v>
      </c>
      <c r="G4" s="58">
        <v>1</v>
      </c>
      <c r="H4" s="58">
        <v>1</v>
      </c>
      <c r="I4" s="58">
        <v>1</v>
      </c>
      <c r="J4" s="58">
        <v>1</v>
      </c>
      <c r="K4" s="58">
        <v>1</v>
      </c>
      <c r="L4" s="58">
        <v>0</v>
      </c>
      <c r="M4" s="58">
        <v>1</v>
      </c>
      <c r="N4" s="58">
        <v>1</v>
      </c>
    </row>
    <row r="5" spans="1:15" x14ac:dyDescent="0.25">
      <c r="A5" s="39" t="s">
        <v>4</v>
      </c>
      <c r="B5" s="39" t="s">
        <v>5</v>
      </c>
      <c r="C5" s="68">
        <f t="shared" si="0"/>
        <v>11</v>
      </c>
      <c r="D5" s="58">
        <v>1</v>
      </c>
      <c r="E5" s="58">
        <v>1</v>
      </c>
      <c r="F5" s="58">
        <v>1</v>
      </c>
      <c r="G5" s="58">
        <v>1</v>
      </c>
      <c r="H5" s="58">
        <v>1</v>
      </c>
      <c r="I5" s="58">
        <v>1</v>
      </c>
      <c r="J5" s="58">
        <v>1</v>
      </c>
      <c r="K5" s="58">
        <v>1</v>
      </c>
      <c r="L5" s="58">
        <v>1</v>
      </c>
      <c r="M5" s="58">
        <v>1</v>
      </c>
      <c r="N5" s="58">
        <v>1</v>
      </c>
    </row>
    <row r="6" spans="1:15" x14ac:dyDescent="0.25">
      <c r="A6" s="39" t="s">
        <v>6</v>
      </c>
      <c r="B6" s="39" t="s">
        <v>7</v>
      </c>
      <c r="C6" s="68">
        <f t="shared" si="0"/>
        <v>9</v>
      </c>
      <c r="D6" s="58">
        <v>1</v>
      </c>
      <c r="E6" s="58">
        <v>1</v>
      </c>
      <c r="F6" s="58">
        <v>1</v>
      </c>
      <c r="G6" s="58">
        <v>1</v>
      </c>
      <c r="H6" s="58">
        <v>1</v>
      </c>
      <c r="I6" s="58">
        <v>0</v>
      </c>
      <c r="J6" s="58">
        <v>1</v>
      </c>
      <c r="K6" s="58">
        <v>0</v>
      </c>
      <c r="L6" s="58">
        <v>1</v>
      </c>
      <c r="M6" s="58">
        <v>1</v>
      </c>
      <c r="N6" s="58">
        <v>1</v>
      </c>
    </row>
    <row r="7" spans="1:15" x14ac:dyDescent="0.25">
      <c r="A7" s="39" t="s">
        <v>8</v>
      </c>
      <c r="B7" s="39" t="s">
        <v>9</v>
      </c>
      <c r="C7" s="68">
        <f t="shared" si="0"/>
        <v>11</v>
      </c>
      <c r="D7" s="58">
        <v>1</v>
      </c>
      <c r="E7" s="58">
        <v>1</v>
      </c>
      <c r="F7" s="58">
        <v>1</v>
      </c>
      <c r="G7" s="58">
        <v>1</v>
      </c>
      <c r="H7" s="58">
        <v>1</v>
      </c>
      <c r="I7" s="58">
        <v>1</v>
      </c>
      <c r="J7" s="58">
        <v>1</v>
      </c>
      <c r="K7" s="58">
        <v>1</v>
      </c>
      <c r="L7" s="58">
        <v>1</v>
      </c>
      <c r="M7" s="58">
        <v>1</v>
      </c>
      <c r="N7" s="58">
        <v>1</v>
      </c>
    </row>
    <row r="8" spans="1:15" x14ac:dyDescent="0.25">
      <c r="A8" s="39" t="s">
        <v>10</v>
      </c>
      <c r="B8" s="39" t="s">
        <v>11</v>
      </c>
      <c r="C8" s="68">
        <f t="shared" si="0"/>
        <v>1</v>
      </c>
      <c r="D8" s="58">
        <v>1</v>
      </c>
      <c r="E8" s="58">
        <v>0</v>
      </c>
      <c r="F8" s="58">
        <v>0</v>
      </c>
      <c r="G8" s="58">
        <v>0</v>
      </c>
      <c r="H8" s="58">
        <v>0</v>
      </c>
      <c r="I8" s="58">
        <v>0</v>
      </c>
      <c r="J8" s="58">
        <v>0</v>
      </c>
      <c r="K8" s="58">
        <v>0</v>
      </c>
      <c r="L8" s="58">
        <v>0</v>
      </c>
      <c r="M8" s="58">
        <v>0</v>
      </c>
      <c r="N8" s="58">
        <v>0</v>
      </c>
    </row>
    <row r="9" spans="1:15" x14ac:dyDescent="0.25">
      <c r="A9" s="39" t="s">
        <v>12</v>
      </c>
      <c r="B9" s="39" t="s">
        <v>13</v>
      </c>
      <c r="C9" s="68">
        <f t="shared" si="0"/>
        <v>11</v>
      </c>
      <c r="D9" s="58">
        <v>1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8">
        <v>1</v>
      </c>
      <c r="M9" s="58">
        <v>1</v>
      </c>
      <c r="N9" s="58">
        <v>1</v>
      </c>
    </row>
    <row r="10" spans="1:15" x14ac:dyDescent="0.25">
      <c r="A10" s="39" t="s">
        <v>14</v>
      </c>
      <c r="B10" s="39" t="s">
        <v>15</v>
      </c>
      <c r="C10" s="68">
        <f t="shared" si="0"/>
        <v>1</v>
      </c>
      <c r="D10" s="58">
        <v>1</v>
      </c>
      <c r="E10" s="58">
        <v>0</v>
      </c>
      <c r="F10" s="58">
        <v>0</v>
      </c>
      <c r="G10" s="58">
        <v>0</v>
      </c>
      <c r="H10" s="58">
        <v>0</v>
      </c>
      <c r="I10" s="58">
        <v>0</v>
      </c>
      <c r="J10" s="58">
        <v>0</v>
      </c>
      <c r="K10" s="58">
        <v>0</v>
      </c>
      <c r="L10" s="58">
        <v>0</v>
      </c>
      <c r="M10" s="58">
        <v>0</v>
      </c>
      <c r="N10" s="58">
        <v>0</v>
      </c>
    </row>
    <row r="11" spans="1:15" x14ac:dyDescent="0.25">
      <c r="A11" s="39" t="s">
        <v>16</v>
      </c>
      <c r="B11" s="39" t="s">
        <v>17</v>
      </c>
      <c r="C11" s="68">
        <f t="shared" si="0"/>
        <v>9</v>
      </c>
      <c r="D11" s="58">
        <v>1</v>
      </c>
      <c r="E11" s="58">
        <v>1</v>
      </c>
      <c r="F11" s="58">
        <v>1</v>
      </c>
      <c r="G11" s="58">
        <v>1</v>
      </c>
      <c r="H11" s="58">
        <v>0</v>
      </c>
      <c r="I11" s="58">
        <v>0</v>
      </c>
      <c r="J11" s="58">
        <v>1</v>
      </c>
      <c r="K11" s="58">
        <v>1</v>
      </c>
      <c r="L11" s="58">
        <v>1</v>
      </c>
      <c r="M11" s="58">
        <v>1</v>
      </c>
      <c r="N11" s="58">
        <v>1</v>
      </c>
    </row>
    <row r="12" spans="1:15" x14ac:dyDescent="0.25">
      <c r="A12" s="39" t="s">
        <v>18</v>
      </c>
      <c r="B12" s="39" t="s">
        <v>19</v>
      </c>
      <c r="C12" s="68">
        <f t="shared" si="0"/>
        <v>9</v>
      </c>
      <c r="D12" s="58">
        <v>1</v>
      </c>
      <c r="E12" s="58">
        <v>1</v>
      </c>
      <c r="F12" s="58">
        <v>1</v>
      </c>
      <c r="G12" s="58">
        <v>1</v>
      </c>
      <c r="H12" s="58">
        <v>1</v>
      </c>
      <c r="I12" s="58">
        <v>1</v>
      </c>
      <c r="J12" s="58">
        <v>1</v>
      </c>
      <c r="K12" s="58">
        <v>0</v>
      </c>
      <c r="L12" s="58">
        <v>0</v>
      </c>
      <c r="M12" s="58">
        <v>1</v>
      </c>
      <c r="N12" s="58">
        <v>1</v>
      </c>
    </row>
    <row r="13" spans="1:15" x14ac:dyDescent="0.25">
      <c r="A13" s="39" t="s">
        <v>20</v>
      </c>
      <c r="B13" s="39" t="s">
        <v>21</v>
      </c>
      <c r="C13" s="68">
        <f t="shared" si="0"/>
        <v>11</v>
      </c>
      <c r="D13" s="58">
        <v>1</v>
      </c>
      <c r="E13" s="58">
        <v>1</v>
      </c>
      <c r="F13" s="58">
        <v>1</v>
      </c>
      <c r="G13" s="58">
        <v>1</v>
      </c>
      <c r="H13" s="58">
        <v>1</v>
      </c>
      <c r="I13" s="58">
        <v>1</v>
      </c>
      <c r="J13" s="58">
        <v>1</v>
      </c>
      <c r="K13" s="58">
        <v>1</v>
      </c>
      <c r="L13" s="58">
        <v>1</v>
      </c>
      <c r="M13" s="58">
        <v>1</v>
      </c>
      <c r="N13" s="58">
        <v>1</v>
      </c>
    </row>
    <row r="14" spans="1:15" x14ac:dyDescent="0.25">
      <c r="A14" s="39" t="s">
        <v>22</v>
      </c>
      <c r="B14" s="39" t="s">
        <v>23</v>
      </c>
      <c r="C14" s="68">
        <f t="shared" si="0"/>
        <v>11</v>
      </c>
      <c r="D14" s="58">
        <v>1</v>
      </c>
      <c r="E14" s="58">
        <v>1</v>
      </c>
      <c r="F14" s="58">
        <v>1</v>
      </c>
      <c r="G14" s="58">
        <v>1</v>
      </c>
      <c r="H14" s="58">
        <v>1</v>
      </c>
      <c r="I14" s="58">
        <v>1</v>
      </c>
      <c r="J14" s="58">
        <v>1</v>
      </c>
      <c r="K14" s="58">
        <v>1</v>
      </c>
      <c r="L14" s="58">
        <v>1</v>
      </c>
      <c r="M14" s="58">
        <v>1</v>
      </c>
      <c r="N14" s="58">
        <v>1</v>
      </c>
    </row>
    <row r="15" spans="1:15" x14ac:dyDescent="0.25">
      <c r="A15" s="39" t="s">
        <v>24</v>
      </c>
      <c r="B15" s="39" t="s">
        <v>25</v>
      </c>
      <c r="C15" s="68">
        <f t="shared" si="0"/>
        <v>11</v>
      </c>
      <c r="D15" s="58">
        <v>1</v>
      </c>
      <c r="E15" s="58">
        <v>1</v>
      </c>
      <c r="F15" s="58">
        <v>1</v>
      </c>
      <c r="G15" s="58">
        <v>1</v>
      </c>
      <c r="H15" s="58">
        <v>1</v>
      </c>
      <c r="I15" s="58">
        <v>1</v>
      </c>
      <c r="J15" s="58">
        <v>1</v>
      </c>
      <c r="K15" s="58">
        <v>1</v>
      </c>
      <c r="L15" s="58">
        <v>1</v>
      </c>
      <c r="M15" s="58">
        <v>1</v>
      </c>
      <c r="N15" s="58">
        <v>1</v>
      </c>
    </row>
    <row r="16" spans="1:15" x14ac:dyDescent="0.25">
      <c r="A16" s="39" t="s">
        <v>26</v>
      </c>
      <c r="B16" s="39" t="s">
        <v>27</v>
      </c>
      <c r="C16" s="68">
        <f t="shared" si="0"/>
        <v>10</v>
      </c>
      <c r="D16" s="58">
        <v>1</v>
      </c>
      <c r="E16" s="58">
        <v>1</v>
      </c>
      <c r="F16" s="58">
        <v>1</v>
      </c>
      <c r="G16" s="58">
        <v>1</v>
      </c>
      <c r="H16" s="58">
        <v>1</v>
      </c>
      <c r="I16" s="58">
        <v>1</v>
      </c>
      <c r="J16" s="58">
        <v>1</v>
      </c>
      <c r="K16" s="58">
        <v>1</v>
      </c>
      <c r="L16" s="58">
        <v>0</v>
      </c>
      <c r="M16" s="58">
        <v>1</v>
      </c>
      <c r="N16" s="58">
        <v>1</v>
      </c>
    </row>
    <row r="17" spans="1:14" x14ac:dyDescent="0.25">
      <c r="A17" s="39" t="s">
        <v>28</v>
      </c>
      <c r="B17" s="39" t="s">
        <v>29</v>
      </c>
      <c r="C17" s="68">
        <f t="shared" si="0"/>
        <v>11</v>
      </c>
      <c r="D17" s="58">
        <v>1</v>
      </c>
      <c r="E17" s="58">
        <v>1</v>
      </c>
      <c r="F17" s="58">
        <v>1</v>
      </c>
      <c r="G17" s="58">
        <v>1</v>
      </c>
      <c r="H17" s="58">
        <v>1</v>
      </c>
      <c r="I17" s="58">
        <v>1</v>
      </c>
      <c r="J17" s="58">
        <v>1</v>
      </c>
      <c r="K17" s="58">
        <v>1</v>
      </c>
      <c r="L17" s="58">
        <v>1</v>
      </c>
      <c r="M17" s="58">
        <v>1</v>
      </c>
      <c r="N17" s="58">
        <v>1</v>
      </c>
    </row>
    <row r="18" spans="1:14" x14ac:dyDescent="0.25">
      <c r="A18" s="39" t="s">
        <v>30</v>
      </c>
      <c r="B18" s="39" t="s">
        <v>31</v>
      </c>
      <c r="C18" s="68">
        <f t="shared" si="0"/>
        <v>11</v>
      </c>
      <c r="D18" s="58">
        <v>1</v>
      </c>
      <c r="E18" s="58">
        <v>1</v>
      </c>
      <c r="F18" s="58">
        <v>1</v>
      </c>
      <c r="G18" s="58">
        <v>1</v>
      </c>
      <c r="H18" s="58">
        <v>1</v>
      </c>
      <c r="I18" s="58">
        <v>1</v>
      </c>
      <c r="J18" s="58">
        <v>1</v>
      </c>
      <c r="K18" s="58">
        <v>1</v>
      </c>
      <c r="L18" s="58">
        <v>1</v>
      </c>
      <c r="M18" s="58">
        <v>1</v>
      </c>
      <c r="N18" s="58">
        <v>1</v>
      </c>
    </row>
    <row r="19" spans="1:14" x14ac:dyDescent="0.25">
      <c r="A19" s="39" t="s">
        <v>32</v>
      </c>
      <c r="B19" s="39" t="s">
        <v>33</v>
      </c>
      <c r="C19" s="68">
        <f t="shared" si="0"/>
        <v>11</v>
      </c>
      <c r="D19" s="58">
        <v>1</v>
      </c>
      <c r="E19" s="58">
        <v>1</v>
      </c>
      <c r="F19" s="58">
        <v>1</v>
      </c>
      <c r="G19" s="58">
        <v>1</v>
      </c>
      <c r="H19" s="58">
        <v>1</v>
      </c>
      <c r="I19" s="58">
        <v>1</v>
      </c>
      <c r="J19" s="58">
        <v>1</v>
      </c>
      <c r="K19" s="58">
        <v>1</v>
      </c>
      <c r="L19" s="58">
        <v>1</v>
      </c>
      <c r="M19" s="58">
        <v>1</v>
      </c>
      <c r="N19" s="58">
        <v>1</v>
      </c>
    </row>
    <row r="20" spans="1:14" x14ac:dyDescent="0.25">
      <c r="A20" s="39" t="s">
        <v>34</v>
      </c>
      <c r="B20" s="39" t="s">
        <v>35</v>
      </c>
      <c r="C20" s="68">
        <f t="shared" si="0"/>
        <v>10</v>
      </c>
      <c r="D20" s="58">
        <v>1</v>
      </c>
      <c r="E20" s="58">
        <v>1</v>
      </c>
      <c r="F20" s="58">
        <v>1</v>
      </c>
      <c r="G20" s="58">
        <v>1</v>
      </c>
      <c r="H20" s="58">
        <v>1</v>
      </c>
      <c r="I20" s="58">
        <v>1</v>
      </c>
      <c r="J20" s="58">
        <v>1</v>
      </c>
      <c r="K20" s="58">
        <v>1</v>
      </c>
      <c r="L20" s="58">
        <v>0</v>
      </c>
      <c r="M20" s="58">
        <v>1</v>
      </c>
      <c r="N20" s="58">
        <v>1</v>
      </c>
    </row>
    <row r="21" spans="1:14" x14ac:dyDescent="0.25">
      <c r="A21" s="39" t="s">
        <v>36</v>
      </c>
      <c r="B21" s="39" t="s">
        <v>37</v>
      </c>
      <c r="C21" s="68">
        <f t="shared" si="0"/>
        <v>11</v>
      </c>
      <c r="D21" s="58">
        <v>1</v>
      </c>
      <c r="E21" s="58">
        <v>1</v>
      </c>
      <c r="F21" s="58">
        <v>1</v>
      </c>
      <c r="G21" s="58">
        <v>1</v>
      </c>
      <c r="H21" s="58">
        <v>1</v>
      </c>
      <c r="I21" s="58">
        <v>1</v>
      </c>
      <c r="J21" s="58">
        <v>1</v>
      </c>
      <c r="K21" s="58">
        <v>1</v>
      </c>
      <c r="L21" s="58">
        <v>1</v>
      </c>
      <c r="M21" s="58">
        <v>1</v>
      </c>
      <c r="N21" s="58">
        <v>1</v>
      </c>
    </row>
    <row r="22" spans="1:14" x14ac:dyDescent="0.25">
      <c r="A22" s="39" t="s">
        <v>38</v>
      </c>
      <c r="B22" s="39" t="s">
        <v>39</v>
      </c>
      <c r="C22" s="68">
        <f t="shared" si="0"/>
        <v>9</v>
      </c>
      <c r="D22" s="58">
        <v>1</v>
      </c>
      <c r="E22" s="58">
        <v>1</v>
      </c>
      <c r="F22" s="58">
        <v>1</v>
      </c>
      <c r="G22" s="58">
        <v>1</v>
      </c>
      <c r="H22" s="58">
        <v>1</v>
      </c>
      <c r="I22" s="58">
        <v>1</v>
      </c>
      <c r="J22" s="58">
        <v>1</v>
      </c>
      <c r="K22" s="58">
        <v>1</v>
      </c>
      <c r="L22" s="58">
        <v>1</v>
      </c>
      <c r="M22" s="58">
        <v>0</v>
      </c>
      <c r="N22" s="58">
        <v>0</v>
      </c>
    </row>
    <row r="23" spans="1:14" x14ac:dyDescent="0.25">
      <c r="A23" s="39" t="s">
        <v>40</v>
      </c>
      <c r="B23" s="39" t="s">
        <v>41</v>
      </c>
      <c r="C23" s="68">
        <f t="shared" si="0"/>
        <v>9</v>
      </c>
      <c r="D23" s="58">
        <v>1</v>
      </c>
      <c r="E23" s="58">
        <v>1</v>
      </c>
      <c r="F23" s="58">
        <v>1</v>
      </c>
      <c r="G23" s="58">
        <v>1</v>
      </c>
      <c r="H23" s="58">
        <v>1</v>
      </c>
      <c r="I23" s="58">
        <v>1</v>
      </c>
      <c r="J23" s="58">
        <v>1</v>
      </c>
      <c r="K23" s="58">
        <v>1</v>
      </c>
      <c r="L23" s="58">
        <v>1</v>
      </c>
      <c r="M23" s="58">
        <v>0</v>
      </c>
      <c r="N23" s="58">
        <v>0</v>
      </c>
    </row>
    <row r="24" spans="1:14" x14ac:dyDescent="0.25">
      <c r="A24" s="39" t="s">
        <v>42</v>
      </c>
      <c r="B24" s="39" t="s">
        <v>43</v>
      </c>
      <c r="C24" s="68">
        <f t="shared" si="0"/>
        <v>11</v>
      </c>
      <c r="D24" s="58">
        <v>1</v>
      </c>
      <c r="E24" s="58">
        <v>1</v>
      </c>
      <c r="F24" s="58">
        <v>1</v>
      </c>
      <c r="G24" s="58">
        <v>1</v>
      </c>
      <c r="H24" s="58">
        <v>1</v>
      </c>
      <c r="I24" s="58">
        <v>1</v>
      </c>
      <c r="J24" s="58">
        <v>1</v>
      </c>
      <c r="K24" s="58">
        <v>1</v>
      </c>
      <c r="L24" s="58">
        <v>1</v>
      </c>
      <c r="M24" s="58">
        <v>1</v>
      </c>
      <c r="N24" s="58">
        <v>1</v>
      </c>
    </row>
    <row r="25" spans="1:14" x14ac:dyDescent="0.25">
      <c r="A25" s="39" t="s">
        <v>44</v>
      </c>
      <c r="B25" s="39" t="s">
        <v>45</v>
      </c>
      <c r="C25" s="68">
        <f t="shared" si="0"/>
        <v>11</v>
      </c>
      <c r="D25" s="58">
        <v>1</v>
      </c>
      <c r="E25" s="58">
        <v>1</v>
      </c>
      <c r="F25" s="58">
        <v>1</v>
      </c>
      <c r="G25" s="58">
        <v>1</v>
      </c>
      <c r="H25" s="58">
        <v>1</v>
      </c>
      <c r="I25" s="58">
        <v>1</v>
      </c>
      <c r="J25" s="58">
        <v>1</v>
      </c>
      <c r="K25" s="58">
        <v>1</v>
      </c>
      <c r="L25" s="58">
        <v>1</v>
      </c>
      <c r="M25" s="58">
        <v>1</v>
      </c>
      <c r="N25" s="58">
        <v>1</v>
      </c>
    </row>
    <row r="26" spans="1:14" x14ac:dyDescent="0.25">
      <c r="A26" s="39" t="s">
        <v>46</v>
      </c>
      <c r="B26" s="39" t="s">
        <v>47</v>
      </c>
      <c r="C26" s="68">
        <f t="shared" si="0"/>
        <v>11</v>
      </c>
      <c r="D26" s="58">
        <v>1</v>
      </c>
      <c r="E26" s="58">
        <v>1</v>
      </c>
      <c r="F26" s="58">
        <v>1</v>
      </c>
      <c r="G26" s="58">
        <v>1</v>
      </c>
      <c r="H26" s="58">
        <v>1</v>
      </c>
      <c r="I26" s="58">
        <v>1</v>
      </c>
      <c r="J26" s="58">
        <v>1</v>
      </c>
      <c r="K26" s="58">
        <v>1</v>
      </c>
      <c r="L26" s="58">
        <v>1</v>
      </c>
      <c r="M26" s="58">
        <v>1</v>
      </c>
      <c r="N26" s="58">
        <v>1</v>
      </c>
    </row>
    <row r="27" spans="1:14" x14ac:dyDescent="0.25">
      <c r="A27" s="39" t="s">
        <v>48</v>
      </c>
      <c r="B27" s="39" t="s">
        <v>49</v>
      </c>
      <c r="C27" s="68">
        <f t="shared" si="0"/>
        <v>11</v>
      </c>
      <c r="D27" s="58">
        <v>1</v>
      </c>
      <c r="E27" s="58">
        <v>1</v>
      </c>
      <c r="F27" s="58">
        <v>1</v>
      </c>
      <c r="G27" s="58">
        <v>1</v>
      </c>
      <c r="H27" s="58">
        <v>1</v>
      </c>
      <c r="I27" s="58">
        <v>1</v>
      </c>
      <c r="J27" s="58">
        <v>1</v>
      </c>
      <c r="K27" s="58">
        <v>1</v>
      </c>
      <c r="L27" s="58">
        <v>1</v>
      </c>
      <c r="M27" s="58">
        <v>1</v>
      </c>
      <c r="N27" s="58">
        <v>1</v>
      </c>
    </row>
    <row r="28" spans="1:14" x14ac:dyDescent="0.25">
      <c r="A28" s="39" t="s">
        <v>50</v>
      </c>
      <c r="B28" s="39" t="s">
        <v>51</v>
      </c>
      <c r="C28" s="68">
        <f t="shared" si="0"/>
        <v>11</v>
      </c>
      <c r="D28" s="58">
        <v>1</v>
      </c>
      <c r="E28" s="58">
        <v>1</v>
      </c>
      <c r="F28" s="58">
        <v>1</v>
      </c>
      <c r="G28" s="58">
        <v>1</v>
      </c>
      <c r="H28" s="58">
        <v>1</v>
      </c>
      <c r="I28" s="58">
        <v>1</v>
      </c>
      <c r="J28" s="58">
        <v>1</v>
      </c>
      <c r="K28" s="58">
        <v>1</v>
      </c>
      <c r="L28" s="58">
        <v>1</v>
      </c>
      <c r="M28" s="58">
        <v>1</v>
      </c>
      <c r="N28" s="58">
        <v>1</v>
      </c>
    </row>
    <row r="29" spans="1:14" x14ac:dyDescent="0.25">
      <c r="A29" s="39" t="s">
        <v>52</v>
      </c>
      <c r="B29" s="39" t="s">
        <v>53</v>
      </c>
      <c r="C29" s="68">
        <f t="shared" si="0"/>
        <v>11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58">
        <v>1</v>
      </c>
      <c r="L29" s="58">
        <v>1</v>
      </c>
      <c r="M29" s="58">
        <v>1</v>
      </c>
      <c r="N29" s="58">
        <v>1</v>
      </c>
    </row>
    <row r="30" spans="1:14" x14ac:dyDescent="0.25">
      <c r="A30" s="39" t="s">
        <v>54</v>
      </c>
      <c r="B30" s="39" t="s">
        <v>55</v>
      </c>
      <c r="C30" s="68">
        <f t="shared" si="0"/>
        <v>6</v>
      </c>
      <c r="D30" s="58">
        <v>1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1</v>
      </c>
      <c r="K30" s="58">
        <v>1</v>
      </c>
      <c r="L30" s="58">
        <v>1</v>
      </c>
      <c r="M30" s="58">
        <v>1</v>
      </c>
      <c r="N30" s="58">
        <v>1</v>
      </c>
    </row>
    <row r="31" spans="1:14" x14ac:dyDescent="0.25">
      <c r="A31" s="39" t="s">
        <v>56</v>
      </c>
      <c r="B31" s="39" t="s">
        <v>57</v>
      </c>
      <c r="C31" s="68">
        <f t="shared" si="0"/>
        <v>11</v>
      </c>
      <c r="D31" s="58">
        <v>1</v>
      </c>
      <c r="E31" s="58">
        <v>1</v>
      </c>
      <c r="F31" s="58">
        <v>1</v>
      </c>
      <c r="G31" s="58">
        <v>1</v>
      </c>
      <c r="H31" s="58">
        <v>1</v>
      </c>
      <c r="I31" s="58">
        <v>1</v>
      </c>
      <c r="J31" s="58">
        <v>1</v>
      </c>
      <c r="K31" s="58">
        <v>1</v>
      </c>
      <c r="L31" s="58">
        <v>1</v>
      </c>
      <c r="M31" s="58">
        <v>1</v>
      </c>
      <c r="N31" s="58">
        <v>1</v>
      </c>
    </row>
    <row r="32" spans="1:14" x14ac:dyDescent="0.25">
      <c r="A32" s="39" t="s">
        <v>58</v>
      </c>
      <c r="B32" s="39" t="s">
        <v>59</v>
      </c>
      <c r="C32" s="68">
        <f t="shared" si="0"/>
        <v>9</v>
      </c>
      <c r="D32" s="58">
        <v>1</v>
      </c>
      <c r="E32" s="58">
        <v>1</v>
      </c>
      <c r="F32" s="58">
        <v>1</v>
      </c>
      <c r="G32" s="58">
        <v>1</v>
      </c>
      <c r="H32" s="58">
        <v>1</v>
      </c>
      <c r="I32" s="58">
        <v>0</v>
      </c>
      <c r="J32" s="58">
        <v>1</v>
      </c>
      <c r="K32" s="58">
        <v>0</v>
      </c>
      <c r="L32" s="58">
        <v>1</v>
      </c>
      <c r="M32" s="58">
        <v>1</v>
      </c>
      <c r="N32" s="58">
        <v>1</v>
      </c>
    </row>
    <row r="33" spans="1:14" x14ac:dyDescent="0.25">
      <c r="A33" s="39" t="s">
        <v>60</v>
      </c>
      <c r="B33" s="39" t="s">
        <v>61</v>
      </c>
      <c r="C33" s="68">
        <f t="shared" si="0"/>
        <v>11</v>
      </c>
      <c r="D33" s="58">
        <v>1</v>
      </c>
      <c r="E33" s="58">
        <v>1</v>
      </c>
      <c r="F33" s="58">
        <v>1</v>
      </c>
      <c r="G33" s="58">
        <v>1</v>
      </c>
      <c r="H33" s="58">
        <v>1</v>
      </c>
      <c r="I33" s="58">
        <v>1</v>
      </c>
      <c r="J33" s="58">
        <v>1</v>
      </c>
      <c r="K33" s="58">
        <v>1</v>
      </c>
      <c r="L33" s="58">
        <v>1</v>
      </c>
      <c r="M33" s="58">
        <v>1</v>
      </c>
      <c r="N33" s="58">
        <v>1</v>
      </c>
    </row>
    <row r="34" spans="1:14" x14ac:dyDescent="0.25">
      <c r="A34" s="39" t="s">
        <v>62</v>
      </c>
      <c r="B34" s="39" t="s">
        <v>63</v>
      </c>
      <c r="C34" s="68">
        <f t="shared" si="0"/>
        <v>11</v>
      </c>
      <c r="D34" s="58">
        <v>1</v>
      </c>
      <c r="E34" s="58">
        <v>1</v>
      </c>
      <c r="F34" s="58">
        <v>1</v>
      </c>
      <c r="G34" s="58">
        <v>1</v>
      </c>
      <c r="H34" s="58">
        <v>1</v>
      </c>
      <c r="I34" s="58">
        <v>1</v>
      </c>
      <c r="J34" s="58">
        <v>1</v>
      </c>
      <c r="K34" s="58">
        <v>1</v>
      </c>
      <c r="L34" s="58">
        <v>1</v>
      </c>
      <c r="M34" s="58">
        <v>1</v>
      </c>
      <c r="N34" s="58">
        <v>1</v>
      </c>
    </row>
    <row r="35" spans="1:14" x14ac:dyDescent="0.25">
      <c r="A35" s="39" t="s">
        <v>64</v>
      </c>
      <c r="B35" s="39" t="s">
        <v>65</v>
      </c>
      <c r="C35" s="68">
        <f t="shared" ref="C35:C66" si="1">SUM(D35:N35)</f>
        <v>11</v>
      </c>
      <c r="D35" s="58">
        <v>1</v>
      </c>
      <c r="E35" s="58">
        <v>1</v>
      </c>
      <c r="F35" s="58">
        <v>1</v>
      </c>
      <c r="G35" s="58">
        <v>1</v>
      </c>
      <c r="H35" s="58">
        <v>1</v>
      </c>
      <c r="I35" s="58">
        <v>1</v>
      </c>
      <c r="J35" s="58">
        <v>1</v>
      </c>
      <c r="K35" s="58">
        <v>1</v>
      </c>
      <c r="L35" s="58">
        <v>1</v>
      </c>
      <c r="M35" s="58">
        <v>1</v>
      </c>
      <c r="N35" s="58">
        <v>1</v>
      </c>
    </row>
    <row r="36" spans="1:14" x14ac:dyDescent="0.25">
      <c r="A36" s="39" t="s">
        <v>66</v>
      </c>
      <c r="B36" s="39" t="s">
        <v>67</v>
      </c>
      <c r="C36" s="68">
        <f t="shared" si="1"/>
        <v>11</v>
      </c>
      <c r="D36" s="58">
        <v>1</v>
      </c>
      <c r="E36" s="58">
        <v>1</v>
      </c>
      <c r="F36" s="58">
        <v>1</v>
      </c>
      <c r="G36" s="58">
        <v>1</v>
      </c>
      <c r="H36" s="58">
        <v>1</v>
      </c>
      <c r="I36" s="58">
        <v>1</v>
      </c>
      <c r="J36" s="58">
        <v>1</v>
      </c>
      <c r="K36" s="58">
        <v>1</v>
      </c>
      <c r="L36" s="58">
        <v>1</v>
      </c>
      <c r="M36" s="58">
        <v>1</v>
      </c>
      <c r="N36" s="58">
        <v>1</v>
      </c>
    </row>
    <row r="37" spans="1:14" x14ac:dyDescent="0.25">
      <c r="A37" s="39" t="s">
        <v>68</v>
      </c>
      <c r="B37" s="39" t="s">
        <v>69</v>
      </c>
      <c r="C37" s="68">
        <f t="shared" si="1"/>
        <v>11</v>
      </c>
      <c r="D37" s="58">
        <v>1</v>
      </c>
      <c r="E37" s="58">
        <v>1</v>
      </c>
      <c r="F37" s="58">
        <v>1</v>
      </c>
      <c r="G37" s="58">
        <v>1</v>
      </c>
      <c r="H37" s="58">
        <v>1</v>
      </c>
      <c r="I37" s="58">
        <v>1</v>
      </c>
      <c r="J37" s="58">
        <v>1</v>
      </c>
      <c r="K37" s="58">
        <v>1</v>
      </c>
      <c r="L37" s="58">
        <v>1</v>
      </c>
      <c r="M37" s="58">
        <v>1</v>
      </c>
      <c r="N37" s="58">
        <v>1</v>
      </c>
    </row>
    <row r="38" spans="1:14" x14ac:dyDescent="0.25">
      <c r="A38" s="39" t="s">
        <v>70</v>
      </c>
      <c r="B38" s="39" t="s">
        <v>71</v>
      </c>
      <c r="C38" s="68">
        <f t="shared" si="1"/>
        <v>10</v>
      </c>
      <c r="D38" s="58">
        <v>1</v>
      </c>
      <c r="E38" s="58">
        <v>0</v>
      </c>
      <c r="F38" s="58">
        <v>1</v>
      </c>
      <c r="G38" s="58">
        <v>1</v>
      </c>
      <c r="H38" s="58">
        <v>1</v>
      </c>
      <c r="I38" s="58">
        <v>1</v>
      </c>
      <c r="J38" s="58">
        <v>1</v>
      </c>
      <c r="K38" s="58">
        <v>1</v>
      </c>
      <c r="L38" s="58">
        <v>1</v>
      </c>
      <c r="M38" s="58">
        <v>1</v>
      </c>
      <c r="N38" s="58">
        <v>1</v>
      </c>
    </row>
    <row r="39" spans="1:14" x14ac:dyDescent="0.25">
      <c r="A39" s="39" t="s">
        <v>72</v>
      </c>
      <c r="B39" s="39" t="s">
        <v>73</v>
      </c>
      <c r="C39" s="68">
        <f t="shared" si="1"/>
        <v>11</v>
      </c>
      <c r="D39" s="58">
        <v>1</v>
      </c>
      <c r="E39" s="58">
        <v>1</v>
      </c>
      <c r="F39" s="58">
        <v>1</v>
      </c>
      <c r="G39" s="58">
        <v>1</v>
      </c>
      <c r="H39" s="58">
        <v>1</v>
      </c>
      <c r="I39" s="58">
        <v>1</v>
      </c>
      <c r="J39" s="58">
        <v>1</v>
      </c>
      <c r="K39" s="58">
        <v>1</v>
      </c>
      <c r="L39" s="58">
        <v>1</v>
      </c>
      <c r="M39" s="58">
        <v>1</v>
      </c>
      <c r="N39" s="58">
        <v>1</v>
      </c>
    </row>
    <row r="40" spans="1:14" x14ac:dyDescent="0.25">
      <c r="A40" s="39" t="s">
        <v>74</v>
      </c>
      <c r="B40" s="39" t="s">
        <v>75</v>
      </c>
      <c r="C40" s="68">
        <f t="shared" si="1"/>
        <v>2</v>
      </c>
      <c r="D40" s="58">
        <v>1</v>
      </c>
      <c r="E40" s="58">
        <v>1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</row>
    <row r="41" spans="1:14" x14ac:dyDescent="0.25">
      <c r="A41" s="39" t="s">
        <v>76</v>
      </c>
      <c r="B41" s="39" t="s">
        <v>77</v>
      </c>
      <c r="C41" s="68">
        <f t="shared" si="1"/>
        <v>1</v>
      </c>
      <c r="D41" s="58">
        <v>1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</row>
    <row r="42" spans="1:14" x14ac:dyDescent="0.25">
      <c r="A42" s="39" t="s">
        <v>78</v>
      </c>
      <c r="B42" s="39" t="s">
        <v>79</v>
      </c>
      <c r="C42" s="68">
        <f t="shared" si="1"/>
        <v>10</v>
      </c>
      <c r="D42" s="58">
        <v>1</v>
      </c>
      <c r="E42" s="58">
        <v>1</v>
      </c>
      <c r="F42" s="58">
        <v>1</v>
      </c>
      <c r="G42" s="58">
        <v>1</v>
      </c>
      <c r="H42" s="58">
        <v>1</v>
      </c>
      <c r="I42" s="58">
        <v>1</v>
      </c>
      <c r="J42" s="58">
        <v>1</v>
      </c>
      <c r="K42" s="58">
        <v>1</v>
      </c>
      <c r="L42" s="58">
        <v>0</v>
      </c>
      <c r="M42" s="58">
        <v>1</v>
      </c>
      <c r="N42" s="58">
        <v>1</v>
      </c>
    </row>
    <row r="43" spans="1:14" x14ac:dyDescent="0.25">
      <c r="A43" s="39" t="s">
        <v>80</v>
      </c>
      <c r="B43" s="39" t="s">
        <v>81</v>
      </c>
      <c r="C43" s="68">
        <f t="shared" si="1"/>
        <v>10</v>
      </c>
      <c r="D43" s="58">
        <v>1</v>
      </c>
      <c r="E43" s="58">
        <v>1</v>
      </c>
      <c r="F43" s="58">
        <v>1</v>
      </c>
      <c r="G43" s="58">
        <v>1</v>
      </c>
      <c r="H43" s="58">
        <v>1</v>
      </c>
      <c r="I43" s="58">
        <v>0</v>
      </c>
      <c r="J43" s="58">
        <v>1</v>
      </c>
      <c r="K43" s="58">
        <v>1</v>
      </c>
      <c r="L43" s="58">
        <v>1</v>
      </c>
      <c r="M43" s="58">
        <v>1</v>
      </c>
      <c r="N43" s="58">
        <v>1</v>
      </c>
    </row>
    <row r="44" spans="1:14" x14ac:dyDescent="0.25">
      <c r="A44" s="39" t="s">
        <v>82</v>
      </c>
      <c r="B44" s="39" t="s">
        <v>83</v>
      </c>
      <c r="C44" s="68">
        <f t="shared" si="1"/>
        <v>9</v>
      </c>
      <c r="D44" s="58">
        <v>1</v>
      </c>
      <c r="E44" s="58">
        <v>1</v>
      </c>
      <c r="F44" s="58">
        <v>0</v>
      </c>
      <c r="G44" s="58">
        <v>0</v>
      </c>
      <c r="H44" s="58">
        <v>1</v>
      </c>
      <c r="I44" s="58">
        <v>1</v>
      </c>
      <c r="J44" s="58">
        <v>1</v>
      </c>
      <c r="K44" s="58">
        <v>1</v>
      </c>
      <c r="L44" s="58">
        <v>1</v>
      </c>
      <c r="M44" s="58">
        <v>1</v>
      </c>
      <c r="N44" s="58">
        <v>1</v>
      </c>
    </row>
    <row r="45" spans="1:14" x14ac:dyDescent="0.25">
      <c r="A45" s="39" t="s">
        <v>84</v>
      </c>
      <c r="B45" s="39" t="s">
        <v>85</v>
      </c>
      <c r="C45" s="68">
        <f t="shared" si="1"/>
        <v>2</v>
      </c>
      <c r="D45" s="58">
        <v>1</v>
      </c>
      <c r="E45" s="58">
        <v>1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</row>
    <row r="46" spans="1:14" x14ac:dyDescent="0.25">
      <c r="A46" s="39" t="s">
        <v>86</v>
      </c>
      <c r="B46" s="39" t="s">
        <v>87</v>
      </c>
      <c r="C46" s="68">
        <f t="shared" si="1"/>
        <v>1</v>
      </c>
      <c r="D46" s="58">
        <v>1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</row>
    <row r="47" spans="1:14" x14ac:dyDescent="0.25">
      <c r="A47" s="39" t="s">
        <v>88</v>
      </c>
      <c r="B47" s="39" t="s">
        <v>89</v>
      </c>
      <c r="C47" s="68">
        <f t="shared" si="1"/>
        <v>11</v>
      </c>
      <c r="D47" s="58">
        <v>1</v>
      </c>
      <c r="E47" s="58">
        <v>1</v>
      </c>
      <c r="F47" s="58">
        <v>1</v>
      </c>
      <c r="G47" s="58">
        <v>1</v>
      </c>
      <c r="H47" s="58">
        <v>1</v>
      </c>
      <c r="I47" s="58">
        <v>1</v>
      </c>
      <c r="J47" s="58">
        <v>1</v>
      </c>
      <c r="K47" s="58">
        <v>1</v>
      </c>
      <c r="L47" s="58">
        <v>1</v>
      </c>
      <c r="M47" s="58">
        <v>1</v>
      </c>
      <c r="N47" s="58">
        <v>1</v>
      </c>
    </row>
    <row r="48" spans="1:14" x14ac:dyDescent="0.25">
      <c r="A48" s="39" t="s">
        <v>90</v>
      </c>
      <c r="B48" s="39" t="s">
        <v>91</v>
      </c>
      <c r="C48" s="68">
        <f t="shared" si="1"/>
        <v>11</v>
      </c>
      <c r="D48" s="58">
        <v>1</v>
      </c>
      <c r="E48" s="58">
        <v>1</v>
      </c>
      <c r="F48" s="58">
        <v>1</v>
      </c>
      <c r="G48" s="58">
        <v>1</v>
      </c>
      <c r="H48" s="58">
        <v>1</v>
      </c>
      <c r="I48" s="58">
        <v>1</v>
      </c>
      <c r="J48" s="58">
        <v>1</v>
      </c>
      <c r="K48" s="58">
        <v>1</v>
      </c>
      <c r="L48" s="58">
        <v>1</v>
      </c>
      <c r="M48" s="58">
        <v>1</v>
      </c>
      <c r="N48" s="58">
        <v>1</v>
      </c>
    </row>
    <row r="49" spans="1:14" x14ac:dyDescent="0.25">
      <c r="A49" s="39" t="s">
        <v>92</v>
      </c>
      <c r="B49" s="39" t="s">
        <v>93</v>
      </c>
      <c r="C49" s="68">
        <f t="shared" si="1"/>
        <v>9</v>
      </c>
      <c r="D49" s="58">
        <v>1</v>
      </c>
      <c r="E49" s="58">
        <v>1</v>
      </c>
      <c r="F49" s="58">
        <v>0</v>
      </c>
      <c r="G49" s="58">
        <v>1</v>
      </c>
      <c r="H49" s="58">
        <v>1</v>
      </c>
      <c r="I49" s="58">
        <v>1</v>
      </c>
      <c r="J49" s="58">
        <v>1</v>
      </c>
      <c r="K49" s="58">
        <v>1</v>
      </c>
      <c r="L49" s="58">
        <v>1</v>
      </c>
      <c r="M49" s="58">
        <v>0</v>
      </c>
      <c r="N49" s="58">
        <v>1</v>
      </c>
    </row>
    <row r="50" spans="1:14" x14ac:dyDescent="0.25">
      <c r="A50" s="39" t="s">
        <v>94</v>
      </c>
      <c r="B50" s="39" t="s">
        <v>95</v>
      </c>
      <c r="C50" s="68">
        <f t="shared" si="1"/>
        <v>8</v>
      </c>
      <c r="D50" s="58">
        <v>1</v>
      </c>
      <c r="E50" s="58">
        <v>1</v>
      </c>
      <c r="F50" s="58">
        <v>1</v>
      </c>
      <c r="G50" s="58">
        <v>1</v>
      </c>
      <c r="H50" s="58">
        <v>1</v>
      </c>
      <c r="I50" s="58">
        <v>1</v>
      </c>
      <c r="J50" s="58">
        <v>1</v>
      </c>
      <c r="K50" s="58">
        <v>1</v>
      </c>
      <c r="L50" s="58">
        <v>0</v>
      </c>
      <c r="M50" s="58">
        <v>0</v>
      </c>
      <c r="N50" s="58">
        <v>0</v>
      </c>
    </row>
    <row r="51" spans="1:14" x14ac:dyDescent="0.25">
      <c r="A51" s="39" t="s">
        <v>96</v>
      </c>
      <c r="B51" s="39" t="s">
        <v>97</v>
      </c>
      <c r="C51" s="68">
        <f t="shared" si="1"/>
        <v>8</v>
      </c>
      <c r="D51" s="58">
        <v>1</v>
      </c>
      <c r="E51" s="58">
        <v>1</v>
      </c>
      <c r="F51" s="58">
        <v>1</v>
      </c>
      <c r="G51" s="58">
        <v>1</v>
      </c>
      <c r="H51" s="58">
        <v>1</v>
      </c>
      <c r="I51" s="58">
        <v>0</v>
      </c>
      <c r="J51" s="58">
        <v>0</v>
      </c>
      <c r="K51" s="58">
        <v>0</v>
      </c>
      <c r="L51" s="58">
        <v>1</v>
      </c>
      <c r="M51" s="58">
        <v>1</v>
      </c>
      <c r="N51" s="58">
        <v>1</v>
      </c>
    </row>
    <row r="52" spans="1:14" x14ac:dyDescent="0.25">
      <c r="A52" s="39" t="s">
        <v>98</v>
      </c>
      <c r="B52" s="39" t="s">
        <v>99</v>
      </c>
      <c r="C52" s="68">
        <f t="shared" si="1"/>
        <v>7</v>
      </c>
      <c r="D52" s="58">
        <v>1</v>
      </c>
      <c r="E52" s="58">
        <v>1</v>
      </c>
      <c r="F52" s="58">
        <v>1</v>
      </c>
      <c r="G52" s="58">
        <v>0</v>
      </c>
      <c r="H52" s="58">
        <v>0</v>
      </c>
      <c r="I52" s="58">
        <v>0</v>
      </c>
      <c r="J52" s="58">
        <v>0</v>
      </c>
      <c r="K52" s="58">
        <v>1</v>
      </c>
      <c r="L52" s="58">
        <v>1</v>
      </c>
      <c r="M52" s="58">
        <v>1</v>
      </c>
      <c r="N52" s="58">
        <v>1</v>
      </c>
    </row>
    <row r="53" spans="1:14" x14ac:dyDescent="0.25">
      <c r="A53" s="39" t="s">
        <v>100</v>
      </c>
      <c r="B53" s="39" t="s">
        <v>101</v>
      </c>
      <c r="C53" s="68">
        <f t="shared" si="1"/>
        <v>11</v>
      </c>
      <c r="D53" s="58">
        <v>1</v>
      </c>
      <c r="E53" s="58">
        <v>1</v>
      </c>
      <c r="F53" s="58">
        <v>1</v>
      </c>
      <c r="G53" s="58">
        <v>1</v>
      </c>
      <c r="H53" s="58">
        <v>1</v>
      </c>
      <c r="I53" s="58">
        <v>1</v>
      </c>
      <c r="J53" s="58">
        <v>1</v>
      </c>
      <c r="K53" s="58">
        <v>1</v>
      </c>
      <c r="L53" s="58">
        <v>1</v>
      </c>
      <c r="M53" s="58">
        <v>1</v>
      </c>
      <c r="N53" s="58">
        <v>1</v>
      </c>
    </row>
    <row r="54" spans="1:14" x14ac:dyDescent="0.25">
      <c r="A54" s="39" t="s">
        <v>102</v>
      </c>
      <c r="B54" s="39" t="s">
        <v>103</v>
      </c>
      <c r="C54" s="68">
        <f t="shared" si="1"/>
        <v>10</v>
      </c>
      <c r="D54" s="58">
        <v>1</v>
      </c>
      <c r="E54" s="58">
        <v>1</v>
      </c>
      <c r="F54" s="58">
        <v>0</v>
      </c>
      <c r="G54" s="58">
        <v>1</v>
      </c>
      <c r="H54" s="58">
        <v>1</v>
      </c>
      <c r="I54" s="58">
        <v>1</v>
      </c>
      <c r="J54" s="58">
        <v>1</v>
      </c>
      <c r="K54" s="58">
        <v>1</v>
      </c>
      <c r="L54" s="58">
        <v>1</v>
      </c>
      <c r="M54" s="58">
        <v>1</v>
      </c>
      <c r="N54" s="58">
        <v>1</v>
      </c>
    </row>
    <row r="55" spans="1:14" x14ac:dyDescent="0.25">
      <c r="A55" s="39" t="s">
        <v>104</v>
      </c>
      <c r="B55" s="39" t="s">
        <v>105</v>
      </c>
      <c r="C55" s="68">
        <f t="shared" si="1"/>
        <v>11</v>
      </c>
      <c r="D55" s="58">
        <v>1</v>
      </c>
      <c r="E55" s="58">
        <v>1</v>
      </c>
      <c r="F55" s="58">
        <v>1</v>
      </c>
      <c r="G55" s="58">
        <v>1</v>
      </c>
      <c r="H55" s="58">
        <v>1</v>
      </c>
      <c r="I55" s="58">
        <v>1</v>
      </c>
      <c r="J55" s="58">
        <v>1</v>
      </c>
      <c r="K55" s="58">
        <v>1</v>
      </c>
      <c r="L55" s="58">
        <v>1</v>
      </c>
      <c r="M55" s="58">
        <v>1</v>
      </c>
      <c r="N55" s="58">
        <v>1</v>
      </c>
    </row>
    <row r="56" spans="1:14" x14ac:dyDescent="0.25">
      <c r="A56" s="39" t="s">
        <v>107</v>
      </c>
      <c r="B56" s="39" t="s">
        <v>108</v>
      </c>
      <c r="C56" s="68">
        <f t="shared" si="1"/>
        <v>10</v>
      </c>
      <c r="D56" s="58">
        <v>1</v>
      </c>
      <c r="E56" s="58">
        <v>1</v>
      </c>
      <c r="F56" s="58">
        <v>1</v>
      </c>
      <c r="G56" s="58">
        <v>1</v>
      </c>
      <c r="H56" s="58">
        <v>1</v>
      </c>
      <c r="I56" s="58">
        <v>1</v>
      </c>
      <c r="J56" s="58">
        <v>1</v>
      </c>
      <c r="K56" s="58">
        <v>0</v>
      </c>
      <c r="L56" s="58">
        <v>1</v>
      </c>
      <c r="M56" s="58">
        <v>1</v>
      </c>
      <c r="N56" s="58">
        <v>1</v>
      </c>
    </row>
    <row r="57" spans="1:14" x14ac:dyDescent="0.25">
      <c r="A57" s="39" t="s">
        <v>109</v>
      </c>
      <c r="B57" s="39" t="s">
        <v>110</v>
      </c>
      <c r="C57" s="68">
        <f t="shared" si="1"/>
        <v>11</v>
      </c>
      <c r="D57" s="58">
        <v>1</v>
      </c>
      <c r="E57" s="58">
        <v>1</v>
      </c>
      <c r="F57" s="58">
        <v>1</v>
      </c>
      <c r="G57" s="58">
        <v>1</v>
      </c>
      <c r="H57" s="58">
        <v>1</v>
      </c>
      <c r="I57" s="58">
        <v>1</v>
      </c>
      <c r="J57" s="58">
        <v>1</v>
      </c>
      <c r="K57" s="58">
        <v>1</v>
      </c>
      <c r="L57" s="58">
        <v>1</v>
      </c>
      <c r="M57" s="58">
        <v>1</v>
      </c>
      <c r="N57" s="58">
        <v>1</v>
      </c>
    </row>
    <row r="58" spans="1:14" x14ac:dyDescent="0.25">
      <c r="A58" s="39" t="s">
        <v>111</v>
      </c>
      <c r="B58" s="39" t="s">
        <v>112</v>
      </c>
      <c r="C58" s="68">
        <f t="shared" si="1"/>
        <v>11</v>
      </c>
      <c r="D58" s="58">
        <v>1</v>
      </c>
      <c r="E58" s="58">
        <v>1</v>
      </c>
      <c r="F58" s="58">
        <v>1</v>
      </c>
      <c r="G58" s="58">
        <v>1</v>
      </c>
      <c r="H58" s="58">
        <v>1</v>
      </c>
      <c r="I58" s="58">
        <v>1</v>
      </c>
      <c r="J58" s="58">
        <v>1</v>
      </c>
      <c r="K58" s="58">
        <v>1</v>
      </c>
      <c r="L58" s="58">
        <v>1</v>
      </c>
      <c r="M58" s="58">
        <v>1</v>
      </c>
      <c r="N58" s="58">
        <v>1</v>
      </c>
    </row>
    <row r="59" spans="1:14" x14ac:dyDescent="0.25">
      <c r="A59" s="39" t="s">
        <v>113</v>
      </c>
      <c r="B59" s="39" t="s">
        <v>114</v>
      </c>
      <c r="C59" s="68">
        <f t="shared" si="1"/>
        <v>11</v>
      </c>
      <c r="D59" s="58">
        <v>1</v>
      </c>
      <c r="E59" s="58">
        <v>1</v>
      </c>
      <c r="F59" s="58">
        <v>1</v>
      </c>
      <c r="G59" s="58">
        <v>1</v>
      </c>
      <c r="H59" s="58">
        <v>1</v>
      </c>
      <c r="I59" s="58">
        <v>1</v>
      </c>
      <c r="J59" s="58">
        <v>1</v>
      </c>
      <c r="K59" s="58">
        <v>1</v>
      </c>
      <c r="L59" s="58">
        <v>1</v>
      </c>
      <c r="M59" s="58">
        <v>1</v>
      </c>
      <c r="N59" s="58">
        <v>1</v>
      </c>
    </row>
    <row r="60" spans="1:14" x14ac:dyDescent="0.25">
      <c r="A60" s="39" t="s">
        <v>115</v>
      </c>
      <c r="B60" s="39" t="s">
        <v>116</v>
      </c>
      <c r="C60" s="68">
        <f t="shared" si="1"/>
        <v>11</v>
      </c>
      <c r="D60" s="58">
        <v>1</v>
      </c>
      <c r="E60" s="58">
        <v>1</v>
      </c>
      <c r="F60" s="58">
        <v>1</v>
      </c>
      <c r="G60" s="58">
        <v>1</v>
      </c>
      <c r="H60" s="58">
        <v>1</v>
      </c>
      <c r="I60" s="58">
        <v>1</v>
      </c>
      <c r="J60" s="58">
        <v>1</v>
      </c>
      <c r="K60" s="58">
        <v>1</v>
      </c>
      <c r="L60" s="58">
        <v>1</v>
      </c>
      <c r="M60" s="58">
        <v>1</v>
      </c>
      <c r="N60" s="58">
        <v>1</v>
      </c>
    </row>
    <row r="61" spans="1:14" x14ac:dyDescent="0.25">
      <c r="A61" s="39" t="s">
        <v>117</v>
      </c>
      <c r="B61" s="39" t="s">
        <v>118</v>
      </c>
      <c r="C61" s="68">
        <f t="shared" si="1"/>
        <v>11</v>
      </c>
      <c r="D61" s="58">
        <v>1</v>
      </c>
      <c r="E61" s="58">
        <v>1</v>
      </c>
      <c r="F61" s="58">
        <v>1</v>
      </c>
      <c r="G61" s="58">
        <v>1</v>
      </c>
      <c r="H61" s="58">
        <v>1</v>
      </c>
      <c r="I61" s="58">
        <v>1</v>
      </c>
      <c r="J61" s="58">
        <v>1</v>
      </c>
      <c r="K61" s="58">
        <v>1</v>
      </c>
      <c r="L61" s="58">
        <v>1</v>
      </c>
      <c r="M61" s="58">
        <v>1</v>
      </c>
      <c r="N61" s="58">
        <v>1</v>
      </c>
    </row>
    <row r="62" spans="1:14" x14ac:dyDescent="0.25">
      <c r="A62" s="39" t="s">
        <v>119</v>
      </c>
      <c r="B62" s="39" t="s">
        <v>120</v>
      </c>
      <c r="C62" s="68">
        <f t="shared" si="1"/>
        <v>11</v>
      </c>
      <c r="D62" s="58">
        <v>1</v>
      </c>
      <c r="E62" s="58">
        <v>1</v>
      </c>
      <c r="F62" s="58">
        <v>1</v>
      </c>
      <c r="G62" s="58">
        <v>1</v>
      </c>
      <c r="H62" s="58">
        <v>1</v>
      </c>
      <c r="I62" s="58">
        <v>1</v>
      </c>
      <c r="J62" s="58">
        <v>1</v>
      </c>
      <c r="K62" s="58">
        <v>1</v>
      </c>
      <c r="L62" s="58">
        <v>1</v>
      </c>
      <c r="M62" s="58">
        <v>1</v>
      </c>
      <c r="N62" s="58">
        <v>1</v>
      </c>
    </row>
    <row r="63" spans="1:14" x14ac:dyDescent="0.25">
      <c r="A63" s="39" t="s">
        <v>121</v>
      </c>
      <c r="B63" s="39" t="s">
        <v>122</v>
      </c>
      <c r="C63" s="68">
        <f t="shared" si="1"/>
        <v>7</v>
      </c>
      <c r="D63" s="58">
        <v>1</v>
      </c>
      <c r="E63" s="58">
        <v>1</v>
      </c>
      <c r="F63" s="58">
        <v>1</v>
      </c>
      <c r="G63" s="58">
        <v>1</v>
      </c>
      <c r="H63" s="58">
        <v>1</v>
      </c>
      <c r="I63" s="58">
        <v>1</v>
      </c>
      <c r="J63" s="58">
        <v>1</v>
      </c>
      <c r="K63" s="58">
        <v>0</v>
      </c>
      <c r="L63" s="58">
        <v>0</v>
      </c>
      <c r="M63" s="58">
        <v>0</v>
      </c>
      <c r="N63" s="58">
        <v>0</v>
      </c>
    </row>
    <row r="64" spans="1:14" x14ac:dyDescent="0.25">
      <c r="A64" s="39" t="s">
        <v>123</v>
      </c>
      <c r="B64" s="39" t="s">
        <v>124</v>
      </c>
      <c r="C64" s="68">
        <f t="shared" si="1"/>
        <v>11</v>
      </c>
      <c r="D64" s="58">
        <v>1</v>
      </c>
      <c r="E64" s="58">
        <v>1</v>
      </c>
      <c r="F64" s="58">
        <v>1</v>
      </c>
      <c r="G64" s="58">
        <v>1</v>
      </c>
      <c r="H64" s="58">
        <v>1</v>
      </c>
      <c r="I64" s="58">
        <v>1</v>
      </c>
      <c r="J64" s="58">
        <v>1</v>
      </c>
      <c r="K64" s="58">
        <v>1</v>
      </c>
      <c r="L64" s="58">
        <v>1</v>
      </c>
      <c r="M64" s="58">
        <v>1</v>
      </c>
      <c r="N64" s="58">
        <v>1</v>
      </c>
    </row>
    <row r="65" spans="1:14" x14ac:dyDescent="0.25">
      <c r="A65" s="39" t="s">
        <v>125</v>
      </c>
      <c r="B65" s="39" t="s">
        <v>126</v>
      </c>
      <c r="C65" s="68">
        <f t="shared" si="1"/>
        <v>8</v>
      </c>
      <c r="D65" s="58">
        <v>1</v>
      </c>
      <c r="E65" s="58">
        <v>1</v>
      </c>
      <c r="F65" s="58">
        <v>1</v>
      </c>
      <c r="G65" s="58">
        <v>1</v>
      </c>
      <c r="H65" s="58">
        <v>1</v>
      </c>
      <c r="I65" s="58">
        <v>1</v>
      </c>
      <c r="J65" s="58">
        <v>1</v>
      </c>
      <c r="K65" s="58">
        <v>1</v>
      </c>
      <c r="L65" s="58">
        <v>0</v>
      </c>
      <c r="M65" s="58">
        <v>0</v>
      </c>
      <c r="N65" s="58">
        <v>0</v>
      </c>
    </row>
    <row r="66" spans="1:14" x14ac:dyDescent="0.25">
      <c r="A66" s="39" t="s">
        <v>127</v>
      </c>
      <c r="B66" s="39" t="s">
        <v>128</v>
      </c>
      <c r="C66" s="68">
        <f t="shared" si="1"/>
        <v>11</v>
      </c>
      <c r="D66" s="58">
        <v>1</v>
      </c>
      <c r="E66" s="58">
        <v>1</v>
      </c>
      <c r="F66" s="58">
        <v>1</v>
      </c>
      <c r="G66" s="58">
        <v>1</v>
      </c>
      <c r="H66" s="58">
        <v>1</v>
      </c>
      <c r="I66" s="58">
        <v>1</v>
      </c>
      <c r="J66" s="58">
        <v>1</v>
      </c>
      <c r="K66" s="58">
        <v>1</v>
      </c>
      <c r="L66" s="58">
        <v>1</v>
      </c>
      <c r="M66" s="58">
        <v>1</v>
      </c>
      <c r="N66" s="58">
        <v>1</v>
      </c>
    </row>
    <row r="67" spans="1:14" x14ac:dyDescent="0.25">
      <c r="A67" s="39" t="s">
        <v>129</v>
      </c>
      <c r="B67" s="39" t="s">
        <v>130</v>
      </c>
      <c r="C67" s="68">
        <f t="shared" ref="C67" si="2">SUM(D67:N67)</f>
        <v>1</v>
      </c>
      <c r="D67" s="58">
        <v>1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</row>
  </sheetData>
  <autoFilter ref="A2:N2"/>
  <conditionalFormatting sqref="C3:N67">
    <cfRule type="colorScale" priority="1">
      <colorScale>
        <cfvo type="num" val="0"/>
        <cfvo type="num" val="1"/>
        <color rgb="FF00B050"/>
        <color rgb="FFFF0000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3"/>
  <sheetViews>
    <sheetView zoomScale="90" zoomScaleNormal="90"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23.42578125" bestFit="1" customWidth="1"/>
    <col min="2" max="2" width="15.28515625" bestFit="1" customWidth="1"/>
    <col min="3" max="3" width="7.140625" bestFit="1" customWidth="1"/>
    <col min="4" max="4" width="14.28515625" style="88" bestFit="1" customWidth="1"/>
    <col min="5" max="5" width="15.85546875" style="88" bestFit="1" customWidth="1"/>
    <col min="6" max="6" width="13.5703125" style="2" customWidth="1"/>
    <col min="7" max="7" width="15" style="2" customWidth="1"/>
    <col min="8" max="8" width="19.7109375" style="2" bestFit="1" customWidth="1"/>
    <col min="9" max="9" width="21.140625" style="2" bestFit="1" customWidth="1"/>
    <col min="10" max="10" width="19" style="2" bestFit="1" customWidth="1"/>
    <col min="11" max="11" width="20.5703125" style="2" bestFit="1" customWidth="1"/>
    <col min="12" max="12" width="16.28515625" style="2" bestFit="1" customWidth="1"/>
    <col min="13" max="13" width="17.7109375" style="2" bestFit="1" customWidth="1"/>
    <col min="14" max="14" width="16.7109375" style="36" bestFit="1" customWidth="1"/>
    <col min="15" max="15" width="18.28515625" style="36" bestFit="1" customWidth="1"/>
    <col min="16" max="16" width="7.7109375" style="36" bestFit="1" customWidth="1"/>
  </cols>
  <sheetData>
    <row r="1" spans="1:16" x14ac:dyDescent="0.25">
      <c r="A1" s="1" t="s">
        <v>0</v>
      </c>
      <c r="B1" s="1" t="s">
        <v>1</v>
      </c>
      <c r="C1" s="1" t="s">
        <v>169</v>
      </c>
      <c r="D1" s="87" t="s">
        <v>237</v>
      </c>
      <c r="E1" s="87" t="s">
        <v>238</v>
      </c>
      <c r="F1" s="34" t="s">
        <v>170</v>
      </c>
      <c r="G1" s="34" t="s">
        <v>171</v>
      </c>
      <c r="H1" s="34" t="s">
        <v>176</v>
      </c>
      <c r="I1" s="34" t="s">
        <v>177</v>
      </c>
      <c r="J1" s="34" t="s">
        <v>194</v>
      </c>
      <c r="K1" s="34" t="s">
        <v>195</v>
      </c>
      <c r="L1" s="34" t="s">
        <v>290</v>
      </c>
      <c r="M1" s="34" t="s">
        <v>291</v>
      </c>
      <c r="N1" s="35" t="s">
        <v>172</v>
      </c>
      <c r="O1" s="35" t="s">
        <v>173</v>
      </c>
      <c r="P1" s="35" t="s">
        <v>196</v>
      </c>
    </row>
    <row r="2" spans="1:16" x14ac:dyDescent="0.25">
      <c r="A2" t="s">
        <v>102</v>
      </c>
      <c r="B2" t="s">
        <v>174</v>
      </c>
      <c r="C2">
        <v>2013</v>
      </c>
      <c r="F2" s="2">
        <v>8.7200000000000006</v>
      </c>
      <c r="G2" s="2">
        <v>4.91</v>
      </c>
      <c r="N2" s="36">
        <v>41.5</v>
      </c>
      <c r="O2" s="36">
        <v>53.5</v>
      </c>
      <c r="P2" s="36">
        <v>100</v>
      </c>
    </row>
    <row r="3" spans="1:16" x14ac:dyDescent="0.25">
      <c r="A3" t="s">
        <v>2</v>
      </c>
      <c r="B3" t="s">
        <v>3</v>
      </c>
      <c r="C3">
        <v>2007</v>
      </c>
      <c r="F3" s="2">
        <v>5.13</v>
      </c>
      <c r="G3" s="2">
        <v>2.81</v>
      </c>
      <c r="N3" s="36">
        <v>81.5</v>
      </c>
      <c r="O3" s="36">
        <v>81.5</v>
      </c>
      <c r="P3" s="36">
        <v>175</v>
      </c>
    </row>
    <row r="4" spans="1:16" x14ac:dyDescent="0.25">
      <c r="A4" t="s">
        <v>4</v>
      </c>
      <c r="B4" t="s">
        <v>5</v>
      </c>
      <c r="C4">
        <v>2005</v>
      </c>
      <c r="J4" s="2">
        <v>40.479999999999997</v>
      </c>
      <c r="N4" s="36">
        <v>80.5</v>
      </c>
      <c r="O4" s="36">
        <v>80.5</v>
      </c>
      <c r="P4" s="36">
        <v>175</v>
      </c>
    </row>
    <row r="5" spans="1:16" x14ac:dyDescent="0.25">
      <c r="A5" t="s">
        <v>4</v>
      </c>
      <c r="B5" t="s">
        <v>5</v>
      </c>
      <c r="C5">
        <v>2006</v>
      </c>
      <c r="J5" s="2">
        <v>45.73</v>
      </c>
      <c r="N5" s="36">
        <v>80.5</v>
      </c>
      <c r="O5" s="36">
        <v>82.5</v>
      </c>
      <c r="P5" s="36">
        <v>175</v>
      </c>
    </row>
    <row r="6" spans="1:16" x14ac:dyDescent="0.25">
      <c r="A6" t="s">
        <v>4</v>
      </c>
      <c r="B6" t="s">
        <v>5</v>
      </c>
      <c r="C6">
        <v>2007</v>
      </c>
      <c r="J6" s="2">
        <v>52.57</v>
      </c>
      <c r="N6" s="36">
        <v>80.5</v>
      </c>
      <c r="O6" s="36">
        <v>88.5</v>
      </c>
      <c r="P6" s="36">
        <v>175</v>
      </c>
    </row>
    <row r="7" spans="1:16" x14ac:dyDescent="0.25">
      <c r="A7" t="s">
        <v>4</v>
      </c>
      <c r="B7" t="s">
        <v>5</v>
      </c>
      <c r="C7">
        <v>2008</v>
      </c>
      <c r="J7" s="2">
        <v>51.57</v>
      </c>
      <c r="N7" s="36">
        <v>80.5</v>
      </c>
      <c r="O7" s="36">
        <v>117</v>
      </c>
      <c r="P7" s="36">
        <v>175</v>
      </c>
    </row>
    <row r="8" spans="1:16" x14ac:dyDescent="0.25">
      <c r="A8" t="s">
        <v>6</v>
      </c>
      <c r="B8" t="s">
        <v>7</v>
      </c>
      <c r="C8">
        <v>2005</v>
      </c>
      <c r="J8" s="2">
        <v>12.35</v>
      </c>
      <c r="N8" s="36">
        <v>91.5</v>
      </c>
      <c r="O8" s="36">
        <v>88.5</v>
      </c>
      <c r="P8" s="36">
        <v>175</v>
      </c>
    </row>
    <row r="9" spans="1:16" x14ac:dyDescent="0.25">
      <c r="A9" t="s">
        <v>6</v>
      </c>
      <c r="B9" t="s">
        <v>7</v>
      </c>
      <c r="C9">
        <v>2006</v>
      </c>
      <c r="J9" s="2">
        <v>12.73</v>
      </c>
      <c r="N9" s="36">
        <v>91.5</v>
      </c>
      <c r="O9" s="36">
        <v>88.5</v>
      </c>
      <c r="P9" s="36">
        <v>175</v>
      </c>
    </row>
    <row r="10" spans="1:16" x14ac:dyDescent="0.25">
      <c r="A10" t="s">
        <v>6</v>
      </c>
      <c r="B10" t="s">
        <v>7</v>
      </c>
      <c r="C10">
        <v>2007</v>
      </c>
      <c r="J10" s="2">
        <v>13.25</v>
      </c>
      <c r="N10" s="36">
        <v>91.5</v>
      </c>
      <c r="O10" s="36">
        <v>86.5</v>
      </c>
      <c r="P10" s="36">
        <v>175</v>
      </c>
    </row>
    <row r="11" spans="1:16" x14ac:dyDescent="0.25">
      <c r="A11" t="s">
        <v>6</v>
      </c>
      <c r="B11" t="s">
        <v>7</v>
      </c>
      <c r="C11">
        <v>2008</v>
      </c>
      <c r="F11" s="2">
        <v>4.84</v>
      </c>
      <c r="G11" s="2">
        <v>2.44</v>
      </c>
      <c r="N11" s="36">
        <v>33</v>
      </c>
      <c r="O11" s="36">
        <v>33</v>
      </c>
      <c r="P11" s="36">
        <v>100</v>
      </c>
    </row>
    <row r="12" spans="1:16" x14ac:dyDescent="0.25">
      <c r="A12" t="s">
        <v>6</v>
      </c>
      <c r="B12" t="s">
        <v>7</v>
      </c>
      <c r="C12">
        <v>2008</v>
      </c>
      <c r="J12" s="2">
        <v>13.26</v>
      </c>
      <c r="N12" s="36">
        <v>91.5</v>
      </c>
      <c r="O12" s="36">
        <v>85.5</v>
      </c>
      <c r="P12" s="36">
        <v>175</v>
      </c>
    </row>
    <row r="13" spans="1:16" x14ac:dyDescent="0.25">
      <c r="A13" t="s">
        <v>6</v>
      </c>
      <c r="B13" t="s">
        <v>7</v>
      </c>
      <c r="C13">
        <v>2009</v>
      </c>
      <c r="J13" s="2">
        <v>13.4</v>
      </c>
      <c r="N13" s="36">
        <v>91.5</v>
      </c>
      <c r="O13" s="36">
        <v>83.5</v>
      </c>
      <c r="P13" s="36">
        <v>175</v>
      </c>
    </row>
    <row r="14" spans="1:16" x14ac:dyDescent="0.25">
      <c r="A14" t="s">
        <v>6</v>
      </c>
      <c r="B14" t="s">
        <v>7</v>
      </c>
      <c r="C14">
        <v>2010</v>
      </c>
      <c r="F14" s="2">
        <v>10.119999999999999</v>
      </c>
      <c r="G14" s="2">
        <v>2.13</v>
      </c>
      <c r="N14" s="36">
        <v>33</v>
      </c>
      <c r="O14" s="36">
        <v>49</v>
      </c>
      <c r="P14" s="36">
        <v>100</v>
      </c>
    </row>
    <row r="15" spans="1:16" x14ac:dyDescent="0.25">
      <c r="A15" s="54" t="s">
        <v>10</v>
      </c>
      <c r="B15" s="54" t="s">
        <v>11</v>
      </c>
      <c r="C15" s="54">
        <v>2006</v>
      </c>
      <c r="D15" s="89"/>
      <c r="E15" s="89"/>
      <c r="F15" s="55">
        <v>2.93</v>
      </c>
      <c r="G15" s="55">
        <v>1.69</v>
      </c>
      <c r="H15" s="55"/>
      <c r="I15" s="55"/>
      <c r="J15" s="55"/>
      <c r="K15" s="55"/>
      <c r="L15" s="55"/>
      <c r="M15" s="55"/>
      <c r="N15" s="56">
        <v>106</v>
      </c>
      <c r="O15" s="56">
        <v>98</v>
      </c>
      <c r="P15" s="56">
        <v>175</v>
      </c>
    </row>
    <row r="16" spans="1:16" x14ac:dyDescent="0.25">
      <c r="A16" s="54" t="s">
        <v>10</v>
      </c>
      <c r="B16" s="54" t="s">
        <v>11</v>
      </c>
      <c r="C16" s="54">
        <v>2007</v>
      </c>
      <c r="D16" s="89"/>
      <c r="E16" s="89"/>
      <c r="F16" s="55">
        <v>1.93</v>
      </c>
      <c r="G16" s="55">
        <v>2.12</v>
      </c>
      <c r="H16" s="55"/>
      <c r="I16" s="55"/>
      <c r="J16" s="55"/>
      <c r="K16" s="55"/>
      <c r="L16" s="55"/>
      <c r="M16" s="55"/>
      <c r="N16" s="56">
        <v>106</v>
      </c>
      <c r="O16" s="56">
        <v>98</v>
      </c>
      <c r="P16" s="56">
        <v>175</v>
      </c>
    </row>
    <row r="17" spans="1:16" x14ac:dyDescent="0.25">
      <c r="A17" s="54" t="s">
        <v>10</v>
      </c>
      <c r="B17" s="54" t="s">
        <v>11</v>
      </c>
      <c r="C17" s="54">
        <v>2008</v>
      </c>
      <c r="D17" s="89"/>
      <c r="E17" s="89"/>
      <c r="F17" s="55">
        <v>2.48</v>
      </c>
      <c r="G17" s="55">
        <v>2.19</v>
      </c>
      <c r="H17" s="55"/>
      <c r="I17" s="55"/>
      <c r="J17" s="55"/>
      <c r="K17" s="55"/>
      <c r="L17" s="55"/>
      <c r="M17" s="55"/>
      <c r="N17" s="56">
        <v>106</v>
      </c>
      <c r="O17" s="56">
        <v>98</v>
      </c>
      <c r="P17" s="56">
        <v>175</v>
      </c>
    </row>
    <row r="18" spans="1:16" x14ac:dyDescent="0.25">
      <c r="A18" s="54" t="s">
        <v>10</v>
      </c>
      <c r="B18" s="54" t="s">
        <v>11</v>
      </c>
      <c r="C18" s="54">
        <v>2010</v>
      </c>
      <c r="D18" s="89"/>
      <c r="E18" s="89"/>
      <c r="F18" s="55">
        <v>1.4</v>
      </c>
      <c r="G18" s="55">
        <v>1.84</v>
      </c>
      <c r="H18" s="55"/>
      <c r="I18" s="55"/>
      <c r="J18" s="55"/>
      <c r="K18" s="55"/>
      <c r="L18" s="55"/>
      <c r="M18" s="55"/>
      <c r="N18" s="56">
        <v>106</v>
      </c>
      <c r="O18" s="56">
        <v>98</v>
      </c>
      <c r="P18" s="56">
        <v>175</v>
      </c>
    </row>
    <row r="19" spans="1:16" x14ac:dyDescent="0.25">
      <c r="A19" s="54" t="s">
        <v>10</v>
      </c>
      <c r="B19" s="54" t="s">
        <v>11</v>
      </c>
      <c r="C19" s="54">
        <v>2011</v>
      </c>
      <c r="D19" s="89"/>
      <c r="E19" s="89"/>
      <c r="F19" s="55">
        <v>1.1000000000000001</v>
      </c>
      <c r="G19" s="55">
        <v>1.87</v>
      </c>
      <c r="H19" s="55"/>
      <c r="I19" s="55"/>
      <c r="J19" s="55"/>
      <c r="K19" s="55"/>
      <c r="L19" s="55"/>
      <c r="M19" s="55"/>
      <c r="N19" s="56">
        <v>106</v>
      </c>
      <c r="O19" s="56">
        <v>98</v>
      </c>
      <c r="P19" s="56">
        <v>175</v>
      </c>
    </row>
    <row r="20" spans="1:16" x14ac:dyDescent="0.25">
      <c r="A20" s="54" t="s">
        <v>10</v>
      </c>
      <c r="B20" s="54" t="s">
        <v>11</v>
      </c>
      <c r="C20" s="54">
        <v>2012</v>
      </c>
      <c r="D20" s="89"/>
      <c r="E20" s="89"/>
      <c r="F20" s="55">
        <v>1.95</v>
      </c>
      <c r="G20" s="55">
        <v>2.08</v>
      </c>
      <c r="H20" s="55"/>
      <c r="I20" s="55"/>
      <c r="J20" s="55"/>
      <c r="K20" s="55"/>
      <c r="L20" s="55"/>
      <c r="M20" s="55"/>
      <c r="N20" s="56">
        <v>106</v>
      </c>
      <c r="O20" s="56">
        <v>98</v>
      </c>
      <c r="P20" s="56">
        <v>175</v>
      </c>
    </row>
    <row r="21" spans="1:16" x14ac:dyDescent="0.25">
      <c r="A21" s="54" t="s">
        <v>10</v>
      </c>
      <c r="B21" s="54" t="s">
        <v>11</v>
      </c>
      <c r="C21" s="54">
        <v>2013</v>
      </c>
      <c r="D21" s="89"/>
      <c r="E21" s="89"/>
      <c r="F21" s="55">
        <v>2.35</v>
      </c>
      <c r="G21" s="55">
        <v>2.33</v>
      </c>
      <c r="H21" s="55"/>
      <c r="I21" s="55"/>
      <c r="J21" s="55"/>
      <c r="K21" s="55"/>
      <c r="L21" s="55"/>
      <c r="M21" s="55"/>
      <c r="N21" s="56">
        <v>106</v>
      </c>
      <c r="O21" s="56">
        <v>98</v>
      </c>
      <c r="P21" s="56">
        <v>175</v>
      </c>
    </row>
    <row r="22" spans="1:16" x14ac:dyDescent="0.25">
      <c r="A22" s="57" t="s">
        <v>10</v>
      </c>
      <c r="B22" s="57" t="s">
        <v>11</v>
      </c>
      <c r="C22" s="54">
        <v>2014</v>
      </c>
      <c r="D22" s="89"/>
      <c r="E22" s="89"/>
      <c r="F22" s="55">
        <v>2.33</v>
      </c>
      <c r="G22" s="55">
        <v>2.31</v>
      </c>
      <c r="H22" s="55"/>
      <c r="I22" s="55"/>
      <c r="J22" s="55"/>
      <c r="K22" s="55"/>
      <c r="L22" s="55"/>
      <c r="M22" s="55"/>
      <c r="N22" s="56">
        <v>98</v>
      </c>
      <c r="O22" s="56">
        <v>100</v>
      </c>
      <c r="P22" s="56">
        <v>175</v>
      </c>
    </row>
    <row r="23" spans="1:16" x14ac:dyDescent="0.25">
      <c r="A23" s="57" t="s">
        <v>14</v>
      </c>
      <c r="B23" s="57" t="s">
        <v>15</v>
      </c>
      <c r="C23" s="54">
        <v>2005</v>
      </c>
      <c r="D23" s="89"/>
      <c r="E23" s="89"/>
      <c r="F23" s="55">
        <v>1.31</v>
      </c>
      <c r="G23" s="55">
        <v>1.08</v>
      </c>
      <c r="H23" s="55"/>
      <c r="I23" s="55"/>
      <c r="J23" s="55"/>
      <c r="K23" s="55"/>
      <c r="L23" s="55"/>
      <c r="M23" s="55"/>
      <c r="N23" s="56">
        <v>81.5</v>
      </c>
      <c r="O23" s="56">
        <v>50</v>
      </c>
      <c r="P23" s="56">
        <v>175</v>
      </c>
    </row>
    <row r="24" spans="1:16" x14ac:dyDescent="0.25">
      <c r="A24" s="57" t="s">
        <v>14</v>
      </c>
      <c r="B24" s="57" t="s">
        <v>15</v>
      </c>
      <c r="C24" s="54">
        <v>2006</v>
      </c>
      <c r="D24" s="89"/>
      <c r="E24" s="89"/>
      <c r="F24" s="55">
        <v>0.74</v>
      </c>
      <c r="G24" s="55">
        <v>0.9</v>
      </c>
      <c r="H24" s="55"/>
      <c r="I24" s="55"/>
      <c r="J24" s="55"/>
      <c r="K24" s="55"/>
      <c r="L24" s="55"/>
      <c r="M24" s="55"/>
      <c r="N24" s="56">
        <v>81.5</v>
      </c>
      <c r="O24" s="56">
        <v>50</v>
      </c>
      <c r="P24" s="56">
        <v>175</v>
      </c>
    </row>
    <row r="25" spans="1:16" x14ac:dyDescent="0.25">
      <c r="A25" s="57" t="s">
        <v>14</v>
      </c>
      <c r="B25" s="57" t="s">
        <v>15</v>
      </c>
      <c r="C25" s="54">
        <v>2007</v>
      </c>
      <c r="D25" s="89"/>
      <c r="E25" s="89"/>
      <c r="F25" s="55">
        <v>0.13</v>
      </c>
      <c r="G25" s="55">
        <v>0.69</v>
      </c>
      <c r="H25" s="55"/>
      <c r="I25" s="55"/>
      <c r="J25" s="55"/>
      <c r="K25" s="55"/>
      <c r="L25" s="55"/>
      <c r="M25" s="55"/>
      <c r="N25" s="56">
        <v>81.5</v>
      </c>
      <c r="O25" s="56">
        <v>50</v>
      </c>
      <c r="P25" s="56">
        <v>175</v>
      </c>
    </row>
    <row r="26" spans="1:16" x14ac:dyDescent="0.25">
      <c r="A26" s="57" t="s">
        <v>14</v>
      </c>
      <c r="B26" s="57" t="s">
        <v>15</v>
      </c>
      <c r="C26" s="54">
        <v>2008</v>
      </c>
      <c r="D26" s="89"/>
      <c r="E26" s="89"/>
      <c r="F26" s="55">
        <v>0.34</v>
      </c>
      <c r="G26" s="55">
        <v>0.78</v>
      </c>
      <c r="H26" s="55"/>
      <c r="I26" s="55"/>
      <c r="J26" s="55"/>
      <c r="K26" s="55"/>
      <c r="L26" s="55"/>
      <c r="M26" s="55"/>
      <c r="N26" s="56">
        <v>81.5</v>
      </c>
      <c r="O26" s="56">
        <v>50</v>
      </c>
      <c r="P26" s="56">
        <v>175</v>
      </c>
    </row>
    <row r="27" spans="1:16" x14ac:dyDescent="0.25">
      <c r="A27" s="57" t="s">
        <v>14</v>
      </c>
      <c r="B27" s="57" t="s">
        <v>15</v>
      </c>
      <c r="C27" s="54">
        <v>2009</v>
      </c>
      <c r="D27" s="89"/>
      <c r="E27" s="89"/>
      <c r="F27" s="55">
        <v>0.08</v>
      </c>
      <c r="G27" s="55">
        <v>0.78</v>
      </c>
      <c r="H27" s="55"/>
      <c r="I27" s="55"/>
      <c r="J27" s="55"/>
      <c r="K27" s="55"/>
      <c r="L27" s="55"/>
      <c r="M27" s="55"/>
      <c r="N27" s="56">
        <v>81.5</v>
      </c>
      <c r="O27" s="56">
        <v>50</v>
      </c>
      <c r="P27" s="56">
        <v>175</v>
      </c>
    </row>
    <row r="28" spans="1:16" x14ac:dyDescent="0.25">
      <c r="A28" s="57" t="s">
        <v>14</v>
      </c>
      <c r="B28" s="57" t="s">
        <v>15</v>
      </c>
      <c r="C28" s="54">
        <v>2010</v>
      </c>
      <c r="D28" s="89"/>
      <c r="E28" s="89"/>
      <c r="F28" s="55">
        <v>0.39</v>
      </c>
      <c r="G28" s="55">
        <v>0.79</v>
      </c>
      <c r="H28" s="55"/>
      <c r="I28" s="55"/>
      <c r="J28" s="55"/>
      <c r="K28" s="55"/>
      <c r="L28" s="55"/>
      <c r="M28" s="55"/>
      <c r="N28" s="56">
        <v>81.5</v>
      </c>
      <c r="O28" s="56">
        <v>50</v>
      </c>
      <c r="P28" s="56">
        <v>175</v>
      </c>
    </row>
    <row r="29" spans="1:16" x14ac:dyDescent="0.25">
      <c r="A29" s="57" t="s">
        <v>14</v>
      </c>
      <c r="B29" s="57" t="s">
        <v>15</v>
      </c>
      <c r="C29" s="54">
        <v>2011</v>
      </c>
      <c r="D29" s="89"/>
      <c r="E29" s="89"/>
      <c r="F29" s="55">
        <v>0.13</v>
      </c>
      <c r="G29" s="55">
        <v>0.67</v>
      </c>
      <c r="H29" s="55"/>
      <c r="I29" s="55"/>
      <c r="J29" s="55"/>
      <c r="K29" s="55"/>
      <c r="L29" s="55"/>
      <c r="M29" s="55"/>
      <c r="N29" s="56">
        <v>81.5</v>
      </c>
      <c r="O29" s="56">
        <v>50</v>
      </c>
      <c r="P29" s="56">
        <v>175</v>
      </c>
    </row>
    <row r="30" spans="1:16" x14ac:dyDescent="0.25">
      <c r="A30" s="57" t="s">
        <v>14</v>
      </c>
      <c r="B30" s="57" t="s">
        <v>15</v>
      </c>
      <c r="C30" s="54">
        <v>2012</v>
      </c>
      <c r="D30" s="89"/>
      <c r="E30" s="89"/>
      <c r="F30" s="55">
        <v>-1.22</v>
      </c>
      <c r="G30" s="55">
        <v>0.57999999999999996</v>
      </c>
      <c r="H30" s="55"/>
      <c r="I30" s="55"/>
      <c r="J30" s="55"/>
      <c r="K30" s="55"/>
      <c r="L30" s="55"/>
      <c r="M30" s="55"/>
      <c r="N30" s="56">
        <v>81.5</v>
      </c>
      <c r="O30" s="56">
        <v>50</v>
      </c>
      <c r="P30" s="56">
        <v>175</v>
      </c>
    </row>
    <row r="31" spans="1:16" x14ac:dyDescent="0.25">
      <c r="A31" s="57" t="s">
        <v>14</v>
      </c>
      <c r="B31" s="57" t="s">
        <v>15</v>
      </c>
      <c r="C31" s="54">
        <v>2013</v>
      </c>
      <c r="D31" s="89"/>
      <c r="E31" s="89"/>
      <c r="F31" s="55">
        <v>0.21</v>
      </c>
      <c r="G31" s="55">
        <v>0.63</v>
      </c>
      <c r="H31" s="55"/>
      <c r="I31" s="55"/>
      <c r="J31" s="55"/>
      <c r="K31" s="55"/>
      <c r="L31" s="55"/>
      <c r="M31" s="55"/>
      <c r="N31" s="56">
        <v>81.5</v>
      </c>
      <c r="O31" s="56">
        <v>50</v>
      </c>
      <c r="P31" s="56">
        <v>175</v>
      </c>
    </row>
    <row r="32" spans="1:16" x14ac:dyDescent="0.25">
      <c r="A32" s="57" t="s">
        <v>14</v>
      </c>
      <c r="B32" s="57" t="s">
        <v>15</v>
      </c>
      <c r="C32" s="54">
        <v>2014</v>
      </c>
      <c r="D32" s="89"/>
      <c r="E32" s="89"/>
      <c r="F32" s="55">
        <v>0.65</v>
      </c>
      <c r="G32" s="55">
        <v>0.53</v>
      </c>
      <c r="H32" s="55"/>
      <c r="I32" s="55"/>
      <c r="J32" s="55"/>
      <c r="K32" s="55"/>
      <c r="L32" s="55"/>
      <c r="M32" s="55"/>
      <c r="N32" s="56">
        <v>81.5</v>
      </c>
      <c r="O32" s="56">
        <v>50</v>
      </c>
      <c r="P32" s="56">
        <v>175</v>
      </c>
    </row>
    <row r="33" spans="1:16" x14ac:dyDescent="0.25">
      <c r="A33" s="39" t="s">
        <v>107</v>
      </c>
      <c r="B33" s="39" t="s">
        <v>205</v>
      </c>
      <c r="C33">
        <v>2008</v>
      </c>
      <c r="F33" s="2">
        <v>2.83</v>
      </c>
      <c r="G33" s="2">
        <v>1.84</v>
      </c>
      <c r="N33" s="36">
        <v>83.5</v>
      </c>
      <c r="O33" s="36">
        <v>90.5</v>
      </c>
      <c r="P33" s="36">
        <v>175</v>
      </c>
    </row>
    <row r="34" spans="1:16" x14ac:dyDescent="0.25">
      <c r="A34" t="s">
        <v>16</v>
      </c>
      <c r="B34" t="s">
        <v>17</v>
      </c>
      <c r="C34">
        <v>2010</v>
      </c>
      <c r="F34" s="2">
        <v>1.52</v>
      </c>
      <c r="G34" s="2">
        <v>2.1</v>
      </c>
      <c r="N34" s="36">
        <v>121</v>
      </c>
      <c r="O34" s="36">
        <v>126.5</v>
      </c>
      <c r="P34" s="36">
        <v>175</v>
      </c>
    </row>
    <row r="35" spans="1:16" x14ac:dyDescent="0.25">
      <c r="A35" t="s">
        <v>16</v>
      </c>
      <c r="B35" t="s">
        <v>17</v>
      </c>
      <c r="C35">
        <v>2011</v>
      </c>
      <c r="F35" s="2">
        <v>2.89</v>
      </c>
      <c r="G35" s="2">
        <v>2.4700000000000002</v>
      </c>
      <c r="N35" s="36">
        <v>121</v>
      </c>
      <c r="O35" s="36">
        <v>126.5</v>
      </c>
      <c r="P35" s="36">
        <v>175</v>
      </c>
    </row>
    <row r="36" spans="1:16" x14ac:dyDescent="0.25">
      <c r="A36" s="39" t="s">
        <v>18</v>
      </c>
      <c r="B36" s="39" t="s">
        <v>19</v>
      </c>
      <c r="C36">
        <v>2007</v>
      </c>
      <c r="F36" s="2">
        <v>4.0999999999999996</v>
      </c>
      <c r="G36" s="2">
        <v>3.86</v>
      </c>
      <c r="N36" s="36">
        <v>92</v>
      </c>
      <c r="O36" s="36">
        <v>101.5</v>
      </c>
      <c r="P36" s="36">
        <v>175</v>
      </c>
    </row>
    <row r="37" spans="1:16" x14ac:dyDescent="0.25">
      <c r="A37" t="s">
        <v>18</v>
      </c>
      <c r="B37" t="s">
        <v>19</v>
      </c>
      <c r="C37">
        <v>2008</v>
      </c>
      <c r="F37" s="2">
        <v>6.39</v>
      </c>
      <c r="G37" s="2">
        <v>2.02</v>
      </c>
      <c r="N37" s="36">
        <v>92</v>
      </c>
      <c r="O37" s="36">
        <v>101.5</v>
      </c>
      <c r="P37" s="36">
        <v>175</v>
      </c>
    </row>
    <row r="38" spans="1:16" x14ac:dyDescent="0.25">
      <c r="A38" t="s">
        <v>26</v>
      </c>
      <c r="B38" t="s">
        <v>27</v>
      </c>
      <c r="C38">
        <v>2005</v>
      </c>
      <c r="J38" s="2">
        <v>15.28</v>
      </c>
      <c r="N38" s="36">
        <v>98</v>
      </c>
      <c r="O38" s="36">
        <v>97.5</v>
      </c>
      <c r="P38" s="36">
        <v>175</v>
      </c>
    </row>
    <row r="39" spans="1:16" x14ac:dyDescent="0.25">
      <c r="A39" t="s">
        <v>26</v>
      </c>
      <c r="B39" t="s">
        <v>27</v>
      </c>
      <c r="C39">
        <v>2006</v>
      </c>
      <c r="J39" s="2">
        <v>16.809999999999999</v>
      </c>
      <c r="N39" s="36">
        <v>98</v>
      </c>
      <c r="O39" s="36">
        <v>95.5</v>
      </c>
      <c r="P39" s="36">
        <v>175</v>
      </c>
    </row>
    <row r="40" spans="1:16" x14ac:dyDescent="0.25">
      <c r="A40" t="s">
        <v>26</v>
      </c>
      <c r="B40" t="s">
        <v>27</v>
      </c>
      <c r="C40">
        <v>2007</v>
      </c>
      <c r="F40" s="2">
        <v>5.84</v>
      </c>
      <c r="G40" s="2">
        <v>3.8</v>
      </c>
      <c r="N40" s="36">
        <v>58</v>
      </c>
      <c r="O40" s="36">
        <v>63</v>
      </c>
      <c r="P40" s="36">
        <v>100</v>
      </c>
    </row>
    <row r="41" spans="1:16" x14ac:dyDescent="0.25">
      <c r="A41" t="s">
        <v>34</v>
      </c>
      <c r="B41" t="s">
        <v>35</v>
      </c>
      <c r="C41">
        <v>2005</v>
      </c>
      <c r="J41" s="2">
        <v>9.99</v>
      </c>
      <c r="N41" s="36">
        <v>75.5</v>
      </c>
      <c r="O41" s="36">
        <v>72.5</v>
      </c>
      <c r="P41" s="36">
        <v>175</v>
      </c>
    </row>
    <row r="42" spans="1:16" x14ac:dyDescent="0.25">
      <c r="A42" t="s">
        <v>34</v>
      </c>
      <c r="B42" t="s">
        <v>35</v>
      </c>
      <c r="C42">
        <v>2006</v>
      </c>
      <c r="J42" s="2">
        <v>11.16</v>
      </c>
      <c r="N42" s="36">
        <v>75.5</v>
      </c>
      <c r="O42" s="36">
        <v>71.5</v>
      </c>
      <c r="P42" s="36">
        <v>175</v>
      </c>
    </row>
    <row r="43" spans="1:16" x14ac:dyDescent="0.25">
      <c r="A43" t="s">
        <v>34</v>
      </c>
      <c r="B43" t="s">
        <v>35</v>
      </c>
      <c r="C43">
        <v>2007</v>
      </c>
      <c r="F43" s="2">
        <v>8.7100000000000009</v>
      </c>
      <c r="G43" s="2">
        <v>1.83</v>
      </c>
      <c r="N43" s="36">
        <v>29</v>
      </c>
      <c r="O43" s="36">
        <v>38.5</v>
      </c>
      <c r="P43" s="36">
        <v>100</v>
      </c>
    </row>
    <row r="44" spans="1:16" x14ac:dyDescent="0.25">
      <c r="A44" t="s">
        <v>40</v>
      </c>
      <c r="B44" t="s">
        <v>41</v>
      </c>
      <c r="C44">
        <v>2007</v>
      </c>
      <c r="J44" s="2">
        <v>1.53</v>
      </c>
      <c r="L44" s="2">
        <v>729.2</v>
      </c>
      <c r="N44" s="36">
        <v>89</v>
      </c>
      <c r="O44" s="36">
        <v>92.5</v>
      </c>
      <c r="P44" s="36">
        <v>250</v>
      </c>
    </row>
    <row r="45" spans="1:16" x14ac:dyDescent="0.25">
      <c r="A45" s="54" t="s">
        <v>44</v>
      </c>
      <c r="B45" s="54" t="s">
        <v>45</v>
      </c>
      <c r="C45" s="54">
        <v>2005</v>
      </c>
      <c r="D45" s="89"/>
      <c r="E45" s="89"/>
      <c r="F45" s="55"/>
      <c r="G45" s="55"/>
      <c r="H45" s="55"/>
      <c r="I45" s="55"/>
      <c r="J45" s="55">
        <v>11.07</v>
      </c>
      <c r="K45" s="55"/>
      <c r="L45" s="55">
        <v>1421</v>
      </c>
      <c r="M45" s="55"/>
      <c r="N45" s="56">
        <v>86</v>
      </c>
      <c r="O45" s="56">
        <v>89.5</v>
      </c>
      <c r="P45" s="56">
        <v>250</v>
      </c>
    </row>
    <row r="46" spans="1:16" x14ac:dyDescent="0.25">
      <c r="A46" s="54" t="s">
        <v>44</v>
      </c>
      <c r="B46" s="54" t="s">
        <v>45</v>
      </c>
      <c r="C46" s="54">
        <v>2006</v>
      </c>
      <c r="D46" s="89"/>
      <c r="E46" s="89"/>
      <c r="F46" s="55"/>
      <c r="G46" s="55"/>
      <c r="H46" s="55"/>
      <c r="I46" s="55"/>
      <c r="J46" s="55">
        <v>13.64</v>
      </c>
      <c r="K46" s="55"/>
      <c r="L46" s="55">
        <v>1421</v>
      </c>
      <c r="M46" s="55"/>
      <c r="N46" s="56">
        <v>86</v>
      </c>
      <c r="O46" s="56">
        <v>89.5</v>
      </c>
      <c r="P46" s="56">
        <v>250</v>
      </c>
    </row>
    <row r="47" spans="1:16" x14ac:dyDescent="0.25">
      <c r="A47" s="54" t="s">
        <v>44</v>
      </c>
      <c r="B47" s="54" t="s">
        <v>45</v>
      </c>
      <c r="C47" s="54">
        <v>2007</v>
      </c>
      <c r="D47" s="89"/>
      <c r="E47" s="89"/>
      <c r="F47" s="55"/>
      <c r="G47" s="55"/>
      <c r="H47" s="55"/>
      <c r="I47" s="55"/>
      <c r="J47" s="55">
        <v>18.52</v>
      </c>
      <c r="K47" s="55"/>
      <c r="L47" s="55">
        <v>1421</v>
      </c>
      <c r="M47" s="55"/>
      <c r="N47" s="56">
        <v>86</v>
      </c>
      <c r="O47" s="56">
        <v>89.5</v>
      </c>
      <c r="P47" s="56">
        <v>250</v>
      </c>
    </row>
    <row r="48" spans="1:16" x14ac:dyDescent="0.25">
      <c r="A48" s="54" t="s">
        <v>44</v>
      </c>
      <c r="B48" s="54" t="s">
        <v>45</v>
      </c>
      <c r="C48" s="54">
        <v>2008</v>
      </c>
      <c r="D48" s="89"/>
      <c r="E48" s="89"/>
      <c r="F48" s="55"/>
      <c r="G48" s="55"/>
      <c r="H48" s="55"/>
      <c r="I48" s="55"/>
      <c r="J48" s="55">
        <v>14.31</v>
      </c>
      <c r="K48" s="55"/>
      <c r="L48" s="55">
        <v>1570</v>
      </c>
      <c r="M48" s="55"/>
      <c r="N48" s="56">
        <v>86</v>
      </c>
      <c r="O48" s="56">
        <v>89.5</v>
      </c>
      <c r="P48" s="56">
        <v>250</v>
      </c>
    </row>
    <row r="49" spans="1:16" x14ac:dyDescent="0.25">
      <c r="A49" s="54" t="s">
        <v>44</v>
      </c>
      <c r="B49" s="54" t="s">
        <v>45</v>
      </c>
      <c r="C49" s="54">
        <v>2009</v>
      </c>
      <c r="D49" s="89"/>
      <c r="E49" s="89"/>
      <c r="F49" s="55"/>
      <c r="G49" s="55"/>
      <c r="H49" s="55"/>
      <c r="I49" s="55"/>
      <c r="J49" s="55">
        <v>29.24</v>
      </c>
      <c r="K49" s="55"/>
      <c r="L49" s="55">
        <v>1571</v>
      </c>
      <c r="M49" s="55"/>
      <c r="N49" s="56">
        <v>86</v>
      </c>
      <c r="O49" s="56">
        <v>89.5</v>
      </c>
      <c r="P49" s="56">
        <v>250</v>
      </c>
    </row>
    <row r="50" spans="1:16" x14ac:dyDescent="0.25">
      <c r="A50" t="s">
        <v>50</v>
      </c>
      <c r="B50" t="s">
        <v>51</v>
      </c>
      <c r="C50">
        <v>2005</v>
      </c>
      <c r="J50" s="2">
        <v>1.5</v>
      </c>
      <c r="L50" s="2">
        <v>68096</v>
      </c>
      <c r="N50" s="36">
        <v>117.5</v>
      </c>
      <c r="O50" s="36">
        <v>93.5</v>
      </c>
      <c r="P50" s="36">
        <v>250</v>
      </c>
    </row>
    <row r="51" spans="1:16" x14ac:dyDescent="0.25">
      <c r="A51" t="s">
        <v>50</v>
      </c>
      <c r="B51" t="s">
        <v>51</v>
      </c>
      <c r="C51">
        <v>2006</v>
      </c>
      <c r="J51" s="2">
        <v>1.36</v>
      </c>
      <c r="L51" s="2">
        <v>66196</v>
      </c>
      <c r="N51" s="36">
        <v>117.5</v>
      </c>
      <c r="O51" s="36">
        <v>93.5</v>
      </c>
      <c r="P51" s="36">
        <v>250</v>
      </c>
    </row>
    <row r="52" spans="1:16" x14ac:dyDescent="0.25">
      <c r="A52" t="s">
        <v>50</v>
      </c>
      <c r="B52" t="s">
        <v>51</v>
      </c>
      <c r="C52">
        <v>2007</v>
      </c>
      <c r="J52" s="2">
        <v>1.22</v>
      </c>
      <c r="L52" s="2">
        <v>62607</v>
      </c>
      <c r="N52" s="36">
        <v>117.5</v>
      </c>
      <c r="O52" s="36">
        <v>93.5</v>
      </c>
      <c r="P52" s="36">
        <v>250</v>
      </c>
    </row>
    <row r="53" spans="1:16" x14ac:dyDescent="0.25">
      <c r="A53" t="s">
        <v>50</v>
      </c>
      <c r="B53" t="s">
        <v>51</v>
      </c>
      <c r="C53">
        <v>2008</v>
      </c>
      <c r="J53" s="2">
        <v>1.34</v>
      </c>
      <c r="L53" s="2">
        <v>55144</v>
      </c>
      <c r="N53" s="36">
        <v>117.5</v>
      </c>
      <c r="O53" s="36">
        <v>93.5</v>
      </c>
      <c r="P53" s="36">
        <v>250</v>
      </c>
    </row>
    <row r="54" spans="1:16" x14ac:dyDescent="0.25">
      <c r="A54" t="s">
        <v>50</v>
      </c>
      <c r="B54" t="s">
        <v>51</v>
      </c>
      <c r="C54">
        <v>2009</v>
      </c>
      <c r="J54" s="2">
        <v>1.64</v>
      </c>
      <c r="L54" s="2">
        <v>52473</v>
      </c>
      <c r="N54" s="36">
        <v>117.5</v>
      </c>
      <c r="O54" s="36">
        <v>93.5</v>
      </c>
      <c r="P54" s="36">
        <v>250</v>
      </c>
    </row>
    <row r="55" spans="1:16" x14ac:dyDescent="0.25">
      <c r="A55" t="s">
        <v>50</v>
      </c>
      <c r="B55" t="s">
        <v>51</v>
      </c>
      <c r="C55">
        <v>2010</v>
      </c>
      <c r="J55" s="2">
        <v>1.56</v>
      </c>
      <c r="L55" s="2">
        <v>57809</v>
      </c>
      <c r="N55" s="36">
        <v>117.5</v>
      </c>
      <c r="O55" s="36">
        <v>93.5</v>
      </c>
      <c r="P55" s="36">
        <v>250</v>
      </c>
    </row>
    <row r="56" spans="1:16" x14ac:dyDescent="0.25">
      <c r="A56" t="s">
        <v>50</v>
      </c>
      <c r="B56" t="s">
        <v>51</v>
      </c>
      <c r="C56">
        <v>2011</v>
      </c>
      <c r="J56" s="2">
        <v>1.54</v>
      </c>
      <c r="L56" s="2">
        <v>56811</v>
      </c>
      <c r="N56" s="36">
        <v>117.5</v>
      </c>
      <c r="O56" s="36">
        <v>93.5</v>
      </c>
      <c r="P56" s="36">
        <v>250</v>
      </c>
    </row>
    <row r="57" spans="1:16" x14ac:dyDescent="0.25">
      <c r="A57" t="s">
        <v>50</v>
      </c>
      <c r="B57" t="s">
        <v>51</v>
      </c>
      <c r="C57">
        <v>2012</v>
      </c>
      <c r="J57" s="2">
        <v>1.55</v>
      </c>
      <c r="L57" s="2">
        <v>49659</v>
      </c>
      <c r="N57" s="36">
        <v>117.5</v>
      </c>
      <c r="O57" s="36">
        <v>93.5</v>
      </c>
      <c r="P57" s="36">
        <v>250</v>
      </c>
    </row>
    <row r="58" spans="1:16" x14ac:dyDescent="0.25">
      <c r="A58" t="s">
        <v>50</v>
      </c>
      <c r="B58" t="s">
        <v>51</v>
      </c>
      <c r="C58">
        <v>2013</v>
      </c>
      <c r="J58" s="2">
        <v>1.46</v>
      </c>
      <c r="L58" s="2">
        <v>48919</v>
      </c>
      <c r="N58" s="36">
        <v>117.5</v>
      </c>
      <c r="O58" s="36">
        <v>93.5</v>
      </c>
      <c r="P58" s="36">
        <v>250</v>
      </c>
    </row>
    <row r="59" spans="1:16" x14ac:dyDescent="0.25">
      <c r="A59" t="s">
        <v>50</v>
      </c>
      <c r="B59" t="s">
        <v>51</v>
      </c>
      <c r="C59" s="54">
        <v>2014</v>
      </c>
      <c r="F59" s="2">
        <v>2.2200000000000002</v>
      </c>
      <c r="G59" s="2">
        <v>0.41770000000000002</v>
      </c>
      <c r="N59" s="36">
        <v>83</v>
      </c>
      <c r="O59" s="36">
        <v>83</v>
      </c>
      <c r="P59" s="56">
        <v>175</v>
      </c>
    </row>
    <row r="60" spans="1:16" x14ac:dyDescent="0.25">
      <c r="A60" s="39" t="s">
        <v>54</v>
      </c>
      <c r="B60" s="39" t="s">
        <v>55</v>
      </c>
      <c r="C60">
        <v>2006</v>
      </c>
      <c r="J60" s="2">
        <v>14.11</v>
      </c>
      <c r="L60" s="2">
        <v>3877</v>
      </c>
      <c r="N60" s="36">
        <v>107</v>
      </c>
      <c r="O60" s="36">
        <v>108.5</v>
      </c>
      <c r="P60" s="36">
        <v>250</v>
      </c>
    </row>
    <row r="61" spans="1:16" x14ac:dyDescent="0.25">
      <c r="A61" s="39" t="s">
        <v>54</v>
      </c>
      <c r="B61" s="39" t="s">
        <v>55</v>
      </c>
      <c r="C61">
        <v>2010</v>
      </c>
      <c r="F61" s="2">
        <v>3.35</v>
      </c>
      <c r="G61" s="2">
        <v>3.22</v>
      </c>
      <c r="N61" s="36">
        <v>118</v>
      </c>
      <c r="O61" s="36">
        <v>120</v>
      </c>
      <c r="P61" s="36">
        <v>250</v>
      </c>
    </row>
    <row r="62" spans="1:16" x14ac:dyDescent="0.25">
      <c r="A62" s="39" t="s">
        <v>54</v>
      </c>
      <c r="B62" s="39" t="s">
        <v>55</v>
      </c>
      <c r="C62">
        <v>2011</v>
      </c>
      <c r="F62" s="2">
        <v>0.66</v>
      </c>
      <c r="G62" s="2">
        <v>1.97</v>
      </c>
      <c r="N62" s="36">
        <v>91</v>
      </c>
      <c r="O62" s="36">
        <v>79.5</v>
      </c>
      <c r="P62" s="36">
        <v>175</v>
      </c>
    </row>
    <row r="63" spans="1:16" x14ac:dyDescent="0.25">
      <c r="A63" s="39" t="s">
        <v>54</v>
      </c>
      <c r="B63" s="39" t="s">
        <v>55</v>
      </c>
      <c r="C63">
        <v>2012</v>
      </c>
      <c r="F63" s="2">
        <v>1.25</v>
      </c>
      <c r="G63" s="2">
        <v>2.4500000000000002</v>
      </c>
      <c r="N63" s="36">
        <v>91</v>
      </c>
      <c r="O63" s="36">
        <v>79.5</v>
      </c>
      <c r="P63" s="36">
        <v>175</v>
      </c>
    </row>
    <row r="64" spans="1:16" x14ac:dyDescent="0.25">
      <c r="A64" s="57" t="s">
        <v>54</v>
      </c>
      <c r="B64" s="57" t="s">
        <v>55</v>
      </c>
      <c r="C64" s="54">
        <v>2013</v>
      </c>
      <c r="D64" s="89"/>
      <c r="E64" s="89"/>
      <c r="F64" s="55">
        <v>3.39</v>
      </c>
      <c r="G64" s="55">
        <v>2.46</v>
      </c>
      <c r="H64" s="55"/>
      <c r="I64" s="55"/>
      <c r="J64" s="55"/>
      <c r="K64" s="55"/>
      <c r="L64" s="55"/>
      <c r="M64" s="55"/>
      <c r="N64" s="56">
        <v>102</v>
      </c>
      <c r="O64" s="56">
        <v>107</v>
      </c>
      <c r="P64" s="56">
        <v>250</v>
      </c>
    </row>
    <row r="65" spans="1:16" x14ac:dyDescent="0.25">
      <c r="A65" s="57" t="s">
        <v>54</v>
      </c>
      <c r="B65" s="57" t="s">
        <v>55</v>
      </c>
      <c r="C65" s="54">
        <v>2014</v>
      </c>
      <c r="D65" s="89"/>
      <c r="E65" s="89"/>
      <c r="F65" s="55">
        <v>1.19</v>
      </c>
      <c r="G65" s="55">
        <v>2.17</v>
      </c>
      <c r="H65" s="55"/>
      <c r="I65" s="55"/>
      <c r="J65" s="55"/>
      <c r="K65" s="55"/>
      <c r="L65" s="55"/>
      <c r="M65" s="55"/>
      <c r="N65" s="56">
        <v>102</v>
      </c>
      <c r="O65" s="56">
        <v>107</v>
      </c>
      <c r="P65" s="56">
        <v>250</v>
      </c>
    </row>
    <row r="66" spans="1:16" x14ac:dyDescent="0.25">
      <c r="A66" t="s">
        <v>121</v>
      </c>
      <c r="B66" t="s">
        <v>175</v>
      </c>
      <c r="C66">
        <v>2004</v>
      </c>
      <c r="E66" s="88">
        <v>16.625</v>
      </c>
      <c r="N66" s="36">
        <v>81</v>
      </c>
      <c r="O66" s="36">
        <v>90.5</v>
      </c>
      <c r="P66" s="36">
        <v>175</v>
      </c>
    </row>
    <row r="67" spans="1:16" x14ac:dyDescent="0.25">
      <c r="A67" t="s">
        <v>121</v>
      </c>
      <c r="B67" t="s">
        <v>175</v>
      </c>
      <c r="C67">
        <v>2005</v>
      </c>
      <c r="E67" s="88">
        <v>18.056000000000001</v>
      </c>
      <c r="F67" s="2">
        <v>4.99</v>
      </c>
      <c r="G67" s="2">
        <v>1.22</v>
      </c>
      <c r="H67" s="2">
        <v>3.06</v>
      </c>
      <c r="I67" s="2">
        <v>0.70899999999999996</v>
      </c>
      <c r="J67" s="2">
        <v>17.13</v>
      </c>
      <c r="N67" s="36">
        <v>81</v>
      </c>
      <c r="O67" s="36">
        <v>90.5</v>
      </c>
      <c r="P67" s="36">
        <v>175</v>
      </c>
    </row>
    <row r="68" spans="1:16" x14ac:dyDescent="0.25">
      <c r="A68" t="s">
        <v>121</v>
      </c>
      <c r="B68" t="s">
        <v>175</v>
      </c>
      <c r="C68">
        <v>2006</v>
      </c>
      <c r="E68" s="88">
        <v>22.499000000000002</v>
      </c>
      <c r="F68" s="2">
        <v>5.71</v>
      </c>
      <c r="G68" s="2">
        <v>1.51</v>
      </c>
      <c r="H68" s="2">
        <v>3.32</v>
      </c>
      <c r="I68" s="2">
        <v>0.83499999999999996</v>
      </c>
      <c r="J68" s="2">
        <v>18.89</v>
      </c>
      <c r="N68" s="36">
        <v>81</v>
      </c>
      <c r="O68" s="36">
        <v>90.5</v>
      </c>
      <c r="P68" s="36">
        <v>175</v>
      </c>
    </row>
    <row r="69" spans="1:16" x14ac:dyDescent="0.25">
      <c r="A69" t="s">
        <v>121</v>
      </c>
      <c r="B69" t="s">
        <v>175</v>
      </c>
      <c r="C69">
        <v>2007</v>
      </c>
      <c r="E69" s="88">
        <v>23.975999999999999</v>
      </c>
      <c r="F69" s="2">
        <v>4.62</v>
      </c>
      <c r="G69" s="2">
        <v>1.48</v>
      </c>
      <c r="H69" s="2">
        <v>3.05</v>
      </c>
      <c r="I69" s="2">
        <v>0.94199999999999995</v>
      </c>
      <c r="J69" s="2">
        <v>8.8000000000000007</v>
      </c>
      <c r="N69" s="36">
        <v>81</v>
      </c>
      <c r="O69" s="36">
        <v>90.5</v>
      </c>
      <c r="P69" s="36">
        <v>175</v>
      </c>
    </row>
    <row r="70" spans="1:16" x14ac:dyDescent="0.25">
      <c r="A70" t="s">
        <v>121</v>
      </c>
      <c r="B70" t="s">
        <v>175</v>
      </c>
      <c r="C70">
        <v>2008</v>
      </c>
      <c r="E70" s="88">
        <v>9.3239999999999998</v>
      </c>
      <c r="F70" s="2">
        <v>2.36</v>
      </c>
      <c r="G70" s="2">
        <v>1.48</v>
      </c>
      <c r="H70" s="2">
        <v>1.68</v>
      </c>
      <c r="I70" s="2">
        <v>1.04</v>
      </c>
      <c r="J70" s="2">
        <v>1.37</v>
      </c>
      <c r="N70" s="36">
        <v>81</v>
      </c>
      <c r="O70" s="36">
        <v>90.5</v>
      </c>
      <c r="P70" s="36">
        <v>175</v>
      </c>
    </row>
    <row r="71" spans="1:16" x14ac:dyDescent="0.25">
      <c r="A71" s="39" t="s">
        <v>58</v>
      </c>
      <c r="B71" s="39" t="s">
        <v>59</v>
      </c>
      <c r="C71">
        <v>2008</v>
      </c>
      <c r="F71" s="2">
        <v>1.25</v>
      </c>
      <c r="G71" s="2">
        <v>1.51</v>
      </c>
      <c r="N71" s="36">
        <v>83</v>
      </c>
      <c r="O71" s="36">
        <v>84.5</v>
      </c>
      <c r="P71" s="36">
        <v>175</v>
      </c>
    </row>
    <row r="72" spans="1:16" x14ac:dyDescent="0.25">
      <c r="A72" t="s">
        <v>58</v>
      </c>
      <c r="B72" t="s">
        <v>59</v>
      </c>
      <c r="C72">
        <v>2010</v>
      </c>
      <c r="F72" s="2">
        <v>2.5299999999999998</v>
      </c>
      <c r="G72" s="2">
        <v>1.61</v>
      </c>
      <c r="N72" s="36">
        <v>83</v>
      </c>
      <c r="O72" s="36">
        <v>84.5</v>
      </c>
      <c r="P72" s="36">
        <v>175</v>
      </c>
    </row>
    <row r="73" spans="1:16" x14ac:dyDescent="0.25">
      <c r="A73" s="39" t="s">
        <v>62</v>
      </c>
      <c r="B73" s="39" t="s">
        <v>63</v>
      </c>
      <c r="C73">
        <v>2005</v>
      </c>
      <c r="J73" s="2">
        <v>15.84</v>
      </c>
      <c r="L73" s="2">
        <v>967.2</v>
      </c>
      <c r="N73" s="36">
        <v>95.5</v>
      </c>
      <c r="O73" s="36">
        <v>101</v>
      </c>
      <c r="P73" s="36">
        <v>250</v>
      </c>
    </row>
    <row r="74" spans="1:16" x14ac:dyDescent="0.25">
      <c r="A74" s="39" t="s">
        <v>62</v>
      </c>
      <c r="B74" s="39" t="s">
        <v>63</v>
      </c>
      <c r="C74">
        <v>2006</v>
      </c>
      <c r="J74" s="2">
        <v>17.809999999999999</v>
      </c>
      <c r="L74" s="2">
        <v>958.1</v>
      </c>
      <c r="N74" s="36">
        <v>95.5</v>
      </c>
      <c r="O74" s="36">
        <v>101</v>
      </c>
      <c r="P74" s="36">
        <v>250</v>
      </c>
    </row>
    <row r="75" spans="1:16" x14ac:dyDescent="0.25">
      <c r="A75" s="39" t="s">
        <v>62</v>
      </c>
      <c r="B75" s="39" t="s">
        <v>63</v>
      </c>
      <c r="C75">
        <v>2007</v>
      </c>
      <c r="J75" s="2">
        <v>20.62</v>
      </c>
      <c r="L75" s="2">
        <v>940.4</v>
      </c>
      <c r="N75" s="36">
        <v>95.5</v>
      </c>
      <c r="O75" s="36">
        <v>101</v>
      </c>
      <c r="P75" s="36">
        <v>250</v>
      </c>
    </row>
    <row r="76" spans="1:16" x14ac:dyDescent="0.25">
      <c r="A76" s="39" t="s">
        <v>62</v>
      </c>
      <c r="B76" s="39" t="s">
        <v>63</v>
      </c>
      <c r="C76">
        <v>2008</v>
      </c>
      <c r="J76" s="2">
        <v>14.62</v>
      </c>
      <c r="L76" s="2">
        <v>924.4</v>
      </c>
      <c r="N76" s="36">
        <v>95.5</v>
      </c>
      <c r="O76" s="36">
        <v>101</v>
      </c>
      <c r="P76" s="36">
        <v>250</v>
      </c>
    </row>
    <row r="77" spans="1:16" x14ac:dyDescent="0.25">
      <c r="A77" t="s">
        <v>70</v>
      </c>
      <c r="B77" t="s">
        <v>71</v>
      </c>
      <c r="C77">
        <v>2008</v>
      </c>
      <c r="J77" s="2">
        <v>10.06</v>
      </c>
      <c r="K77" s="2">
        <v>18.989999999999998</v>
      </c>
      <c r="N77" s="36">
        <v>119.5</v>
      </c>
      <c r="O77" s="36">
        <v>127.5</v>
      </c>
      <c r="P77" s="36">
        <v>175</v>
      </c>
    </row>
    <row r="78" spans="1:16" x14ac:dyDescent="0.25">
      <c r="A78" s="39" t="s">
        <v>70</v>
      </c>
      <c r="B78" s="39" t="s">
        <v>71</v>
      </c>
      <c r="C78">
        <v>2014</v>
      </c>
      <c r="F78" s="2">
        <v>11.9</v>
      </c>
      <c r="G78" s="2">
        <v>15.59</v>
      </c>
      <c r="N78" s="36">
        <v>87.5</v>
      </c>
      <c r="O78" s="36">
        <v>97.5</v>
      </c>
      <c r="P78" s="36">
        <v>175</v>
      </c>
    </row>
    <row r="79" spans="1:16" x14ac:dyDescent="0.25">
      <c r="A79" s="57" t="s">
        <v>74</v>
      </c>
      <c r="B79" s="57" t="s">
        <v>75</v>
      </c>
      <c r="C79" s="54">
        <v>2011</v>
      </c>
      <c r="D79" s="89"/>
      <c r="E79" s="89"/>
      <c r="F79" s="55">
        <v>3.49</v>
      </c>
      <c r="G79" s="55">
        <v>4.46</v>
      </c>
      <c r="H79" s="55"/>
      <c r="I79" s="55"/>
      <c r="J79" s="55"/>
      <c r="K79" s="55"/>
      <c r="L79" s="55"/>
      <c r="M79" s="55"/>
      <c r="N79" s="56">
        <v>101.5</v>
      </c>
      <c r="O79" s="56">
        <v>101.5</v>
      </c>
      <c r="P79" s="56">
        <v>175</v>
      </c>
    </row>
    <row r="80" spans="1:16" x14ac:dyDescent="0.25">
      <c r="A80" s="57" t="s">
        <v>74</v>
      </c>
      <c r="B80" s="57" t="s">
        <v>75</v>
      </c>
      <c r="C80" s="54">
        <v>2012</v>
      </c>
      <c r="D80" s="89"/>
      <c r="E80" s="89"/>
      <c r="F80" s="55">
        <v>3.86</v>
      </c>
      <c r="G80" s="55">
        <v>4.4400000000000004</v>
      </c>
      <c r="H80" s="55"/>
      <c r="I80" s="55"/>
      <c r="J80" s="55"/>
      <c r="K80" s="55"/>
      <c r="L80" s="55"/>
      <c r="M80" s="55"/>
      <c r="N80" s="56">
        <v>101.5</v>
      </c>
      <c r="O80" s="56">
        <v>101.5</v>
      </c>
      <c r="P80" s="56">
        <v>175</v>
      </c>
    </row>
    <row r="81" spans="1:16" x14ac:dyDescent="0.25">
      <c r="A81" s="57" t="s">
        <v>74</v>
      </c>
      <c r="B81" s="57" t="s">
        <v>75</v>
      </c>
      <c r="C81" s="54">
        <v>2013</v>
      </c>
      <c r="D81" s="89"/>
      <c r="E81" s="89"/>
      <c r="F81" s="55">
        <v>4.8099999999999996</v>
      </c>
      <c r="G81" s="55">
        <v>5.68</v>
      </c>
      <c r="H81" s="55"/>
      <c r="I81" s="55"/>
      <c r="J81" s="55"/>
      <c r="K81" s="55"/>
      <c r="L81" s="55"/>
      <c r="M81" s="55"/>
      <c r="N81" s="56">
        <v>101.5</v>
      </c>
      <c r="O81" s="56">
        <v>101.5</v>
      </c>
      <c r="P81" s="56">
        <v>175</v>
      </c>
    </row>
    <row r="82" spans="1:16" x14ac:dyDescent="0.25">
      <c r="A82" s="39" t="s">
        <v>129</v>
      </c>
      <c r="B82" s="39" t="s">
        <v>203</v>
      </c>
      <c r="C82" s="54">
        <v>2014</v>
      </c>
      <c r="F82" s="2">
        <v>4.04</v>
      </c>
      <c r="G82" s="2">
        <v>5.51</v>
      </c>
      <c r="N82" s="36">
        <v>73.5</v>
      </c>
      <c r="O82" s="36">
        <v>77</v>
      </c>
      <c r="P82" s="56">
        <v>175</v>
      </c>
    </row>
    <row r="83" spans="1:16" x14ac:dyDescent="0.25">
      <c r="A83" s="54" t="s">
        <v>76</v>
      </c>
      <c r="B83" s="54" t="s">
        <v>77</v>
      </c>
      <c r="C83" s="54">
        <v>2008</v>
      </c>
      <c r="D83" s="89"/>
      <c r="E83" s="89"/>
      <c r="F83" s="55"/>
      <c r="G83" s="55">
        <v>2.38</v>
      </c>
      <c r="H83" s="55"/>
      <c r="I83" s="55">
        <v>1.07919028340081</v>
      </c>
      <c r="J83" s="55"/>
      <c r="K83" s="55">
        <v>3.7949999999999999</v>
      </c>
      <c r="L83" s="55"/>
      <c r="M83" s="55"/>
      <c r="N83" s="56">
        <v>68.5</v>
      </c>
      <c r="O83" s="56">
        <v>96.5</v>
      </c>
      <c r="P83" s="56">
        <v>175</v>
      </c>
    </row>
    <row r="84" spans="1:16" x14ac:dyDescent="0.25">
      <c r="A84" s="54" t="s">
        <v>76</v>
      </c>
      <c r="B84" s="54" t="s">
        <v>77</v>
      </c>
      <c r="C84" s="54">
        <v>2009</v>
      </c>
      <c r="D84" s="89"/>
      <c r="E84" s="89"/>
      <c r="F84" s="55"/>
      <c r="G84" s="55">
        <v>3.21</v>
      </c>
      <c r="H84" s="55"/>
      <c r="I84" s="55">
        <v>0.985079365079365</v>
      </c>
      <c r="J84" s="55"/>
      <c r="K84" s="55">
        <v>4.3775000000000004</v>
      </c>
      <c r="L84" s="55"/>
      <c r="M84" s="55"/>
      <c r="N84" s="56">
        <v>68.5</v>
      </c>
      <c r="O84" s="56">
        <v>96.5</v>
      </c>
      <c r="P84" s="56">
        <v>175</v>
      </c>
    </row>
    <row r="85" spans="1:16" x14ac:dyDescent="0.25">
      <c r="A85" s="54" t="s">
        <v>76</v>
      </c>
      <c r="B85" s="54" t="s">
        <v>77</v>
      </c>
      <c r="C85" s="54">
        <v>2010</v>
      </c>
      <c r="D85" s="89"/>
      <c r="E85" s="89"/>
      <c r="F85" s="55">
        <v>5.98</v>
      </c>
      <c r="G85" s="55">
        <v>3.2</v>
      </c>
      <c r="H85" s="55"/>
      <c r="I85" s="55">
        <v>1.0368715083798883</v>
      </c>
      <c r="J85" s="55"/>
      <c r="K85" s="55">
        <v>5.125</v>
      </c>
      <c r="L85" s="55"/>
      <c r="M85" s="55"/>
      <c r="N85" s="56">
        <v>68.5</v>
      </c>
      <c r="O85" s="56">
        <v>96.5</v>
      </c>
      <c r="P85" s="56">
        <v>175</v>
      </c>
    </row>
    <row r="86" spans="1:16" x14ac:dyDescent="0.25">
      <c r="A86" s="54" t="s">
        <v>76</v>
      </c>
      <c r="B86" s="54" t="s">
        <v>77</v>
      </c>
      <c r="C86" s="54">
        <v>2011</v>
      </c>
      <c r="D86" s="89"/>
      <c r="E86" s="89"/>
      <c r="F86" s="55"/>
      <c r="G86" s="55"/>
      <c r="H86" s="55"/>
      <c r="I86" s="55">
        <v>0.8765743073047858</v>
      </c>
      <c r="J86" s="55"/>
      <c r="K86" s="55">
        <v>4.9800000000000004</v>
      </c>
      <c r="L86" s="55"/>
      <c r="M86" s="55"/>
      <c r="N86" s="56">
        <v>68.5</v>
      </c>
      <c r="O86" s="56">
        <v>96.5</v>
      </c>
      <c r="P86" s="56">
        <v>175</v>
      </c>
    </row>
    <row r="87" spans="1:16" x14ac:dyDescent="0.25">
      <c r="A87" s="54" t="s">
        <v>76</v>
      </c>
      <c r="B87" s="54" t="s">
        <v>77</v>
      </c>
      <c r="C87" s="54">
        <v>2012</v>
      </c>
      <c r="D87" s="89"/>
      <c r="E87" s="89"/>
      <c r="F87" s="55"/>
      <c r="G87" s="55"/>
      <c r="H87" s="55">
        <v>0.5</v>
      </c>
      <c r="I87" s="55">
        <v>1.1426592797783934</v>
      </c>
      <c r="J87" s="55"/>
      <c r="K87" s="55"/>
      <c r="L87" s="55"/>
      <c r="M87" s="55"/>
      <c r="N87" s="56">
        <v>68.5</v>
      </c>
      <c r="O87" s="56">
        <v>96.5</v>
      </c>
      <c r="P87" s="56">
        <v>175</v>
      </c>
    </row>
    <row r="88" spans="1:16" x14ac:dyDescent="0.25">
      <c r="A88" s="54" t="s">
        <v>76</v>
      </c>
      <c r="B88" s="54" t="s">
        <v>77</v>
      </c>
      <c r="C88" s="54">
        <v>2013</v>
      </c>
      <c r="D88" s="89"/>
      <c r="E88" s="89"/>
      <c r="F88" s="55">
        <v>4.51</v>
      </c>
      <c r="G88" s="55">
        <v>2.79</v>
      </c>
      <c r="H88" s="55"/>
      <c r="I88" s="55"/>
      <c r="J88" s="55"/>
      <c r="K88" s="55"/>
      <c r="L88" s="55"/>
      <c r="M88" s="55"/>
      <c r="N88" s="56">
        <v>106</v>
      </c>
      <c r="O88" s="56">
        <v>104</v>
      </c>
      <c r="P88" s="56">
        <v>250</v>
      </c>
    </row>
    <row r="89" spans="1:16" x14ac:dyDescent="0.25">
      <c r="A89" s="57" t="s">
        <v>76</v>
      </c>
      <c r="B89" s="57" t="s">
        <v>77</v>
      </c>
      <c r="C89" s="54">
        <v>2014</v>
      </c>
      <c r="D89" s="89"/>
      <c r="E89" s="89"/>
      <c r="F89" s="55">
        <v>1.74</v>
      </c>
      <c r="G89" s="55">
        <v>3.4</v>
      </c>
      <c r="H89" s="55"/>
      <c r="I89" s="55"/>
      <c r="J89" s="55"/>
      <c r="K89" s="55"/>
      <c r="L89" s="55"/>
      <c r="M89" s="55"/>
      <c r="N89" s="56">
        <v>106</v>
      </c>
      <c r="O89" s="56">
        <v>104</v>
      </c>
      <c r="P89" s="56">
        <v>250</v>
      </c>
    </row>
    <row r="90" spans="1:16" x14ac:dyDescent="0.25">
      <c r="A90" t="s">
        <v>78</v>
      </c>
      <c r="B90" t="s">
        <v>79</v>
      </c>
      <c r="C90" s="54">
        <v>2007</v>
      </c>
      <c r="F90" s="2">
        <v>1.98</v>
      </c>
      <c r="G90" s="2">
        <v>3.3</v>
      </c>
      <c r="N90" s="36">
        <v>77.5</v>
      </c>
      <c r="O90" s="36">
        <v>85</v>
      </c>
      <c r="P90" s="56">
        <v>175</v>
      </c>
    </row>
    <row r="91" spans="1:16" x14ac:dyDescent="0.25">
      <c r="A91" s="54" t="s">
        <v>80</v>
      </c>
      <c r="B91" s="54" t="s">
        <v>81</v>
      </c>
      <c r="C91" s="54">
        <v>2005</v>
      </c>
      <c r="D91" s="89"/>
      <c r="E91" s="89"/>
      <c r="F91" s="55"/>
      <c r="G91" s="55"/>
      <c r="H91" s="55"/>
      <c r="I91" s="55"/>
      <c r="J91" s="55">
        <v>8.2100000000000009</v>
      </c>
      <c r="K91" s="55"/>
      <c r="L91" s="55">
        <v>2182</v>
      </c>
      <c r="M91" s="55"/>
      <c r="N91" s="56">
        <v>82.5</v>
      </c>
      <c r="O91" s="56">
        <v>85.5</v>
      </c>
      <c r="P91" s="56">
        <v>250</v>
      </c>
    </row>
    <row r="92" spans="1:16" x14ac:dyDescent="0.25">
      <c r="A92" s="54" t="s">
        <v>80</v>
      </c>
      <c r="B92" s="54" t="s">
        <v>81</v>
      </c>
      <c r="C92" s="54">
        <v>2006</v>
      </c>
      <c r="D92" s="89"/>
      <c r="E92" s="89"/>
      <c r="F92" s="55"/>
      <c r="G92" s="55"/>
      <c r="H92" s="55"/>
      <c r="I92" s="55"/>
      <c r="J92" s="55">
        <v>8.1</v>
      </c>
      <c r="K92" s="55"/>
      <c r="L92" s="55">
        <v>2168</v>
      </c>
      <c r="M92" s="55"/>
      <c r="N92" s="56">
        <v>82.5</v>
      </c>
      <c r="O92" s="56">
        <v>85.5</v>
      </c>
      <c r="P92" s="56">
        <v>250</v>
      </c>
    </row>
    <row r="93" spans="1:16" x14ac:dyDescent="0.25">
      <c r="A93" s="54" t="s">
        <v>80</v>
      </c>
      <c r="B93" s="54" t="s">
        <v>81</v>
      </c>
      <c r="C93" s="54">
        <v>2007</v>
      </c>
      <c r="D93" s="89"/>
      <c r="E93" s="89"/>
      <c r="F93" s="55"/>
      <c r="G93" s="55"/>
      <c r="H93" s="55"/>
      <c r="I93" s="55"/>
      <c r="J93" s="55">
        <v>8.3699999999999992</v>
      </c>
      <c r="K93" s="55"/>
      <c r="L93" s="55">
        <v>2173</v>
      </c>
      <c r="M93" s="55"/>
      <c r="N93" s="56">
        <v>82.5</v>
      </c>
      <c r="O93" s="56">
        <v>85.5</v>
      </c>
      <c r="P93" s="56">
        <v>250</v>
      </c>
    </row>
    <row r="94" spans="1:16" x14ac:dyDescent="0.25">
      <c r="A94" s="54" t="s">
        <v>80</v>
      </c>
      <c r="B94" s="54" t="s">
        <v>81</v>
      </c>
      <c r="C94" s="54">
        <v>2008</v>
      </c>
      <c r="D94" s="89"/>
      <c r="E94" s="89"/>
      <c r="F94" s="55"/>
      <c r="G94" s="55"/>
      <c r="H94" s="55"/>
      <c r="I94" s="55"/>
      <c r="J94" s="55">
        <v>8.9</v>
      </c>
      <c r="K94" s="55"/>
      <c r="L94" s="55">
        <v>2108</v>
      </c>
      <c r="M94" s="55"/>
      <c r="N94" s="56">
        <v>82.5</v>
      </c>
      <c r="O94" s="56">
        <v>85.5</v>
      </c>
      <c r="P94" s="56">
        <v>250</v>
      </c>
    </row>
    <row r="95" spans="1:16" x14ac:dyDescent="0.25">
      <c r="A95" t="s">
        <v>80</v>
      </c>
      <c r="B95" t="s">
        <v>81</v>
      </c>
      <c r="C95">
        <v>2010</v>
      </c>
      <c r="F95" s="2">
        <v>0.28000000000000003</v>
      </c>
      <c r="G95" s="2">
        <v>3.42</v>
      </c>
      <c r="N95" s="36">
        <v>25.5</v>
      </c>
      <c r="O95" s="36">
        <v>24</v>
      </c>
      <c r="P95" s="36">
        <v>100</v>
      </c>
    </row>
    <row r="96" spans="1:16" x14ac:dyDescent="0.25">
      <c r="A96" s="39" t="s">
        <v>82</v>
      </c>
      <c r="B96" s="39" t="s">
        <v>83</v>
      </c>
      <c r="C96">
        <v>2012</v>
      </c>
      <c r="F96" s="2">
        <v>2</v>
      </c>
      <c r="G96" s="2">
        <v>2.73</v>
      </c>
      <c r="N96" s="36">
        <v>99</v>
      </c>
      <c r="O96" s="36">
        <v>99</v>
      </c>
      <c r="P96" s="36">
        <v>175</v>
      </c>
    </row>
    <row r="97" spans="1:16" x14ac:dyDescent="0.25">
      <c r="A97" s="39" t="s">
        <v>82</v>
      </c>
      <c r="B97" s="39" t="s">
        <v>83</v>
      </c>
      <c r="C97">
        <v>2013</v>
      </c>
      <c r="F97" s="2">
        <v>2.58</v>
      </c>
      <c r="G97" s="2">
        <v>2.67</v>
      </c>
      <c r="N97" s="36">
        <v>99</v>
      </c>
      <c r="O97" s="36">
        <v>99</v>
      </c>
      <c r="P97" s="36">
        <v>175</v>
      </c>
    </row>
    <row r="98" spans="1:16" x14ac:dyDescent="0.25">
      <c r="A98" s="57" t="s">
        <v>84</v>
      </c>
      <c r="B98" s="57" t="s">
        <v>85</v>
      </c>
      <c r="C98" s="54">
        <v>2008</v>
      </c>
      <c r="D98" s="89"/>
      <c r="E98" s="89">
        <v>1.242</v>
      </c>
      <c r="F98" s="55">
        <v>1.92</v>
      </c>
      <c r="G98" s="55">
        <v>0.09</v>
      </c>
      <c r="H98" s="55">
        <v>1.1200000000000001</v>
      </c>
      <c r="I98" s="55">
        <v>4.080971659919029E-2</v>
      </c>
      <c r="J98" s="55">
        <v>15.18</v>
      </c>
      <c r="K98" s="55">
        <v>11.385</v>
      </c>
      <c r="L98" s="55"/>
      <c r="M98" s="55"/>
      <c r="N98" s="56">
        <v>63.5</v>
      </c>
      <c r="O98" s="56">
        <v>93.5</v>
      </c>
      <c r="P98" s="56">
        <v>175</v>
      </c>
    </row>
    <row r="99" spans="1:16" x14ac:dyDescent="0.25">
      <c r="A99" s="57" t="s">
        <v>84</v>
      </c>
      <c r="B99" s="57" t="s">
        <v>85</v>
      </c>
      <c r="C99" s="54">
        <v>2009</v>
      </c>
      <c r="D99" s="89"/>
      <c r="E99" s="89">
        <v>7.5809999999999995</v>
      </c>
      <c r="F99" s="55">
        <v>2.0299999999999998</v>
      </c>
      <c r="G99" s="55">
        <v>0.56999999999999995</v>
      </c>
      <c r="H99" s="55">
        <v>1.1599999999999999</v>
      </c>
      <c r="I99" s="55">
        <v>0.17492063492063489</v>
      </c>
      <c r="J99" s="55">
        <v>17.510000000000002</v>
      </c>
      <c r="K99" s="55">
        <v>13.1325</v>
      </c>
      <c r="L99" s="55"/>
      <c r="M99" s="55"/>
      <c r="N99" s="56">
        <v>63.5</v>
      </c>
      <c r="O99" s="56">
        <v>93.5</v>
      </c>
      <c r="P99" s="56">
        <v>175</v>
      </c>
    </row>
    <row r="100" spans="1:16" x14ac:dyDescent="0.25">
      <c r="A100" s="57" t="s">
        <v>84</v>
      </c>
      <c r="B100" s="57" t="s">
        <v>85</v>
      </c>
      <c r="C100" s="54">
        <v>2010</v>
      </c>
      <c r="D100" s="89"/>
      <c r="E100" s="89">
        <v>4.9779999999999998</v>
      </c>
      <c r="F100" s="55">
        <v>2.39</v>
      </c>
      <c r="G100" s="55">
        <v>0.38</v>
      </c>
      <c r="H100" s="55">
        <v>1.1599999999999999</v>
      </c>
      <c r="I100" s="55">
        <v>0.12312849162011172</v>
      </c>
      <c r="J100" s="55">
        <v>20.5</v>
      </c>
      <c r="K100" s="55">
        <v>15.375</v>
      </c>
      <c r="L100" s="55"/>
      <c r="M100" s="55"/>
      <c r="N100" s="56">
        <v>63.5</v>
      </c>
      <c r="O100" s="56">
        <v>93.5</v>
      </c>
      <c r="P100" s="56">
        <v>175</v>
      </c>
    </row>
    <row r="101" spans="1:16" x14ac:dyDescent="0.25">
      <c r="A101" s="57" t="s">
        <v>84</v>
      </c>
      <c r="B101" s="57" t="s">
        <v>85</v>
      </c>
      <c r="C101" s="54">
        <v>2011</v>
      </c>
      <c r="D101" s="89"/>
      <c r="E101" s="89">
        <v>18.138999999999999</v>
      </c>
      <c r="F101" s="55">
        <v>1.99</v>
      </c>
      <c r="G101" s="55">
        <v>0.97</v>
      </c>
      <c r="H101" s="55">
        <v>1.1599999999999999</v>
      </c>
      <c r="I101" s="55">
        <v>0.28342569269521412</v>
      </c>
      <c r="J101" s="55">
        <v>19.920000000000002</v>
      </c>
      <c r="K101" s="55">
        <v>14.940000000000001</v>
      </c>
      <c r="L101" s="55"/>
      <c r="M101" s="55"/>
      <c r="N101" s="56">
        <v>63.5</v>
      </c>
      <c r="O101" s="56">
        <v>93.5</v>
      </c>
      <c r="P101" s="56">
        <v>175</v>
      </c>
    </row>
    <row r="102" spans="1:16" x14ac:dyDescent="0.25">
      <c r="A102" s="57" t="s">
        <v>84</v>
      </c>
      <c r="B102" s="57" t="s">
        <v>85</v>
      </c>
      <c r="C102" s="54">
        <v>2012</v>
      </c>
      <c r="D102" s="89"/>
      <c r="E102" s="89">
        <v>12.9</v>
      </c>
      <c r="F102" s="55">
        <v>1.69</v>
      </c>
      <c r="G102" s="55">
        <v>0.86</v>
      </c>
      <c r="H102" s="55">
        <v>1</v>
      </c>
      <c r="I102" s="55">
        <v>0.35734072022160668</v>
      </c>
      <c r="J102" s="55"/>
      <c r="K102" s="55"/>
      <c r="L102" s="55"/>
      <c r="M102" s="55"/>
      <c r="N102" s="56">
        <v>63.5</v>
      </c>
      <c r="O102" s="56">
        <v>93.5</v>
      </c>
      <c r="P102" s="56">
        <v>175</v>
      </c>
    </row>
    <row r="103" spans="1:16" x14ac:dyDescent="0.25">
      <c r="A103" s="57" t="s">
        <v>84</v>
      </c>
      <c r="B103" s="57" t="s">
        <v>85</v>
      </c>
      <c r="C103" s="54">
        <v>2013</v>
      </c>
      <c r="D103" s="89"/>
      <c r="E103" s="89"/>
      <c r="F103" s="55">
        <v>2.19</v>
      </c>
      <c r="G103" s="55">
        <v>1.29</v>
      </c>
      <c r="H103" s="55"/>
      <c r="I103" s="55"/>
      <c r="J103" s="55"/>
      <c r="K103" s="55"/>
      <c r="L103" s="55"/>
      <c r="M103" s="55"/>
      <c r="N103" s="56">
        <v>63.5</v>
      </c>
      <c r="O103" s="56">
        <v>93.5</v>
      </c>
      <c r="P103" s="56">
        <v>175</v>
      </c>
    </row>
    <row r="104" spans="1:16" x14ac:dyDescent="0.25">
      <c r="A104" s="39" t="s">
        <v>86</v>
      </c>
      <c r="B104" s="39" t="s">
        <v>87</v>
      </c>
      <c r="C104">
        <v>2009</v>
      </c>
      <c r="F104" s="2">
        <v>3.8</v>
      </c>
      <c r="G104" s="2">
        <v>4.28</v>
      </c>
      <c r="N104" s="36">
        <v>91.5</v>
      </c>
      <c r="O104" s="36">
        <v>89.5</v>
      </c>
      <c r="P104" s="36">
        <v>175</v>
      </c>
    </row>
    <row r="105" spans="1:16" x14ac:dyDescent="0.25">
      <c r="A105" s="39" t="s">
        <v>86</v>
      </c>
      <c r="B105" s="39" t="s">
        <v>87</v>
      </c>
      <c r="C105">
        <v>2010</v>
      </c>
      <c r="F105" s="2">
        <v>2.0099999999999998</v>
      </c>
      <c r="G105" s="2">
        <v>2.29</v>
      </c>
      <c r="N105" s="36">
        <v>91.5</v>
      </c>
      <c r="O105" s="36">
        <v>89.5</v>
      </c>
      <c r="P105" s="36">
        <v>175</v>
      </c>
    </row>
    <row r="106" spans="1:16" x14ac:dyDescent="0.25">
      <c r="A106" s="54" t="s">
        <v>92</v>
      </c>
      <c r="B106" s="54" t="s">
        <v>93</v>
      </c>
      <c r="C106" s="54">
        <v>2005</v>
      </c>
      <c r="D106" s="89"/>
      <c r="E106" s="89"/>
      <c r="F106" s="55"/>
      <c r="G106" s="55"/>
      <c r="H106" s="55"/>
      <c r="I106" s="55"/>
      <c r="J106" s="55">
        <v>8.92</v>
      </c>
      <c r="K106" s="55"/>
      <c r="L106" s="55">
        <v>7361</v>
      </c>
      <c r="M106" s="55"/>
      <c r="N106" s="56">
        <v>99</v>
      </c>
      <c r="O106" s="56">
        <v>104</v>
      </c>
      <c r="P106" s="56">
        <v>250</v>
      </c>
    </row>
    <row r="107" spans="1:16" x14ac:dyDescent="0.25">
      <c r="A107" s="54" t="s">
        <v>92</v>
      </c>
      <c r="B107" s="54" t="s">
        <v>93</v>
      </c>
      <c r="C107" s="54">
        <v>2006</v>
      </c>
      <c r="D107" s="89"/>
      <c r="E107" s="89"/>
      <c r="F107" s="55">
        <v>2.66</v>
      </c>
      <c r="G107" s="55">
        <v>1.52</v>
      </c>
      <c r="H107" s="55"/>
      <c r="I107" s="55"/>
      <c r="J107" s="55">
        <v>10.02</v>
      </c>
      <c r="K107" s="55"/>
      <c r="L107" s="55">
        <v>7124</v>
      </c>
      <c r="M107" s="55"/>
      <c r="N107" s="56">
        <v>99</v>
      </c>
      <c r="O107" s="56">
        <v>104</v>
      </c>
      <c r="P107" s="56">
        <v>250</v>
      </c>
    </row>
    <row r="108" spans="1:16" x14ac:dyDescent="0.25">
      <c r="A108" s="54" t="s">
        <v>92</v>
      </c>
      <c r="B108" s="54" t="s">
        <v>93</v>
      </c>
      <c r="C108" s="54">
        <v>2007</v>
      </c>
      <c r="D108" s="89"/>
      <c r="E108" s="89"/>
      <c r="F108" s="55"/>
      <c r="G108" s="55"/>
      <c r="H108" s="55"/>
      <c r="I108" s="55"/>
      <c r="J108" s="55">
        <v>9.6199999999999992</v>
      </c>
      <c r="K108" s="55"/>
      <c r="L108" s="55">
        <v>6761</v>
      </c>
      <c r="M108" s="55"/>
      <c r="N108" s="56">
        <v>99</v>
      </c>
      <c r="O108" s="56">
        <v>104</v>
      </c>
      <c r="P108" s="56">
        <v>250</v>
      </c>
    </row>
    <row r="109" spans="1:16" x14ac:dyDescent="0.25">
      <c r="A109" s="54" t="s">
        <v>92</v>
      </c>
      <c r="B109" s="54" t="s">
        <v>93</v>
      </c>
      <c r="C109" s="54">
        <v>2008</v>
      </c>
      <c r="D109" s="89"/>
      <c r="E109" s="89"/>
      <c r="F109" s="55"/>
      <c r="G109" s="55"/>
      <c r="H109" s="55"/>
      <c r="I109" s="55"/>
      <c r="J109" s="55">
        <v>8.5299999999999994</v>
      </c>
      <c r="K109" s="55"/>
      <c r="L109" s="55">
        <v>6746</v>
      </c>
      <c r="M109" s="55"/>
      <c r="N109" s="56">
        <v>99</v>
      </c>
      <c r="O109" s="56">
        <v>104</v>
      </c>
      <c r="P109" s="56">
        <v>250</v>
      </c>
    </row>
    <row r="110" spans="1:16" x14ac:dyDescent="0.25">
      <c r="A110" t="s">
        <v>92</v>
      </c>
      <c r="B110" t="s">
        <v>93</v>
      </c>
      <c r="C110">
        <v>2013</v>
      </c>
      <c r="F110" s="2">
        <v>3.19</v>
      </c>
      <c r="G110" s="2">
        <v>1.65</v>
      </c>
      <c r="N110" s="36">
        <v>26</v>
      </c>
      <c r="O110" s="36">
        <v>35.5</v>
      </c>
      <c r="P110" s="36">
        <v>100</v>
      </c>
    </row>
    <row r="111" spans="1:16" x14ac:dyDescent="0.25">
      <c r="A111" t="s">
        <v>96</v>
      </c>
      <c r="B111" t="s">
        <v>97</v>
      </c>
      <c r="C111">
        <v>2005</v>
      </c>
      <c r="J111" s="2">
        <v>7.07</v>
      </c>
      <c r="L111" s="2">
        <v>2473</v>
      </c>
      <c r="N111" s="36">
        <v>108.5</v>
      </c>
      <c r="O111" s="36">
        <v>110.5</v>
      </c>
      <c r="P111" s="36">
        <v>250</v>
      </c>
    </row>
    <row r="112" spans="1:16" x14ac:dyDescent="0.25">
      <c r="A112" t="s">
        <v>96</v>
      </c>
      <c r="B112" t="s">
        <v>97</v>
      </c>
      <c r="C112">
        <v>2008</v>
      </c>
      <c r="F112" s="2">
        <v>3.64</v>
      </c>
      <c r="G112" s="2">
        <v>3.4</v>
      </c>
      <c r="N112" s="36">
        <v>81</v>
      </c>
      <c r="O112" s="36">
        <v>82</v>
      </c>
      <c r="P112" s="36">
        <v>175</v>
      </c>
    </row>
    <row r="113" spans="1:16" x14ac:dyDescent="0.25">
      <c r="A113" t="s">
        <v>96</v>
      </c>
      <c r="B113" t="s">
        <v>97</v>
      </c>
      <c r="C113">
        <v>2009</v>
      </c>
      <c r="F113" s="2">
        <v>4.26</v>
      </c>
      <c r="G113" s="2">
        <v>3.39</v>
      </c>
      <c r="N113" s="36">
        <v>81</v>
      </c>
      <c r="O113" s="36">
        <v>83</v>
      </c>
      <c r="P113" s="36">
        <v>175</v>
      </c>
    </row>
    <row r="114" spans="1:16" x14ac:dyDescent="0.25">
      <c r="A114" t="s">
        <v>96</v>
      </c>
      <c r="B114" t="s">
        <v>97</v>
      </c>
      <c r="C114">
        <v>2010</v>
      </c>
      <c r="F114" s="2">
        <v>4.1100000000000003</v>
      </c>
      <c r="G114" s="2">
        <v>3.53</v>
      </c>
      <c r="N114" s="36">
        <v>81</v>
      </c>
      <c r="O114" s="36">
        <v>85</v>
      </c>
      <c r="P114" s="36">
        <v>175</v>
      </c>
    </row>
    <row r="115" spans="1:16" x14ac:dyDescent="0.25">
      <c r="A115" t="s">
        <v>98</v>
      </c>
      <c r="B115" t="s">
        <v>99</v>
      </c>
      <c r="C115">
        <v>2005</v>
      </c>
      <c r="J115" s="2">
        <v>14.36</v>
      </c>
      <c r="L115" s="2">
        <v>2763</v>
      </c>
      <c r="N115" s="36">
        <v>120.5</v>
      </c>
      <c r="O115" s="36">
        <v>136.5</v>
      </c>
      <c r="P115" s="36">
        <v>250</v>
      </c>
    </row>
    <row r="116" spans="1:16" x14ac:dyDescent="0.25">
      <c r="A116" t="s">
        <v>98</v>
      </c>
      <c r="B116" t="s">
        <v>99</v>
      </c>
      <c r="C116">
        <v>2006</v>
      </c>
      <c r="J116" s="2">
        <v>16.670000000000002</v>
      </c>
      <c r="L116" s="2">
        <v>2912</v>
      </c>
      <c r="N116" s="36">
        <v>120.5</v>
      </c>
      <c r="O116" s="36">
        <v>136.5</v>
      </c>
      <c r="P116" s="36">
        <v>250</v>
      </c>
    </row>
    <row r="117" spans="1:16" x14ac:dyDescent="0.25">
      <c r="A117" t="s">
        <v>98</v>
      </c>
      <c r="B117" t="s">
        <v>99</v>
      </c>
      <c r="C117">
        <v>2007</v>
      </c>
      <c r="J117" s="2">
        <v>17.04</v>
      </c>
      <c r="L117" s="2">
        <v>2968</v>
      </c>
      <c r="N117" s="36">
        <v>120.5</v>
      </c>
      <c r="O117" s="36">
        <v>136.5</v>
      </c>
      <c r="P117" s="36">
        <v>250</v>
      </c>
    </row>
    <row r="118" spans="1:16" x14ac:dyDescent="0.25">
      <c r="A118" t="s">
        <v>98</v>
      </c>
      <c r="B118" t="s">
        <v>99</v>
      </c>
      <c r="C118">
        <v>2008</v>
      </c>
      <c r="J118" s="2">
        <v>14.05</v>
      </c>
      <c r="L118" s="2">
        <v>2968</v>
      </c>
      <c r="N118" s="36">
        <v>120.5</v>
      </c>
      <c r="O118" s="36">
        <v>136.5</v>
      </c>
      <c r="P118" s="36">
        <v>250</v>
      </c>
    </row>
    <row r="119" spans="1:16" x14ac:dyDescent="0.25">
      <c r="A119" t="s">
        <v>98</v>
      </c>
      <c r="B119" t="s">
        <v>99</v>
      </c>
      <c r="C119">
        <v>2009</v>
      </c>
      <c r="F119" s="2">
        <v>1.29</v>
      </c>
      <c r="G119" s="2">
        <v>2.4</v>
      </c>
      <c r="J119" s="2">
        <v>14.67</v>
      </c>
      <c r="L119" s="2">
        <v>2836</v>
      </c>
      <c r="N119" s="36">
        <v>120.5</v>
      </c>
      <c r="O119" s="36">
        <v>136.5</v>
      </c>
      <c r="P119" s="36">
        <v>250</v>
      </c>
    </row>
    <row r="120" spans="1:16" x14ac:dyDescent="0.25">
      <c r="A120" t="s">
        <v>98</v>
      </c>
      <c r="B120" t="s">
        <v>99</v>
      </c>
      <c r="C120">
        <v>2010</v>
      </c>
      <c r="F120" s="2">
        <v>0.9</v>
      </c>
      <c r="G120" s="2">
        <v>2.2000000000000002</v>
      </c>
      <c r="J120" s="2">
        <v>13.64</v>
      </c>
      <c r="L120" s="2">
        <v>2828</v>
      </c>
      <c r="N120" s="36">
        <v>120.5</v>
      </c>
      <c r="O120" s="36">
        <v>136.5</v>
      </c>
      <c r="P120" s="36">
        <v>250</v>
      </c>
    </row>
    <row r="121" spans="1:16" x14ac:dyDescent="0.25">
      <c r="A121" t="s">
        <v>98</v>
      </c>
      <c r="B121" t="s">
        <v>99</v>
      </c>
      <c r="C121">
        <v>2011</v>
      </c>
      <c r="F121" s="2">
        <v>0.85</v>
      </c>
      <c r="G121" s="2">
        <v>2.15</v>
      </c>
      <c r="J121" s="2">
        <v>12.69</v>
      </c>
      <c r="L121" s="2">
        <v>2836</v>
      </c>
      <c r="N121" s="36">
        <v>120.5</v>
      </c>
      <c r="O121" s="36">
        <v>136.5</v>
      </c>
      <c r="P121" s="36">
        <v>250</v>
      </c>
    </row>
    <row r="122" spans="1:16" x14ac:dyDescent="0.25">
      <c r="A122" t="s">
        <v>98</v>
      </c>
      <c r="B122" t="s">
        <v>99</v>
      </c>
      <c r="C122">
        <v>2012</v>
      </c>
      <c r="F122" s="2">
        <v>0.31</v>
      </c>
      <c r="G122" s="2">
        <v>2.2400000000000002</v>
      </c>
      <c r="J122" s="2">
        <v>11.6</v>
      </c>
      <c r="L122" s="2">
        <v>2858</v>
      </c>
      <c r="N122" s="36">
        <v>120.5</v>
      </c>
      <c r="O122" s="36">
        <v>136.5</v>
      </c>
      <c r="P122" s="36">
        <v>250</v>
      </c>
    </row>
    <row r="123" spans="1:16" x14ac:dyDescent="0.25">
      <c r="A123" t="s">
        <v>98</v>
      </c>
      <c r="B123" t="s">
        <v>99</v>
      </c>
      <c r="C123">
        <v>2013</v>
      </c>
      <c r="J123" s="2">
        <v>13.57</v>
      </c>
      <c r="L123" s="2">
        <v>2862</v>
      </c>
      <c r="N123" s="36">
        <v>120.5</v>
      </c>
      <c r="O123" s="36">
        <v>136.5</v>
      </c>
      <c r="P123" s="36">
        <v>250</v>
      </c>
    </row>
  </sheetData>
  <autoFilter ref="A1:P1">
    <sortState ref="A2:P123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7"/>
  <sheetViews>
    <sheetView tabSelected="1" zoomScale="60" zoomScaleNormal="60" workbookViewId="0"/>
  </sheetViews>
  <sheetFormatPr baseColWidth="10" defaultRowHeight="15" outlineLevelCol="1" x14ac:dyDescent="0.25"/>
  <cols>
    <col min="1" max="1" width="28" style="39" customWidth="1"/>
    <col min="2" max="2" width="20.85546875" style="39" customWidth="1"/>
    <col min="3" max="3" width="18.42578125" style="39" bestFit="1" customWidth="1"/>
    <col min="4" max="4" width="2.7109375" style="39" customWidth="1"/>
    <col min="5" max="5" width="12.7109375" style="39" hidden="1" customWidth="1" outlineLevel="1"/>
    <col min="6" max="6" width="14.7109375" style="39" hidden="1" customWidth="1" outlineLevel="1"/>
    <col min="7" max="7" width="16.85546875" style="39" hidden="1" customWidth="1" outlineLevel="1"/>
    <col min="8" max="8" width="18" style="39" hidden="1" customWidth="1" outlineLevel="1"/>
    <col min="9" max="9" width="22.7109375" style="39" hidden="1" customWidth="1" outlineLevel="1"/>
    <col min="10" max="10" width="16.85546875" style="39" bestFit="1" customWidth="1" collapsed="1"/>
    <col min="11" max="11" width="22.7109375" style="39" bestFit="1" customWidth="1"/>
    <col min="12" max="12" width="2.7109375" style="39" customWidth="1"/>
    <col min="13" max="15" width="17" style="39" hidden="1" customWidth="1" outlineLevel="1"/>
    <col min="16" max="16" width="18" style="39" hidden="1" customWidth="1" outlineLevel="1"/>
    <col min="17" max="18" width="24.140625" style="39" hidden="1" customWidth="1" outlineLevel="1"/>
    <col min="19" max="19" width="17" style="39" bestFit="1" customWidth="1" collapsed="1"/>
    <col min="20" max="20" width="18" style="39" bestFit="1" customWidth="1"/>
    <col min="21" max="21" width="24.140625" style="39" customWidth="1"/>
    <col min="22" max="22" width="2.7109375" style="39" customWidth="1"/>
    <col min="23" max="24" width="16.28515625" style="39" hidden="1" customWidth="1" outlineLevel="1"/>
    <col min="25" max="25" width="16.85546875" style="39" hidden="1" customWidth="1" outlineLevel="1"/>
    <col min="26" max="26" width="17.28515625" style="39" hidden="1" customWidth="1" outlineLevel="1"/>
    <col min="27" max="28" width="23.28515625" style="39" hidden="1" customWidth="1" outlineLevel="1"/>
    <col min="29" max="29" width="16.85546875" style="39" bestFit="1" customWidth="1" collapsed="1"/>
    <col min="30" max="30" width="17.28515625" style="39" bestFit="1" customWidth="1"/>
    <col min="31" max="31" width="23.28515625" style="39" bestFit="1" customWidth="1"/>
    <col min="32" max="32" width="2.7109375" style="39" customWidth="1"/>
    <col min="33" max="35" width="17.7109375" style="39" hidden="1" customWidth="1" outlineLevel="1"/>
    <col min="36" max="36" width="20.140625" style="39" hidden="1" customWidth="1" outlineLevel="1"/>
    <col min="37" max="38" width="24.85546875" style="39" hidden="1" customWidth="1" outlineLevel="1"/>
    <col min="39" max="39" width="17.7109375" style="39" bestFit="1" customWidth="1" collapsed="1"/>
    <col min="40" max="40" width="20.140625" style="39" bestFit="1" customWidth="1"/>
    <col min="41" max="41" width="24.85546875" style="39" bestFit="1" customWidth="1"/>
    <col min="42" max="42" width="2.7109375" style="39" customWidth="1"/>
    <col min="43" max="43" width="12.7109375" style="39" hidden="1" customWidth="1" outlineLevel="1"/>
    <col min="44" max="44" width="13" style="39" hidden="1" customWidth="1" outlineLevel="1"/>
    <col min="45" max="45" width="16.85546875" style="39" hidden="1" customWidth="1" outlineLevel="1"/>
    <col min="46" max="46" width="12.7109375" style="39" customWidth="1" collapsed="1"/>
    <col min="47" max="47" width="13" style="39" customWidth="1"/>
    <col min="48" max="48" width="16.85546875" style="39" bestFit="1" customWidth="1"/>
    <col min="49" max="49" width="2.7109375" style="39" customWidth="1"/>
    <col min="50" max="50" width="11.28515625" style="39" hidden="1" customWidth="1" outlineLevel="1"/>
    <col min="51" max="51" width="13" style="39" hidden="1" customWidth="1" outlineLevel="1"/>
    <col min="52" max="52" width="16.85546875" style="39" hidden="1" customWidth="1" outlineLevel="1"/>
    <col min="53" max="53" width="11.28515625" style="39" bestFit="1" customWidth="1" collapsed="1"/>
    <col min="54" max="54" width="13" style="39" bestFit="1" customWidth="1"/>
    <col min="55" max="55" width="16.85546875" style="39" bestFit="1" customWidth="1"/>
    <col min="56" max="56" width="2.7109375" style="39" customWidth="1"/>
    <col min="57" max="58" width="13.28515625" style="39" hidden="1" customWidth="1" outlineLevel="1"/>
    <col min="59" max="59" width="16.85546875" style="39" hidden="1" customWidth="1" outlineLevel="1"/>
    <col min="60" max="60" width="13.28515625" style="39" bestFit="1" customWidth="1" collapsed="1"/>
    <col min="61" max="61" width="13.28515625" style="39" bestFit="1" customWidth="1"/>
    <col min="62" max="62" width="16.85546875" style="39" bestFit="1" customWidth="1"/>
    <col min="63" max="16384" width="11.42578125" style="39"/>
  </cols>
  <sheetData>
    <row r="1" spans="1:62" x14ac:dyDescent="0.25">
      <c r="A1" s="38" t="s">
        <v>178</v>
      </c>
      <c r="B1" s="43">
        <v>42078</v>
      </c>
      <c r="C1" s="38"/>
      <c r="D1" s="45"/>
      <c r="E1" s="40"/>
      <c r="F1" s="40"/>
      <c r="G1" s="40"/>
      <c r="H1" s="40"/>
      <c r="I1" s="40"/>
      <c r="J1" s="96" t="str">
        <f>CONCATENATE("Preis (",Bewertung_Stammdaten!A11+Bewertung_Stammdaten!M11," von ",Bewertung_Stammdaten!B7,")")</f>
        <v>Preis (45 von 250)</v>
      </c>
      <c r="K1" s="96"/>
      <c r="L1" s="37"/>
      <c r="M1" s="40"/>
      <c r="N1" s="40"/>
      <c r="O1" s="40"/>
      <c r="P1" s="40"/>
      <c r="Q1" s="40"/>
      <c r="R1" s="40"/>
      <c r="S1" s="96" t="str">
        <f>CONCATENATE("Wert (",Bewertung_Stammdaten!C33+Bewertung_Stammdaten!E33+Bewertung_Stammdaten!G33," von ",Bewertung_Stammdaten!B7,")")</f>
        <v>Wert (40 von 250)</v>
      </c>
      <c r="T1" s="96"/>
      <c r="U1" s="96"/>
      <c r="V1" s="37"/>
      <c r="W1" s="40"/>
      <c r="X1" s="40"/>
      <c r="Y1" s="40"/>
      <c r="Z1" s="40"/>
      <c r="AA1" s="40"/>
      <c r="AB1" s="40"/>
      <c r="AC1" s="96" t="str">
        <f>CONCATENATE("Ergebnis (",Bewertung_Stammdaten!K20+Bewertung_Stammdaten!O20+Bewertung_Stammdaten!Q20," von ",Bewertung_Stammdaten!B7,")")</f>
        <v>Ergebnis (40 von 250)</v>
      </c>
      <c r="AD1" s="96"/>
      <c r="AE1" s="96"/>
      <c r="AF1" s="37"/>
      <c r="AG1" s="40"/>
      <c r="AH1" s="40"/>
      <c r="AI1" s="40"/>
      <c r="AJ1" s="40"/>
      <c r="AK1" s="40"/>
      <c r="AL1" s="40"/>
      <c r="AM1" s="96" t="str">
        <f>CONCATENATE("Dividende (",Bewertung_Stammdaten!O33+Bewertung_Stammdaten!Q33+Bewertung_Stammdaten!S33," von ",Bewertung_Stammdaten!B7,")")</f>
        <v>Dividende (40 von 250)</v>
      </c>
      <c r="AN1" s="96"/>
      <c r="AO1" s="96"/>
      <c r="AP1" s="37"/>
      <c r="AQ1" s="40"/>
      <c r="AR1" s="40"/>
      <c r="AS1" s="40"/>
      <c r="AT1" s="96" t="str">
        <f>CONCATENATE("Dividendenrendite (",Bewertung_Stammdaten!C20+Bewertung_Stammdaten!E20+Bewertung_Stammdaten!S20," von ",Bewertung_Stammdaten!B7,")")</f>
        <v>Dividendenrendite (30 von 250)</v>
      </c>
      <c r="AU1" s="96"/>
      <c r="AV1" s="96"/>
      <c r="AW1" s="37"/>
      <c r="AX1" s="40"/>
      <c r="AY1" s="40"/>
      <c r="AZ1" s="40"/>
      <c r="BA1" s="96" t="str">
        <f>CONCATENATE("Aktienrückkäufe (",Bewertung_Stammdaten!I24+Bewertung_Stammdaten!K24+Bewertung_Stammdaten!M33," von ",Bewertung_Stammdaten!B7,")")</f>
        <v>Aktienrückkäufe (25 von 250)</v>
      </c>
      <c r="BB1" s="96"/>
      <c r="BC1" s="96"/>
      <c r="BD1" s="37"/>
      <c r="BE1" s="40"/>
      <c r="BF1" s="40"/>
      <c r="BG1" s="40"/>
      <c r="BH1" s="96" t="str">
        <f>CONCATENATE("Ausschüttungsquote (",Bewertung_Stammdaten!G11+Bewertung_Stammdaten!I11+Bewertung_Stammdaten!A24," von ",Bewertung_Stammdaten!B7,")")</f>
        <v>Ausschüttungsquote (30 von 250)</v>
      </c>
      <c r="BI1" s="96"/>
      <c r="BJ1" s="96"/>
    </row>
    <row r="2" spans="1:62" ht="60" x14ac:dyDescent="0.25">
      <c r="A2" s="38" t="s">
        <v>0</v>
      </c>
      <c r="B2" s="38" t="s">
        <v>1</v>
      </c>
      <c r="C2" s="38" t="s">
        <v>155</v>
      </c>
      <c r="D2" s="45"/>
      <c r="E2" s="7" t="s">
        <v>146</v>
      </c>
      <c r="F2" s="7" t="s">
        <v>247</v>
      </c>
      <c r="G2" s="7" t="s">
        <v>256</v>
      </c>
      <c r="H2" s="8" t="s">
        <v>179</v>
      </c>
      <c r="I2" s="8" t="s">
        <v>243</v>
      </c>
      <c r="J2" s="7" t="s">
        <v>256</v>
      </c>
      <c r="K2" s="8" t="s">
        <v>243</v>
      </c>
      <c r="L2" s="46"/>
      <c r="M2" s="8" t="s">
        <v>180</v>
      </c>
      <c r="N2" s="8" t="s">
        <v>248</v>
      </c>
      <c r="O2" s="8" t="s">
        <v>257</v>
      </c>
      <c r="P2" s="8" t="s">
        <v>255</v>
      </c>
      <c r="Q2" s="8" t="s">
        <v>182</v>
      </c>
      <c r="R2" s="8" t="s">
        <v>244</v>
      </c>
      <c r="S2" s="8" t="s">
        <v>257</v>
      </c>
      <c r="T2" s="8" t="s">
        <v>255</v>
      </c>
      <c r="U2" s="8" t="s">
        <v>244</v>
      </c>
      <c r="V2" s="46"/>
      <c r="W2" s="8" t="s">
        <v>149</v>
      </c>
      <c r="X2" s="8" t="s">
        <v>249</v>
      </c>
      <c r="Y2" s="8" t="s">
        <v>258</v>
      </c>
      <c r="Z2" s="8" t="s">
        <v>250</v>
      </c>
      <c r="AA2" s="8" t="s">
        <v>154</v>
      </c>
      <c r="AB2" s="8" t="s">
        <v>245</v>
      </c>
      <c r="AC2" s="8" t="s">
        <v>258</v>
      </c>
      <c r="AD2" s="8" t="s">
        <v>250</v>
      </c>
      <c r="AE2" s="8" t="s">
        <v>245</v>
      </c>
      <c r="AF2" s="46"/>
      <c r="AG2" s="8" t="s">
        <v>241</v>
      </c>
      <c r="AH2" s="8" t="s">
        <v>251</v>
      </c>
      <c r="AI2" s="8" t="s">
        <v>259</v>
      </c>
      <c r="AJ2" s="8" t="s">
        <v>252</v>
      </c>
      <c r="AK2" s="8" t="s">
        <v>242</v>
      </c>
      <c r="AL2" s="8" t="s">
        <v>246</v>
      </c>
      <c r="AM2" s="8" t="s">
        <v>259</v>
      </c>
      <c r="AN2" s="8" t="s">
        <v>252</v>
      </c>
      <c r="AO2" s="8" t="s">
        <v>246</v>
      </c>
      <c r="AP2" s="46"/>
      <c r="AQ2" s="8" t="s">
        <v>147</v>
      </c>
      <c r="AR2" s="8" t="s">
        <v>253</v>
      </c>
      <c r="AS2" s="8" t="s">
        <v>260</v>
      </c>
      <c r="AT2" s="8" t="s">
        <v>147</v>
      </c>
      <c r="AU2" s="8" t="s">
        <v>253</v>
      </c>
      <c r="AV2" s="8" t="s">
        <v>260</v>
      </c>
      <c r="AW2" s="46"/>
      <c r="AX2" s="8" t="s">
        <v>188</v>
      </c>
      <c r="AY2" s="8" t="s">
        <v>189</v>
      </c>
      <c r="AZ2" s="8" t="s">
        <v>261</v>
      </c>
      <c r="BA2" s="8" t="s">
        <v>188</v>
      </c>
      <c r="BB2" s="8" t="s">
        <v>189</v>
      </c>
      <c r="BC2" s="8" t="s">
        <v>261</v>
      </c>
      <c r="BD2" s="46"/>
      <c r="BE2" s="8" t="s">
        <v>148</v>
      </c>
      <c r="BF2" s="8" t="s">
        <v>254</v>
      </c>
      <c r="BG2" s="8" t="s">
        <v>262</v>
      </c>
      <c r="BH2" s="8" t="s">
        <v>148</v>
      </c>
      <c r="BI2" s="8" t="s">
        <v>254</v>
      </c>
      <c r="BJ2" s="8" t="s">
        <v>262</v>
      </c>
    </row>
    <row r="3" spans="1:62" x14ac:dyDescent="0.25">
      <c r="A3" s="39" t="s">
        <v>106</v>
      </c>
      <c r="B3" s="39" t="s">
        <v>197</v>
      </c>
      <c r="C3" s="33">
        <f ca="1">SUM(J3:K3,S3:U3,AC3:AE3,AT3:AV3,BA3:BC3,BH3:BJ3,AM3:AO3)</f>
        <v>141.5</v>
      </c>
      <c r="D3" s="44"/>
      <c r="E3" s="11">
        <f ca="1">VLOOKUP(A3,KGV!A3:R68,17,FALSE)</f>
        <v>18.349605437532386</v>
      </c>
      <c r="F3" s="11">
        <f>VLOOKUP(A3,KGV!A3:R68,16,FALSE)</f>
        <v>17.28247960848287</v>
      </c>
      <c r="G3" s="12">
        <f ca="1">VLOOKUP(A3,KGV!A3:R68,18,FALSE)</f>
        <v>6.1746106648129961E-2</v>
      </c>
      <c r="H3" s="16">
        <f t="shared" ref="H3:H34" ca="1" si="0">IF(Z3&gt;0,E3,IF(E3/(1+Z3)&lt;0,99,E3/(1+Z3)))</f>
        <v>20.970977642894155</v>
      </c>
      <c r="I3" s="12">
        <f t="shared" ref="I3:I34" ca="1" si="1">(H3/F3)-1</f>
        <v>0.21342412188357729</v>
      </c>
      <c r="J3" s="33">
        <f ca="1">IF(G3&lt;Bewertung_Stammdaten!B$11,Bewertung_Stammdaten!A$11,IF(G3&lt;Bewertung_Stammdaten!B$12,Bewertung_Stammdaten!A$12,IF(G3&lt;Bewertung_Stammdaten!B$13,Bewertung_Stammdaten!A$13,IF(G3&lt;Bewertung_Stammdaten!B$14,Bewertung_Stammdaten!A$14,IF(G3&lt;Bewertung_Stammdaten!B$15,Bewertung_Stammdaten!A$15,IF(G3&lt;Bewertung_Stammdaten!B$16,Bewertung_Stammdaten!A$16,IF(G3&lt;Bewertung_Stammdaten!B$17,Bewertung_Stammdaten!A$17,IF(G3&lt;Bewertung_Stammdaten!B$18,Bewertung_Stammdaten!A$18,IF(G3&lt;Bewertung_Stammdaten!B$19,Bewertung_Stammdaten!A$19,Bewertung_Stammdaten!A$20)))))))))</f>
        <v>15</v>
      </c>
      <c r="K3" s="33">
        <f ca="1">IF(I3&lt;Bewertung_Stammdaten!N$11,Bewertung_Stammdaten!M$11,IF(I3&lt;Bewertung_Stammdaten!N$12,Bewertung_Stammdaten!M$12,IF(I3&lt;Bewertung_Stammdaten!N$13,Bewertung_Stammdaten!M$13,IF(I3&lt;Bewertung_Stammdaten!N$14,Bewertung_Stammdaten!M$14,IF(I3&lt;Bewertung_Stammdaten!N$15,Bewertung_Stammdaten!M$15,IF(I3&lt;Bewertung_Stammdaten!N$16,Bewertung_Stammdaten!M$16,IF(I3&lt;Bewertung_Stammdaten!N$17,Bewertung_Stammdaten!M$17,IF(I3&lt;Bewertung_Stammdaten!N$18,Bewertung_Stammdaten!M$18,IF(I3&lt;Bewertung_Stammdaten!N$19,Bewertung_Stammdaten!M$19,Bewertung_Stammdaten!M$20)))))))))</f>
        <v>7.5</v>
      </c>
      <c r="L3" s="44"/>
      <c r="M3" s="11">
        <f ca="1">VLOOKUP(A3,Buchwert_je_Aktie!A3:AK68,23,FALSE)</f>
        <v>103.01388888888889</v>
      </c>
      <c r="N3" s="11">
        <f>VLOOKUP(A3,Buchwert_je_Aktie!A3:AK68,19,FALSE)</f>
        <v>83.59615384615384</v>
      </c>
      <c r="O3" s="12">
        <f ca="1">VLOOKUP(A3,Buchwert_je_Aktie!A3:AK68,24,FALSE)</f>
        <v>0.23228024435753913</v>
      </c>
      <c r="P3" s="12">
        <f>VLOOKUP(A3,Buchwert_je_Aktie!A3:AK68,37,FALSE)</f>
        <v>-6.245166279969061E-2</v>
      </c>
      <c r="Q3" s="16">
        <f t="shared" ref="Q3:Q34" ca="1" si="2">IF(P3&gt;0,M3,IF(M3&lt;0,ABS(M3)*(1+P3),M3*(1+P3)))</f>
        <v>96.580500236315203</v>
      </c>
      <c r="R3" s="12">
        <f t="shared" ref="R3:R34" ca="1" si="3">IF(N3&gt;0,(Q3/N3)-1,-99.99999)</f>
        <v>0.15532229406220166</v>
      </c>
      <c r="S3" s="53">
        <f ca="1">IF(O3&lt;Bewertung_Stammdaten!D$24,Bewertung_Stammdaten!C$24,IF(O3&lt;Bewertung_Stammdaten!D$25,Bewertung_Stammdaten!C$25,IF(O3&lt;Bewertung_Stammdaten!D$26,Bewertung_Stammdaten!C$26,IF(O3&lt;Bewertung_Stammdaten!D$27,Bewertung_Stammdaten!C$27,IF(O3&lt;Bewertung_Stammdaten!D$28,Bewertung_Stammdaten!C$28,IF(O3&lt;Bewertung_Stammdaten!D$29,Bewertung_Stammdaten!C$29,IF(O3&lt;Bewertung_Stammdaten!D$30,Bewertung_Stammdaten!C$30,IF(O3&lt;Bewertung_Stammdaten!D$31,Bewertung_Stammdaten!C$31,IF(O3&lt;Bewertung_Stammdaten!D$32,Bewertung_Stammdaten!C$32,Bewertung_Stammdaten!C$33)))))))))</f>
        <v>7.5</v>
      </c>
      <c r="T3" s="53">
        <f>IF(P3&lt;Bewertung_Stammdaten!F$24,Bewertung_Stammdaten!E$24,IF(P3&lt;Bewertung_Stammdaten!F$25,Bewertung_Stammdaten!E$25,IF(P3&lt;Bewertung_Stammdaten!F$26,Bewertung_Stammdaten!E$26,IF(P3&lt;Bewertung_Stammdaten!F$27,Bewertung_Stammdaten!E$27,IF(P3&lt;Bewertung_Stammdaten!F$28,Bewertung_Stammdaten!E$28,IF(P3&lt;Bewertung_Stammdaten!F$29,Bewertung_Stammdaten!E$29,IF(P3&lt;Bewertung_Stammdaten!F$30,Bewertung_Stammdaten!E$30,IF(P3&lt;Bewertung_Stammdaten!F$31,Bewertung_Stammdaten!E$31,IF(P3&lt;Bewertung_Stammdaten!F$32,Bewertung_Stammdaten!E$32,Bewertung_Stammdaten!E$33)))))))))</f>
        <v>9</v>
      </c>
      <c r="U3" s="53">
        <f ca="1">IF(R3&lt;Bewertung_Stammdaten!H$24,Bewertung_Stammdaten!G$24,IF(R3&lt;Bewertung_Stammdaten!H$25,Bewertung_Stammdaten!G$25,IF(R3&lt;Bewertung_Stammdaten!H$26,Bewertung_Stammdaten!G$26,IF(R3&lt;Bewertung_Stammdaten!H$27,Bewertung_Stammdaten!G$27,IF(R3&lt;Bewertung_Stammdaten!H$28,Bewertung_Stammdaten!G$28,IF(R3&lt;Bewertung_Stammdaten!H$29,Bewertung_Stammdaten!G$29,IF(R3&lt;Bewertung_Stammdaten!H$30,Bewertung_Stammdaten!G$30,IF(R3&lt;Bewertung_Stammdaten!H$31,Bewertung_Stammdaten!G$31,IF(R3&lt;Bewertung_Stammdaten!H$32,Bewertung_Stammdaten!G$32,Bewertung_Stammdaten!G$33)))))))))</f>
        <v>4</v>
      </c>
      <c r="V3" s="44"/>
      <c r="W3" s="14">
        <f ca="1">VLOOKUP(A3,Ergebnis_je_Aktie_verwässert!A3:AK68,23,FALSE)</f>
        <v>18.22722222222222</v>
      </c>
      <c r="X3" s="14">
        <f>VLOOKUP(A3,Ergebnis_je_Aktie_verwässert!A3:AK68,19,FALSE)</f>
        <v>15.51923076923077</v>
      </c>
      <c r="Y3" s="12">
        <f ca="1">VLOOKUP(A3,Ergebnis_je_Aktie_verwässert!A3:AK68,24,FALSE)</f>
        <v>0.17449263389783809</v>
      </c>
      <c r="Z3" s="41">
        <f>VLOOKUP(A3,Ergebnis_je_Aktie_verwässert!A3:AK68,37,FALSE)</f>
        <v>-0.125</v>
      </c>
      <c r="AA3" s="16">
        <f t="shared" ref="AA3:AA34" ca="1" si="4">IF(Z3&gt;0,W3,W3*(1+Z3))</f>
        <v>15.948819444444442</v>
      </c>
      <c r="AB3" s="12">
        <f t="shared" ref="AB3:AB34" ca="1" si="5">IF(X3&gt;0,(AA3/X3)-1,-99.99999)</f>
        <v>2.7681054660608329E-2</v>
      </c>
      <c r="AC3" s="33">
        <f ca="1">IF(Y3&lt;Bewertung_Stammdaten!L$11,Bewertung_Stammdaten!K$11,IF(Y3&lt;Bewertung_Stammdaten!L$12,Bewertung_Stammdaten!K$12,IF(Y3&lt;Bewertung_Stammdaten!L$13,Bewertung_Stammdaten!K$13,IF(Y3&lt;Bewertung_Stammdaten!L$14,Bewertung_Stammdaten!K$14,IF(Y3&lt;Bewertung_Stammdaten!L$15,Bewertung_Stammdaten!K$15,IF(Y3&lt;Bewertung_Stammdaten!L$16,Bewertung_Stammdaten!K$16,IF(Y3&lt;Bewertung_Stammdaten!L$17,Bewertung_Stammdaten!K$17,IF(Y3&lt;Bewertung_Stammdaten!L$18,Bewertung_Stammdaten!K$18,IF(Y3&lt;Bewertung_Stammdaten!L$19,Bewertung_Stammdaten!K$19,Bewertung_Stammdaten!K$20)))))))))</f>
        <v>8</v>
      </c>
      <c r="AD3" s="33">
        <f>IF(Z3&lt;Bewertung_Stammdaten!R$11,Bewertung_Stammdaten!Q$11,IF(Z3&lt;Bewertung_Stammdaten!R$12,Bewertung_Stammdaten!Q$12,IF(Z3&lt;Bewertung_Stammdaten!R$13,Bewertung_Stammdaten!Q$13,IF(Z3&lt;Bewertung_Stammdaten!R$14,Bewertung_Stammdaten!Q$14,IF(Z3&lt;Bewertung_Stammdaten!R$15,Bewertung_Stammdaten!Q$15,IF(Z3&lt;Bewertung_Stammdaten!R$16,Bewertung_Stammdaten!Q$16,IF(Z3&lt;Bewertung_Stammdaten!R$17,Bewertung_Stammdaten!Q$17,IF(Z3&lt;Bewertung_Stammdaten!R$18,Bewertung_Stammdaten!Q$18,IF(Z3&lt;Bewertung_Stammdaten!R$19,Bewertung_Stammdaten!Q$19,Bewertung_Stammdaten!Q$20)))))))))</f>
        <v>6</v>
      </c>
      <c r="AE3" s="33">
        <f ca="1">IF(AB3&lt;Bewertung_Stammdaten!P$11,Bewertung_Stammdaten!O$11,IF(AB3&lt;Bewertung_Stammdaten!P$12,Bewertung_Stammdaten!O$12,IF(AB3&lt;Bewertung_Stammdaten!P$13,Bewertung_Stammdaten!O$13,IF(AB3&lt;Bewertung_Stammdaten!P$14,Bewertung_Stammdaten!O$14,IF(AB3&lt;Bewertung_Stammdaten!P$15,Bewertung_Stammdaten!O$15,IF(AB3&lt;Bewertung_Stammdaten!P$16,Bewertung_Stammdaten!O$16,IF(AB3&lt;Bewertung_Stammdaten!P$17,Bewertung_Stammdaten!O$17,IF(AB3&lt;Bewertung_Stammdaten!P$18,Bewertung_Stammdaten!O$18,IF(AB3&lt;Bewertung_Stammdaten!P$19,Bewertung_Stammdaten!O$19,Bewertung_Stammdaten!O$20)))))))))</f>
        <v>4</v>
      </c>
      <c r="AF3" s="44"/>
      <c r="AG3" s="14">
        <f ca="1">VLOOKUP(A3,Dividende_je_Aktie!A3:AM68,24,FALSE)</f>
        <v>12.141944444444444</v>
      </c>
      <c r="AH3" s="14">
        <f>VLOOKUP(A3,Dividende_je_Aktie!A3:AM68,20,FALSE)</f>
        <v>7.5850000000000009</v>
      </c>
      <c r="AI3" s="12">
        <f ca="1">VLOOKUP(A3,Dividende_je_Aktie!A3:AM68,25,FALSE)</f>
        <v>0.60078371053980795</v>
      </c>
      <c r="AJ3" s="41">
        <f>VLOOKUP(A3,Dividende_je_Aktie!A3:AM68,39,FALSE)</f>
        <v>-1.1555555555555652E-2</v>
      </c>
      <c r="AK3" s="16">
        <f t="shared" ref="AK3:AK66" ca="1" si="6">IF(AJ3&gt;0,AG3,AG3*(1+AJ3))</f>
        <v>12.001637530864196</v>
      </c>
      <c r="AL3" s="12">
        <f t="shared" ref="AL3:AL66" ca="1" si="7">IF(AH3&gt;0,(AK3/AH3)-1,-99.99999)</f>
        <v>0.58228576544023669</v>
      </c>
      <c r="AM3" s="33">
        <f ca="1">IF(AI3&lt;Bewertung_Stammdaten!P$24,Bewertung_Stammdaten!O$24,IF(AI3&lt;Bewertung_Stammdaten!P$25,Bewertung_Stammdaten!O$25,IF(AI3&lt;Bewertung_Stammdaten!P$26,Bewertung_Stammdaten!O$26,IF(AI3&lt;Bewertung_Stammdaten!P$27,Bewertung_Stammdaten!O$27,IF(AI3&lt;Bewertung_Stammdaten!P$28,Bewertung_Stammdaten!O$28,IF(AI3&lt;Bewertung_Stammdaten!P$29,Bewertung_Stammdaten!O$29,IF(AI3&lt;Bewertung_Stammdaten!P$30,Bewertung_Stammdaten!O$30,IF(AI3&lt;Bewertung_Stammdaten!P$31,Bewertung_Stammdaten!O$31,IF(AI3&lt;Bewertung_Stammdaten!P$32,Bewertung_Stammdaten!O$32,Bewertung_Stammdaten!O$33)))))))))</f>
        <v>18</v>
      </c>
      <c r="AN3" s="33">
        <f>IF(AJ3&lt;Bewertung_Stammdaten!R$24,Bewertung_Stammdaten!Q$24,IF(AJ3&lt;Bewertung_Stammdaten!R$25,Bewertung_Stammdaten!Q$25,IF(AJ3&lt;Bewertung_Stammdaten!R$26,Bewertung_Stammdaten!Q$26,IF(AJ3&lt;Bewertung_Stammdaten!R$27,Bewertung_Stammdaten!Q$27,IF(AJ3&lt;Bewertung_Stammdaten!R$28,Bewertung_Stammdaten!Q$28,IF(AJ3&lt;Bewertung_Stammdaten!R$29,Bewertung_Stammdaten!Q$29,IF(AJ3&lt;Bewertung_Stammdaten!R$30,Bewertung_Stammdaten!Q$30,IF(AJ3&lt;Bewertung_Stammdaten!R$31,Bewertung_Stammdaten!Q$31,IF(AJ3&lt;Bewertung_Stammdaten!R$32,Bewertung_Stammdaten!Q$32,Bewertung_Stammdaten!Q$33)))))))))</f>
        <v>7</v>
      </c>
      <c r="AO3" s="33">
        <f ca="1">IF(AL3&lt;Bewertung_Stammdaten!T$24,Bewertung_Stammdaten!S$24,IF(AL3&lt;Bewertung_Stammdaten!T$25,Bewertung_Stammdaten!S$25,IF(AL3&lt;Bewertung_Stammdaten!T$26,Bewertung_Stammdaten!S$26,IF(AL3&lt;Bewertung_Stammdaten!T$27,Bewertung_Stammdaten!S$27,IF(AL3&lt;Bewertung_Stammdaten!T$28,Bewertung_Stammdaten!S$28,IF(AL3&lt;Bewertung_Stammdaten!T$29,Bewertung_Stammdaten!S$29,IF(AL3&lt;Bewertung_Stammdaten!T$30,Bewertung_Stammdaten!S$30,IF(AL3&lt;Bewertung_Stammdaten!T$31,Bewertung_Stammdaten!S$31,IF(AL3&lt;Bewertung_Stammdaten!T$32,Bewertung_Stammdaten!S$32,Bewertung_Stammdaten!S$33)))))))))</f>
        <v>10</v>
      </c>
      <c r="AP3" s="44"/>
      <c r="AQ3" s="12">
        <f ca="1">VLOOKUP(A3,Dividendenrendite!A3:R68,17,FALSE)</f>
        <v>3.6302875204592376E-2</v>
      </c>
      <c r="AR3" s="12">
        <f>VLOOKUP(A3,Dividendenrendite!A3:R68,16,FALSE)</f>
        <v>2.3060182762963507E-2</v>
      </c>
      <c r="AS3" s="12">
        <f ca="1">VLOOKUP(A3,Dividendenrendite!A3:R68,18,FALSE)</f>
        <v>0.57426658659868424</v>
      </c>
      <c r="AT3" s="33">
        <f ca="1">IF(AQ3&lt;Bewertung_Stammdaten!D$11,Bewertung_Stammdaten!C$11,IF(AQ3&lt;Bewertung_Stammdaten!D$12,Bewertung_Stammdaten!C$12,IF(AQ3&lt;Bewertung_Stammdaten!D$13,Bewertung_Stammdaten!C$13,IF(AQ3&lt;Bewertung_Stammdaten!D$14,Bewertung_Stammdaten!C$14,IF(AQ3&lt;Bewertung_Stammdaten!D$15,Bewertung_Stammdaten!C$15,IF(AQ3&lt;Bewertung_Stammdaten!D$16,Bewertung_Stammdaten!C$16,IF(AQ3&lt;Bewertung_Stammdaten!D$17,Bewertung_Stammdaten!C$17,IF(AQ3&lt;Bewertung_Stammdaten!D$18,Bewertung_Stammdaten!C$18,IF(AQ3&lt;Bewertung_Stammdaten!D$19,Bewertung_Stammdaten!C$19,Bewertung_Stammdaten!C$20)))))))))</f>
        <v>12</v>
      </c>
      <c r="AU3" s="33">
        <f>IF(AR3&lt;Bewertung_Stammdaten!T$11,Bewertung_Stammdaten!S$11,IF(AR3&lt;Bewertung_Stammdaten!T$12,Bewertung_Stammdaten!S$12,IF(AR3&lt;Bewertung_Stammdaten!T$13,Bewertung_Stammdaten!S$13,IF(AR3&lt;Bewertung_Stammdaten!T$14,Bewertung_Stammdaten!S$14,IF(AR3&lt;Bewertung_Stammdaten!T$15,Bewertung_Stammdaten!S$15,IF(AR3&lt;Bewertung_Stammdaten!T$16,Bewertung_Stammdaten!S$16,IF(AR3&lt;Bewertung_Stammdaten!T$17,Bewertung_Stammdaten!S$17,IF(AR3&lt;Bewertung_Stammdaten!T$18,Bewertung_Stammdaten!S$18,IF(AR3&lt;Bewertung_Stammdaten!T$19,Bewertung_Stammdaten!S$19,Bewertung_Stammdaten!S$20)))))))))</f>
        <v>5</v>
      </c>
      <c r="AV3" s="33">
        <f ca="1">IF(AS3&lt;Bewertung_Stammdaten!F$11,Bewertung_Stammdaten!E$11,IF(AS3&lt;Bewertung_Stammdaten!F$12,Bewertung_Stammdaten!E$12,IF(AS3&lt;Bewertung_Stammdaten!F$13,Bewertung_Stammdaten!E$13,IF(AS3&lt;Bewertung_Stammdaten!F$14,Bewertung_Stammdaten!E$14,IF(AS3&lt;Bewertung_Stammdaten!F$15,Bewertung_Stammdaten!E$15,IF(AS3&lt;Bewertung_Stammdaten!F$16,Bewertung_Stammdaten!E$16,IF(AS3&lt;Bewertung_Stammdaten!F$17,Bewertung_Stammdaten!E$17,IF(AS3&lt;Bewertung_Stammdaten!F$18,Bewertung_Stammdaten!E$18,IF(AS3&lt;Bewertung_Stammdaten!F$19,Bewertung_Stammdaten!E$19,Bewertung_Stammdaten!E$20)))))))))</f>
        <v>5</v>
      </c>
      <c r="AW3" s="44"/>
      <c r="AX3" s="12">
        <f>VLOOKUP(A3,Aktien_im_Umlauf_splitbereinigt!A3:Z68,26,FALSE)</f>
        <v>-9.8092643051772566E-4</v>
      </c>
      <c r="AY3" s="12">
        <f>VLOOKUP(A3,Aktien_im_Umlauf_splitbereinigt!A3:Y68,24,FALSE)</f>
        <v>-1.6325292695032061E-2</v>
      </c>
      <c r="AZ3" s="12">
        <f>VLOOKUP(A3,Aktien_im_Umlauf_splitbereinigt!A3:Y68,25,FALSE)</f>
        <v>-0.93991370024157483</v>
      </c>
      <c r="BA3" s="42">
        <f>IF(AX3&lt;Bewertung_Stammdaten!J$24,Bewertung_Stammdaten!I$24,IF(AX3&lt;Bewertung_Stammdaten!J$25,Bewertung_Stammdaten!I$25,IF(AX3&lt;Bewertung_Stammdaten!J$26,Bewertung_Stammdaten!I$26,IF(AX3&lt;Bewertung_Stammdaten!J$27,Bewertung_Stammdaten!I$27,IF(AX3&lt;Bewertung_Stammdaten!J$28,Bewertung_Stammdaten!I$28,IF(AX3&lt;Bewertung_Stammdaten!J$29,Bewertung_Stammdaten!I$29,IF(AX3&lt;Bewertung_Stammdaten!J$30,Bewertung_Stammdaten!I$30,IF(AX3&lt;Bewertung_Stammdaten!J$31,Bewertung_Stammdaten!I$31,IF(AX3&lt;Bewertung_Stammdaten!J$32,Bewertung_Stammdaten!I$32,Bewertung_Stammdaten!I$33)))))))))</f>
        <v>3</v>
      </c>
      <c r="BB3" s="42">
        <f>IF(AY3&lt;Bewertung_Stammdaten!L$24,Bewertung_Stammdaten!K$24,IF(AY3&lt;Bewertung_Stammdaten!L$25,Bewertung_Stammdaten!K$25,IF(AY3&lt;Bewertung_Stammdaten!L$26,Bewertung_Stammdaten!K$26,IF(AY3&lt;Bewertung_Stammdaten!L$27,Bewertung_Stammdaten!K$27,IF(AY3&lt;Bewertung_Stammdaten!L$28,Bewertung_Stammdaten!K$28,IF(AY3&lt;Bewertung_Stammdaten!L$29,Bewertung_Stammdaten!K$29,IF(AY3&lt;Bewertung_Stammdaten!L$30,Bewertung_Stammdaten!K$30,IF(AY3&lt;Bewertung_Stammdaten!L$31,Bewertung_Stammdaten!K$31,IF(AY3&lt;Bewertung_Stammdaten!L$32,Bewertung_Stammdaten!K$32,Bewertung_Stammdaten!K$33)))))))))</f>
        <v>6</v>
      </c>
      <c r="BC3" s="42">
        <f>IF(AZ3&lt;Bewertung_Stammdaten!N$24,Bewertung_Stammdaten!M$24,IF(AZ3&lt;Bewertung_Stammdaten!N$25,Bewertung_Stammdaten!M$25,IF(AZ3&lt;Bewertung_Stammdaten!N$26,Bewertung_Stammdaten!M$26,IF(AZ3&lt;Bewertung_Stammdaten!N$27,Bewertung_Stammdaten!M$27,IF(AZ3&lt;Bewertung_Stammdaten!N$28,Bewertung_Stammdaten!M$28,IF(AZ3&lt;Bewertung_Stammdaten!N$29,Bewertung_Stammdaten!M$29,IF(AZ3&lt;Bewertung_Stammdaten!N$30,Bewertung_Stammdaten!M$30,IF(AZ3&lt;Bewertung_Stammdaten!N$31,Bewertung_Stammdaten!M$31,IF(AZ3&lt;Bewertung_Stammdaten!N$32,Bewertung_Stammdaten!M$32,Bewertung_Stammdaten!M$33)))))))))</f>
        <v>1.5</v>
      </c>
      <c r="BD3" s="44"/>
      <c r="BE3" s="12">
        <f ca="1">VLOOKUP(A3,Ausschüttungsquote!A3:X68,23,FALSE)</f>
        <v>0.66735061645932492</v>
      </c>
      <c r="BF3" s="12">
        <f>VLOOKUP(A3,Ausschüttungsquote!A3:X68,19,FALSE)</f>
        <v>0.48416421009334776</v>
      </c>
      <c r="BG3" s="12">
        <f ca="1">VLOOKUP(A3,Ausschüttungsquote!A3:X68,24,FALSE)</f>
        <v>0.37835594318435573</v>
      </c>
      <c r="BH3" s="33">
        <f ca="1">IF(BE3&lt;Bewertung_Stammdaten!H$11,Bewertung_Stammdaten!G$11,IF(BE3&lt;Bewertung_Stammdaten!H$12,Bewertung_Stammdaten!G$12,IF(BE3&lt;Bewertung_Stammdaten!H$13,Bewertung_Stammdaten!G$13,IF(BE3&lt;Bewertung_Stammdaten!H$14,Bewertung_Stammdaten!G$14,IF(BE3&lt;Bewertung_Stammdaten!H$15,Bewertung_Stammdaten!G$15,IF(BE3&lt;Bewertung_Stammdaten!H$16,Bewertung_Stammdaten!G$16,IF(BE3&lt;Bewertung_Stammdaten!H$17,Bewertung_Stammdaten!G$17,IF(BE3&lt;Bewertung_Stammdaten!H$18,Bewertung_Stammdaten!G$18,IF(BE3&lt;Bewertung_Stammdaten!H$19,Bewertung_Stammdaten!G$19,Bewertung_Stammdaten!G$20)))))))))</f>
        <v>4</v>
      </c>
      <c r="BI3" s="42">
        <f>IF(BF3&lt;Bewertung_Stammdaten!B$24,Bewertung_Stammdaten!A$24,IF(BF3&lt;Bewertung_Stammdaten!B$25,Bewertung_Stammdaten!A$25,IF(BF3&lt;Bewertung_Stammdaten!B$26,Bewertung_Stammdaten!A$26,IF(BF3&lt;Bewertung_Stammdaten!B$27,Bewertung_Stammdaten!A$27,IF(BF3&lt;Bewertung_Stammdaten!B$28,Bewertung_Stammdaten!A$28,IF(BF3&lt;Bewertung_Stammdaten!B$29,Bewertung_Stammdaten!A$29,IF(BF3&lt;Bewertung_Stammdaten!B$30,Bewertung_Stammdaten!A$30,IF(BF3&lt;Bewertung_Stammdaten!B$31,Bewertung_Stammdaten!A$31,IF(BF3&lt;Bewertung_Stammdaten!B$32,Bewertung_Stammdaten!A$32,Bewertung_Stammdaten!A$33)))))))))</f>
        <v>8</v>
      </c>
      <c r="BJ3" s="33">
        <f ca="1">IF(BG3&lt;Bewertung_Stammdaten!J$11,Bewertung_Stammdaten!I$11,IF(BG3&lt;Bewertung_Stammdaten!J$12,Bewertung_Stammdaten!I$12,IF(BG3&lt;Bewertung_Stammdaten!J$13,Bewertung_Stammdaten!I$13,IF(BG3&lt;Bewertung_Stammdaten!J$14,Bewertung_Stammdaten!I$14,IF(BG3&lt;Bewertung_Stammdaten!J$15,Bewertung_Stammdaten!I$15,IF(BG3&lt;Bewertung_Stammdaten!J$16,Bewertung_Stammdaten!I$16,IF(BG3&lt;Bewertung_Stammdaten!J$17,Bewertung_Stammdaten!I$17,IF(BG3&lt;Bewertung_Stammdaten!J$18,Bewertung_Stammdaten!I$18,IF(BG3&lt;Bewertung_Stammdaten!J$19,Bewertung_Stammdaten!I$19,Bewertung_Stammdaten!I$20)))))))))</f>
        <v>1</v>
      </c>
    </row>
    <row r="4" spans="1:62" x14ac:dyDescent="0.25">
      <c r="A4" s="39" t="s">
        <v>2</v>
      </c>
      <c r="B4" s="39" t="s">
        <v>3</v>
      </c>
      <c r="C4" s="33">
        <f t="shared" ref="C4:C67" ca="1" si="8">SUM(J4:K4,S4:U4,AC4:AE4,AT4:AV4,BA4:BC4,BH4:BJ4,AM4:AO4)</f>
        <v>122</v>
      </c>
      <c r="D4" s="44"/>
      <c r="E4" s="11">
        <f ca="1">VLOOKUP(A4,KGV!A3:R68,17,FALSE)</f>
        <v>21.191532394400532</v>
      </c>
      <c r="F4" s="11">
        <f>VLOOKUP(A4,KGV!A3:R68,16,FALSE)</f>
        <v>17.285213815789472</v>
      </c>
      <c r="G4" s="12">
        <f ca="1">VLOOKUP(A4,KGV!A3:R68,18,FALSE)</f>
        <v>0.22599191541632924</v>
      </c>
      <c r="H4" s="16">
        <f t="shared" ca="1" si="0"/>
        <v>23.882520634959327</v>
      </c>
      <c r="I4" s="12">
        <f t="shared" ca="1" si="1"/>
        <v>0.38167342848506935</v>
      </c>
      <c r="J4" s="33">
        <f ca="1">IF(G4&lt;Bewertung_Stammdaten!B$11,Bewertung_Stammdaten!A$11,IF(G4&lt;Bewertung_Stammdaten!B$12,Bewertung_Stammdaten!A$12,IF(G4&lt;Bewertung_Stammdaten!B$13,Bewertung_Stammdaten!A$13,IF(G4&lt;Bewertung_Stammdaten!B$14,Bewertung_Stammdaten!A$14,IF(G4&lt;Bewertung_Stammdaten!B$15,Bewertung_Stammdaten!A$15,IF(G4&lt;Bewertung_Stammdaten!B$16,Bewertung_Stammdaten!A$16,IF(G4&lt;Bewertung_Stammdaten!B$17,Bewertung_Stammdaten!A$17,IF(G4&lt;Bewertung_Stammdaten!B$18,Bewertung_Stammdaten!A$18,IF(G4&lt;Bewertung_Stammdaten!B$19,Bewertung_Stammdaten!A$19,Bewertung_Stammdaten!A$20)))))))))</f>
        <v>6</v>
      </c>
      <c r="K4" s="33">
        <f ca="1">IF(I4&lt;Bewertung_Stammdaten!N$11,Bewertung_Stammdaten!M$11,IF(I4&lt;Bewertung_Stammdaten!N$12,Bewertung_Stammdaten!M$12,IF(I4&lt;Bewertung_Stammdaten!N$13,Bewertung_Stammdaten!M$13,IF(I4&lt;Bewertung_Stammdaten!N$14,Bewertung_Stammdaten!M$14,IF(I4&lt;Bewertung_Stammdaten!N$15,Bewertung_Stammdaten!M$15,IF(I4&lt;Bewertung_Stammdaten!N$16,Bewertung_Stammdaten!M$16,IF(I4&lt;Bewertung_Stammdaten!N$17,Bewertung_Stammdaten!M$17,IF(I4&lt;Bewertung_Stammdaten!N$18,Bewertung_Stammdaten!M$18,IF(I4&lt;Bewertung_Stammdaten!N$19,Bewertung_Stammdaten!M$19,Bewertung_Stammdaten!M$20)))))))))</f>
        <v>3</v>
      </c>
      <c r="L4" s="44"/>
      <c r="M4" s="11">
        <f ca="1">VLOOKUP(A4,Buchwert_je_Aktie!A3:AK68,23,FALSE)</f>
        <v>31.062222222222221</v>
      </c>
      <c r="N4" s="11">
        <f>VLOOKUP(A4,Buchwert_je_Aktie!A3:AK68,19,FALSE)</f>
        <v>24.110000000000007</v>
      </c>
      <c r="O4" s="12">
        <f ca="1">VLOOKUP(A4,Buchwert_je_Aktie!A3:AK68,24,FALSE)</f>
        <v>0.28835430204156842</v>
      </c>
      <c r="P4" s="12">
        <f>VLOOKUP(A4,Buchwert_je_Aktie!A3:AK68,37,FALSE)</f>
        <v>-3.7206266318537851E-2</v>
      </c>
      <c r="Q4" s="16">
        <f t="shared" ca="1" si="2"/>
        <v>29.906512909776616</v>
      </c>
      <c r="R4" s="12">
        <f t="shared" ca="1" si="3"/>
        <v>0.2404194487671758</v>
      </c>
      <c r="S4" s="53">
        <f ca="1">IF(O4&lt;Bewertung_Stammdaten!D$24,Bewertung_Stammdaten!C$24,IF(O4&lt;Bewertung_Stammdaten!D$25,Bewertung_Stammdaten!C$25,IF(O4&lt;Bewertung_Stammdaten!D$26,Bewertung_Stammdaten!C$26,IF(O4&lt;Bewertung_Stammdaten!D$27,Bewertung_Stammdaten!C$27,IF(O4&lt;Bewertung_Stammdaten!D$28,Bewertung_Stammdaten!C$28,IF(O4&lt;Bewertung_Stammdaten!D$29,Bewertung_Stammdaten!C$29,IF(O4&lt;Bewertung_Stammdaten!D$30,Bewertung_Stammdaten!C$30,IF(O4&lt;Bewertung_Stammdaten!D$31,Bewertung_Stammdaten!C$31,IF(O4&lt;Bewertung_Stammdaten!D$32,Bewertung_Stammdaten!C$32,Bewertung_Stammdaten!C$33)))))))))</f>
        <v>7.5</v>
      </c>
      <c r="T4" s="53">
        <f>IF(P4&lt;Bewertung_Stammdaten!F$24,Bewertung_Stammdaten!E$24,IF(P4&lt;Bewertung_Stammdaten!F$25,Bewertung_Stammdaten!E$25,IF(P4&lt;Bewertung_Stammdaten!F$26,Bewertung_Stammdaten!E$26,IF(P4&lt;Bewertung_Stammdaten!F$27,Bewertung_Stammdaten!E$27,IF(P4&lt;Bewertung_Stammdaten!F$28,Bewertung_Stammdaten!E$28,IF(P4&lt;Bewertung_Stammdaten!F$29,Bewertung_Stammdaten!E$29,IF(P4&lt;Bewertung_Stammdaten!F$30,Bewertung_Stammdaten!E$30,IF(P4&lt;Bewertung_Stammdaten!F$31,Bewertung_Stammdaten!E$31,IF(P4&lt;Bewertung_Stammdaten!F$32,Bewertung_Stammdaten!E$32,Bewertung_Stammdaten!E$33)))))))))</f>
        <v>10.5</v>
      </c>
      <c r="U4" s="53">
        <f ca="1">IF(R4&lt;Bewertung_Stammdaten!H$24,Bewertung_Stammdaten!G$24,IF(R4&lt;Bewertung_Stammdaten!H$25,Bewertung_Stammdaten!G$25,IF(R4&lt;Bewertung_Stammdaten!H$26,Bewertung_Stammdaten!G$26,IF(R4&lt;Bewertung_Stammdaten!H$27,Bewertung_Stammdaten!G$27,IF(R4&lt;Bewertung_Stammdaten!H$28,Bewertung_Stammdaten!G$28,IF(R4&lt;Bewertung_Stammdaten!H$29,Bewertung_Stammdaten!G$29,IF(R4&lt;Bewertung_Stammdaten!H$30,Bewertung_Stammdaten!G$30,IF(R4&lt;Bewertung_Stammdaten!H$31,Bewertung_Stammdaten!G$31,IF(R4&lt;Bewertung_Stammdaten!H$32,Bewertung_Stammdaten!G$32,Bewertung_Stammdaten!G$33)))))))))</f>
        <v>5</v>
      </c>
      <c r="V4" s="44"/>
      <c r="W4" s="14">
        <f ca="1">VLOOKUP(A4,Ergebnis_je_Aktie_verwässert!A3:AK68,23,FALSE)</f>
        <v>4.5579722222222223</v>
      </c>
      <c r="X4" s="14">
        <f>VLOOKUP(A4,Ergebnis_je_Aktie_verwässert!A3:AK68,19,FALSE)</f>
        <v>3.8499999999999996</v>
      </c>
      <c r="Y4" s="12">
        <f ca="1">VLOOKUP(A4,Ergebnis_je_Aktie_verwässert!A3:AK68,24,FALSE)</f>
        <v>0.18388888888888899</v>
      </c>
      <c r="Z4" s="41">
        <f>VLOOKUP(A4,Ergebnis_je_Aktie_verwässert!A3:AK68,37,FALSE)</f>
        <v>-0.11267605633802813</v>
      </c>
      <c r="AA4" s="16">
        <f t="shared" ca="1" si="4"/>
        <v>4.0443978873239441</v>
      </c>
      <c r="AB4" s="12">
        <f t="shared" ca="1" si="5"/>
        <v>5.0492957746478995E-2</v>
      </c>
      <c r="AC4" s="33">
        <f ca="1">IF(Y4&lt;Bewertung_Stammdaten!L$11,Bewertung_Stammdaten!K$11,IF(Y4&lt;Bewertung_Stammdaten!L$12,Bewertung_Stammdaten!K$12,IF(Y4&lt;Bewertung_Stammdaten!L$13,Bewertung_Stammdaten!K$13,IF(Y4&lt;Bewertung_Stammdaten!L$14,Bewertung_Stammdaten!K$14,IF(Y4&lt;Bewertung_Stammdaten!L$15,Bewertung_Stammdaten!K$15,IF(Y4&lt;Bewertung_Stammdaten!L$16,Bewertung_Stammdaten!K$16,IF(Y4&lt;Bewertung_Stammdaten!L$17,Bewertung_Stammdaten!K$17,IF(Y4&lt;Bewertung_Stammdaten!L$18,Bewertung_Stammdaten!K$18,IF(Y4&lt;Bewertung_Stammdaten!L$19,Bewertung_Stammdaten!K$19,Bewertung_Stammdaten!K$20)))))))))</f>
        <v>8</v>
      </c>
      <c r="AD4" s="33">
        <f>IF(Z4&lt;Bewertung_Stammdaten!R$11,Bewertung_Stammdaten!Q$11,IF(Z4&lt;Bewertung_Stammdaten!R$12,Bewertung_Stammdaten!Q$12,IF(Z4&lt;Bewertung_Stammdaten!R$13,Bewertung_Stammdaten!Q$13,IF(Z4&lt;Bewertung_Stammdaten!R$14,Bewertung_Stammdaten!Q$14,IF(Z4&lt;Bewertung_Stammdaten!R$15,Bewertung_Stammdaten!Q$15,IF(Z4&lt;Bewertung_Stammdaten!R$16,Bewertung_Stammdaten!Q$16,IF(Z4&lt;Bewertung_Stammdaten!R$17,Bewertung_Stammdaten!Q$17,IF(Z4&lt;Bewertung_Stammdaten!R$18,Bewertung_Stammdaten!Q$18,IF(Z4&lt;Bewertung_Stammdaten!R$19,Bewertung_Stammdaten!Q$19,Bewertung_Stammdaten!Q$20)))))))))</f>
        <v>6</v>
      </c>
      <c r="AE4" s="33">
        <f ca="1">IF(AB4&lt;Bewertung_Stammdaten!P$11,Bewertung_Stammdaten!O$11,IF(AB4&lt;Bewertung_Stammdaten!P$12,Bewertung_Stammdaten!O$12,IF(AB4&lt;Bewertung_Stammdaten!P$13,Bewertung_Stammdaten!O$13,IF(AB4&lt;Bewertung_Stammdaten!P$14,Bewertung_Stammdaten!O$14,IF(AB4&lt;Bewertung_Stammdaten!P$15,Bewertung_Stammdaten!O$15,IF(AB4&lt;Bewertung_Stammdaten!P$16,Bewertung_Stammdaten!O$16,IF(AB4&lt;Bewertung_Stammdaten!P$17,Bewertung_Stammdaten!O$17,IF(AB4&lt;Bewertung_Stammdaten!P$18,Bewertung_Stammdaten!O$18,IF(AB4&lt;Bewertung_Stammdaten!P$19,Bewertung_Stammdaten!O$19,Bewertung_Stammdaten!O$20)))))))))</f>
        <v>5</v>
      </c>
      <c r="AF4" s="44"/>
      <c r="AG4" s="14">
        <f ca="1">VLOOKUP(A4,Dividende_je_Aktie!A3:AM68,24,FALSE)</f>
        <v>2.8585277777777778</v>
      </c>
      <c r="AH4" s="14">
        <f>VLOOKUP(A4,Dividende_je_Aktie!A3:AM68,20,FALSE)</f>
        <v>2.1514285714285717</v>
      </c>
      <c r="AI4" s="12">
        <f ca="1">VLOOKUP(A4,Dividende_je_Aktie!A3:AM68,25,FALSE)</f>
        <v>0.32866496975062698</v>
      </c>
      <c r="AJ4" s="41">
        <f>VLOOKUP(A4,Dividende_je_Aktie!A3:AM68,39,FALSE)</f>
        <v>-5.0541516245487417E-2</v>
      </c>
      <c r="AK4" s="16">
        <f t="shared" ca="1" si="6"/>
        <v>2.7140534496590454</v>
      </c>
      <c r="AL4" s="12">
        <f t="shared" ca="1" si="7"/>
        <v>0.26151222759716575</v>
      </c>
      <c r="AM4" s="33">
        <f ca="1">IF(AI4&lt;Bewertung_Stammdaten!P$24,Bewertung_Stammdaten!O$24,IF(AI4&lt;Bewertung_Stammdaten!P$25,Bewertung_Stammdaten!O$25,IF(AI4&lt;Bewertung_Stammdaten!P$26,Bewertung_Stammdaten!O$26,IF(AI4&lt;Bewertung_Stammdaten!P$27,Bewertung_Stammdaten!O$27,IF(AI4&lt;Bewertung_Stammdaten!P$28,Bewertung_Stammdaten!O$28,IF(AI4&lt;Bewertung_Stammdaten!P$29,Bewertung_Stammdaten!O$29,IF(AI4&lt;Bewertung_Stammdaten!P$30,Bewertung_Stammdaten!O$30,IF(AI4&lt;Bewertung_Stammdaten!P$31,Bewertung_Stammdaten!O$31,IF(AI4&lt;Bewertung_Stammdaten!P$32,Bewertung_Stammdaten!O$32,Bewertung_Stammdaten!O$33)))))))))</f>
        <v>12</v>
      </c>
      <c r="AN4" s="33">
        <f>IF(AJ4&lt;Bewertung_Stammdaten!R$24,Bewertung_Stammdaten!Q$24,IF(AJ4&lt;Bewertung_Stammdaten!R$25,Bewertung_Stammdaten!Q$25,IF(AJ4&lt;Bewertung_Stammdaten!R$26,Bewertung_Stammdaten!Q$26,IF(AJ4&lt;Bewertung_Stammdaten!R$27,Bewertung_Stammdaten!Q$27,IF(AJ4&lt;Bewertung_Stammdaten!R$28,Bewertung_Stammdaten!Q$28,IF(AJ4&lt;Bewertung_Stammdaten!R$29,Bewertung_Stammdaten!Q$29,IF(AJ4&lt;Bewertung_Stammdaten!R$30,Bewertung_Stammdaten!Q$30,IF(AJ4&lt;Bewertung_Stammdaten!R$31,Bewertung_Stammdaten!Q$31,IF(AJ4&lt;Bewertung_Stammdaten!R$32,Bewertung_Stammdaten!Q$32,Bewertung_Stammdaten!Q$33)))))))))</f>
        <v>7</v>
      </c>
      <c r="AO4" s="33">
        <f ca="1">IF(AL4&lt;Bewertung_Stammdaten!T$24,Bewertung_Stammdaten!S$24,IF(AL4&lt;Bewertung_Stammdaten!T$25,Bewertung_Stammdaten!S$25,IF(AL4&lt;Bewertung_Stammdaten!T$26,Bewertung_Stammdaten!S$26,IF(AL4&lt;Bewertung_Stammdaten!T$27,Bewertung_Stammdaten!S$27,IF(AL4&lt;Bewertung_Stammdaten!T$28,Bewertung_Stammdaten!S$28,IF(AL4&lt;Bewertung_Stammdaten!T$29,Bewertung_Stammdaten!S$29,IF(AL4&lt;Bewertung_Stammdaten!T$30,Bewertung_Stammdaten!S$30,IF(AL4&lt;Bewertung_Stammdaten!T$31,Bewertung_Stammdaten!S$31,IF(AL4&lt;Bewertung_Stammdaten!T$32,Bewertung_Stammdaten!S$32,Bewertung_Stammdaten!S$33)))))))))</f>
        <v>7</v>
      </c>
      <c r="AP4" s="44"/>
      <c r="AQ4" s="12">
        <f ca="1">VLOOKUP(A4,Dividendenrendite!A3:R68,17,FALSE)</f>
        <v>2.9594321011908446E-2</v>
      </c>
      <c r="AR4" s="12">
        <f>VLOOKUP(A4,Dividendenrendite!A3:R68,16,FALSE)</f>
        <v>3.0804187808670856E-2</v>
      </c>
      <c r="AS4" s="12">
        <f ca="1">VLOOKUP(A4,Dividendenrendite!A3:R68,18,FALSE)</f>
        <v>-3.9276049226717569E-2</v>
      </c>
      <c r="AT4" s="33">
        <f ca="1">IF(AQ4&lt;Bewertung_Stammdaten!D$11,Bewertung_Stammdaten!C$11,IF(AQ4&lt;Bewertung_Stammdaten!D$12,Bewertung_Stammdaten!C$12,IF(AQ4&lt;Bewertung_Stammdaten!D$13,Bewertung_Stammdaten!C$13,IF(AQ4&lt;Bewertung_Stammdaten!D$14,Bewertung_Stammdaten!C$14,IF(AQ4&lt;Bewertung_Stammdaten!D$15,Bewertung_Stammdaten!C$15,IF(AQ4&lt;Bewertung_Stammdaten!D$16,Bewertung_Stammdaten!C$16,IF(AQ4&lt;Bewertung_Stammdaten!D$17,Bewertung_Stammdaten!C$17,IF(AQ4&lt;Bewertung_Stammdaten!D$18,Bewertung_Stammdaten!C$18,IF(AQ4&lt;Bewertung_Stammdaten!D$19,Bewertung_Stammdaten!C$19,Bewertung_Stammdaten!C$20)))))))))</f>
        <v>9</v>
      </c>
      <c r="AU4" s="33">
        <f>IF(AR4&lt;Bewertung_Stammdaten!T$11,Bewertung_Stammdaten!S$11,IF(AR4&lt;Bewertung_Stammdaten!T$12,Bewertung_Stammdaten!S$12,IF(AR4&lt;Bewertung_Stammdaten!T$13,Bewertung_Stammdaten!S$13,IF(AR4&lt;Bewertung_Stammdaten!T$14,Bewertung_Stammdaten!S$14,IF(AR4&lt;Bewertung_Stammdaten!T$15,Bewertung_Stammdaten!S$15,IF(AR4&lt;Bewertung_Stammdaten!T$16,Bewertung_Stammdaten!S$16,IF(AR4&lt;Bewertung_Stammdaten!T$17,Bewertung_Stammdaten!S$17,IF(AR4&lt;Bewertung_Stammdaten!T$18,Bewertung_Stammdaten!S$18,IF(AR4&lt;Bewertung_Stammdaten!T$19,Bewertung_Stammdaten!S$19,Bewertung_Stammdaten!S$20)))))))))</f>
        <v>7</v>
      </c>
      <c r="AV4" s="33">
        <f ca="1">IF(AS4&lt;Bewertung_Stammdaten!F$11,Bewertung_Stammdaten!E$11,IF(AS4&lt;Bewertung_Stammdaten!F$12,Bewertung_Stammdaten!E$12,IF(AS4&lt;Bewertung_Stammdaten!F$13,Bewertung_Stammdaten!E$13,IF(AS4&lt;Bewertung_Stammdaten!F$14,Bewertung_Stammdaten!E$14,IF(AS4&lt;Bewertung_Stammdaten!F$15,Bewertung_Stammdaten!E$15,IF(AS4&lt;Bewertung_Stammdaten!F$16,Bewertung_Stammdaten!E$16,IF(AS4&lt;Bewertung_Stammdaten!F$17,Bewertung_Stammdaten!E$17,IF(AS4&lt;Bewertung_Stammdaten!F$18,Bewertung_Stammdaten!E$18,IF(AS4&lt;Bewertung_Stammdaten!F$19,Bewertung_Stammdaten!E$19,Bewertung_Stammdaten!E$20)))))))))</f>
        <v>2.5</v>
      </c>
      <c r="AW4" s="44"/>
      <c r="AX4" s="12">
        <f>VLOOKUP(A4,Aktien_im_Umlauf_splitbereinigt!A3:Z68,26,FALSE)</f>
        <v>-1.1129431162407277E-2</v>
      </c>
      <c r="AY4" s="12">
        <f>VLOOKUP(A4,Aktien_im_Umlauf_splitbereinigt!A3:Y68,24,FALSE)</f>
        <v>-1.3921880683816217E-2</v>
      </c>
      <c r="AZ4" s="12">
        <f>VLOOKUP(A4,Aktien_im_Umlauf_splitbereinigt!A3:Y68,25,FALSE)</f>
        <v>-0.20057990617999488</v>
      </c>
      <c r="BA4" s="42">
        <f>IF(AX4&lt;Bewertung_Stammdaten!J$24,Bewertung_Stammdaten!I$24,IF(AX4&lt;Bewertung_Stammdaten!J$25,Bewertung_Stammdaten!I$25,IF(AX4&lt;Bewertung_Stammdaten!J$26,Bewertung_Stammdaten!I$26,IF(AX4&lt;Bewertung_Stammdaten!J$27,Bewertung_Stammdaten!I$27,IF(AX4&lt;Bewertung_Stammdaten!J$28,Bewertung_Stammdaten!I$28,IF(AX4&lt;Bewertung_Stammdaten!J$29,Bewertung_Stammdaten!I$29,IF(AX4&lt;Bewertung_Stammdaten!J$30,Bewertung_Stammdaten!I$30,IF(AX4&lt;Bewertung_Stammdaten!J$31,Bewertung_Stammdaten!I$31,IF(AX4&lt;Bewertung_Stammdaten!J$32,Bewertung_Stammdaten!I$32,Bewertung_Stammdaten!I$33)))))))))</f>
        <v>5</v>
      </c>
      <c r="BB4" s="42">
        <f>IF(AY4&lt;Bewertung_Stammdaten!L$24,Bewertung_Stammdaten!K$24,IF(AY4&lt;Bewertung_Stammdaten!L$25,Bewertung_Stammdaten!K$25,IF(AY4&lt;Bewertung_Stammdaten!L$26,Bewertung_Stammdaten!K$26,IF(AY4&lt;Bewertung_Stammdaten!L$27,Bewertung_Stammdaten!K$27,IF(AY4&lt;Bewertung_Stammdaten!L$28,Bewertung_Stammdaten!K$28,IF(AY4&lt;Bewertung_Stammdaten!L$29,Bewertung_Stammdaten!K$29,IF(AY4&lt;Bewertung_Stammdaten!L$30,Bewertung_Stammdaten!K$30,IF(AY4&lt;Bewertung_Stammdaten!L$31,Bewertung_Stammdaten!K$31,IF(AY4&lt;Bewertung_Stammdaten!L$32,Bewertung_Stammdaten!K$32,Bewertung_Stammdaten!K$33)))))))))</f>
        <v>5</v>
      </c>
      <c r="BC4" s="42">
        <f>IF(AZ4&lt;Bewertung_Stammdaten!N$24,Bewertung_Stammdaten!M$24,IF(AZ4&lt;Bewertung_Stammdaten!N$25,Bewertung_Stammdaten!M$25,IF(AZ4&lt;Bewertung_Stammdaten!N$26,Bewertung_Stammdaten!M$26,IF(AZ4&lt;Bewertung_Stammdaten!N$27,Bewertung_Stammdaten!M$27,IF(AZ4&lt;Bewertung_Stammdaten!N$28,Bewertung_Stammdaten!M$28,IF(AZ4&lt;Bewertung_Stammdaten!N$29,Bewertung_Stammdaten!M$29,IF(AZ4&lt;Bewertung_Stammdaten!N$30,Bewertung_Stammdaten!M$30,IF(AZ4&lt;Bewertung_Stammdaten!N$31,Bewertung_Stammdaten!M$31,IF(AZ4&lt;Bewertung_Stammdaten!N$32,Bewertung_Stammdaten!M$32,Bewertung_Stammdaten!M$33)))))))))</f>
        <v>2.5</v>
      </c>
      <c r="BD4" s="44"/>
      <c r="BE4" s="12">
        <f ca="1">VLOOKUP(A4,Ausschüttungsquote!A3:X68,23,FALSE)</f>
        <v>0.62716430499325238</v>
      </c>
      <c r="BF4" s="12">
        <f>VLOOKUP(A4,Ausschüttungsquote!A3:X68,19,FALSE)</f>
        <v>0.56884229192564117</v>
      </c>
      <c r="BG4" s="12">
        <f ca="1">VLOOKUP(A4,Ausschüttungsquote!A3:X68,24,FALSE)</f>
        <v>0.10252756149719433</v>
      </c>
      <c r="BH4" s="33">
        <f ca="1">IF(BE4&lt;Bewertung_Stammdaten!H$11,Bewertung_Stammdaten!G$11,IF(BE4&lt;Bewertung_Stammdaten!H$12,Bewertung_Stammdaten!G$12,IF(BE4&lt;Bewertung_Stammdaten!H$13,Bewertung_Stammdaten!G$13,IF(BE4&lt;Bewertung_Stammdaten!H$14,Bewertung_Stammdaten!G$14,IF(BE4&lt;Bewertung_Stammdaten!H$15,Bewertung_Stammdaten!G$15,IF(BE4&lt;Bewertung_Stammdaten!H$16,Bewertung_Stammdaten!G$16,IF(BE4&lt;Bewertung_Stammdaten!H$17,Bewertung_Stammdaten!G$17,IF(BE4&lt;Bewertung_Stammdaten!H$18,Bewertung_Stammdaten!G$18,IF(BE4&lt;Bewertung_Stammdaten!H$19,Bewertung_Stammdaten!G$19,Bewertung_Stammdaten!G$20)))))))))</f>
        <v>5</v>
      </c>
      <c r="BI4" s="42">
        <f>IF(BF4&lt;Bewertung_Stammdaten!B$24,Bewertung_Stammdaten!A$24,IF(BF4&lt;Bewertung_Stammdaten!B$25,Bewertung_Stammdaten!A$25,IF(BF4&lt;Bewertung_Stammdaten!B$26,Bewertung_Stammdaten!A$26,IF(BF4&lt;Bewertung_Stammdaten!B$27,Bewertung_Stammdaten!A$27,IF(BF4&lt;Bewertung_Stammdaten!B$28,Bewertung_Stammdaten!A$28,IF(BF4&lt;Bewertung_Stammdaten!B$29,Bewertung_Stammdaten!A$29,IF(BF4&lt;Bewertung_Stammdaten!B$30,Bewertung_Stammdaten!A$30,IF(BF4&lt;Bewertung_Stammdaten!B$31,Bewertung_Stammdaten!A$31,IF(BF4&lt;Bewertung_Stammdaten!B$32,Bewertung_Stammdaten!A$32,Bewertung_Stammdaten!A$33)))))))))</f>
        <v>6</v>
      </c>
      <c r="BJ4" s="33">
        <f ca="1">IF(BG4&lt;Bewertung_Stammdaten!J$11,Bewertung_Stammdaten!I$11,IF(BG4&lt;Bewertung_Stammdaten!J$12,Bewertung_Stammdaten!I$12,IF(BG4&lt;Bewertung_Stammdaten!J$13,Bewertung_Stammdaten!I$13,IF(BG4&lt;Bewertung_Stammdaten!J$14,Bewertung_Stammdaten!I$14,IF(BG4&lt;Bewertung_Stammdaten!J$15,Bewertung_Stammdaten!I$15,IF(BG4&lt;Bewertung_Stammdaten!J$16,Bewertung_Stammdaten!I$16,IF(BG4&lt;Bewertung_Stammdaten!J$17,Bewertung_Stammdaten!I$17,IF(BG4&lt;Bewertung_Stammdaten!J$18,Bewertung_Stammdaten!I$18,IF(BG4&lt;Bewertung_Stammdaten!J$19,Bewertung_Stammdaten!I$19,Bewertung_Stammdaten!I$20)))))))))</f>
        <v>3</v>
      </c>
    </row>
    <row r="5" spans="1:62" x14ac:dyDescent="0.25">
      <c r="A5" s="39" t="s">
        <v>4</v>
      </c>
      <c r="B5" s="39" t="s">
        <v>5</v>
      </c>
      <c r="C5" s="33">
        <f t="shared" ca="1" si="8"/>
        <v>134</v>
      </c>
      <c r="D5" s="44"/>
      <c r="E5" s="11">
        <f ca="1">VLOOKUP(A5,KGV!A3:R68,17,FALSE)</f>
        <v>19.807644266799905</v>
      </c>
      <c r="F5" s="11">
        <f>VLOOKUP(A5,KGV!A3:R68,16,FALSE)</f>
        <v>18.482517482517483</v>
      </c>
      <c r="G5" s="12">
        <f ca="1">VLOOKUP(A5,KGV!A3:R68,18,FALSE)</f>
        <v>7.1696227829128434E-2</v>
      </c>
      <c r="H5" s="16">
        <f t="shared" ca="1" si="0"/>
        <v>23.692214650298126</v>
      </c>
      <c r="I5" s="12">
        <f t="shared" ca="1" si="1"/>
        <v>0.2818716212609278</v>
      </c>
      <c r="J5" s="33">
        <f ca="1">IF(G5&lt;Bewertung_Stammdaten!B$11,Bewertung_Stammdaten!A$11,IF(G5&lt;Bewertung_Stammdaten!B$12,Bewertung_Stammdaten!A$12,IF(G5&lt;Bewertung_Stammdaten!B$13,Bewertung_Stammdaten!A$13,IF(G5&lt;Bewertung_Stammdaten!B$14,Bewertung_Stammdaten!A$14,IF(G5&lt;Bewertung_Stammdaten!B$15,Bewertung_Stammdaten!A$15,IF(G5&lt;Bewertung_Stammdaten!B$16,Bewertung_Stammdaten!A$16,IF(G5&lt;Bewertung_Stammdaten!B$17,Bewertung_Stammdaten!A$17,IF(G5&lt;Bewertung_Stammdaten!B$18,Bewertung_Stammdaten!A$18,IF(G5&lt;Bewertung_Stammdaten!B$19,Bewertung_Stammdaten!A$19,Bewertung_Stammdaten!A$20)))))))))</f>
        <v>15</v>
      </c>
      <c r="K5" s="33">
        <f ca="1">IF(I5&lt;Bewertung_Stammdaten!N$11,Bewertung_Stammdaten!M$11,IF(I5&lt;Bewertung_Stammdaten!N$12,Bewertung_Stammdaten!M$12,IF(I5&lt;Bewertung_Stammdaten!N$13,Bewertung_Stammdaten!M$13,IF(I5&lt;Bewertung_Stammdaten!N$14,Bewertung_Stammdaten!M$14,IF(I5&lt;Bewertung_Stammdaten!N$15,Bewertung_Stammdaten!M$15,IF(I5&lt;Bewertung_Stammdaten!N$16,Bewertung_Stammdaten!M$16,IF(I5&lt;Bewertung_Stammdaten!N$17,Bewertung_Stammdaten!M$17,IF(I5&lt;Bewertung_Stammdaten!N$18,Bewertung_Stammdaten!M$18,IF(I5&lt;Bewertung_Stammdaten!N$19,Bewertung_Stammdaten!M$19,Bewertung_Stammdaten!M$20)))))))))</f>
        <v>6</v>
      </c>
      <c r="L5" s="44"/>
      <c r="M5" s="11">
        <f ca="1">VLOOKUP(A5,Buchwert_je_Aktie!A3:AK68,23,FALSE)</f>
        <v>29.013888888888889</v>
      </c>
      <c r="N5" s="11">
        <f>VLOOKUP(A5,Buchwert_je_Aktie!A3:AK68,19,FALSE)</f>
        <v>21.512222222222224</v>
      </c>
      <c r="O5" s="12">
        <f ca="1">VLOOKUP(A5,Buchwert_je_Aktie!A3:AK68,24,FALSE)</f>
        <v>0.34871649191673981</v>
      </c>
      <c r="P5" s="12">
        <f>VLOOKUP(A5,Buchwert_je_Aktie!A3:AK68,37,FALSE)</f>
        <v>3.2632990612427415E-2</v>
      </c>
      <c r="Q5" s="16">
        <f t="shared" ca="1" si="2"/>
        <v>29.013888888888889</v>
      </c>
      <c r="R5" s="12">
        <f t="shared" ca="1" si="3"/>
        <v>0.34871649191673981</v>
      </c>
      <c r="S5" s="53">
        <f ca="1">IF(O5&lt;Bewertung_Stammdaten!D$24,Bewertung_Stammdaten!C$24,IF(O5&lt;Bewertung_Stammdaten!D$25,Bewertung_Stammdaten!C$25,IF(O5&lt;Bewertung_Stammdaten!D$26,Bewertung_Stammdaten!C$26,IF(O5&lt;Bewertung_Stammdaten!D$27,Bewertung_Stammdaten!C$27,IF(O5&lt;Bewertung_Stammdaten!D$28,Bewertung_Stammdaten!C$28,IF(O5&lt;Bewertung_Stammdaten!D$29,Bewertung_Stammdaten!C$29,IF(O5&lt;Bewertung_Stammdaten!D$30,Bewertung_Stammdaten!C$30,IF(O5&lt;Bewertung_Stammdaten!D$31,Bewertung_Stammdaten!C$31,IF(O5&lt;Bewertung_Stammdaten!D$32,Bewertung_Stammdaten!C$32,Bewertung_Stammdaten!C$33)))))))))</f>
        <v>9</v>
      </c>
      <c r="T5" s="53">
        <f>IF(P5&lt;Bewertung_Stammdaten!F$24,Bewertung_Stammdaten!E$24,IF(P5&lt;Bewertung_Stammdaten!F$25,Bewertung_Stammdaten!E$25,IF(P5&lt;Bewertung_Stammdaten!F$26,Bewertung_Stammdaten!E$26,IF(P5&lt;Bewertung_Stammdaten!F$27,Bewertung_Stammdaten!E$27,IF(P5&lt;Bewertung_Stammdaten!F$28,Bewertung_Stammdaten!E$28,IF(P5&lt;Bewertung_Stammdaten!F$29,Bewertung_Stammdaten!E$29,IF(P5&lt;Bewertung_Stammdaten!F$30,Bewertung_Stammdaten!E$30,IF(P5&lt;Bewertung_Stammdaten!F$31,Bewertung_Stammdaten!E$31,IF(P5&lt;Bewertung_Stammdaten!F$32,Bewertung_Stammdaten!E$32,Bewertung_Stammdaten!E$33)))))))))</f>
        <v>12</v>
      </c>
      <c r="U5" s="53">
        <f ca="1">IF(R5&lt;Bewertung_Stammdaten!H$24,Bewertung_Stammdaten!G$24,IF(R5&lt;Bewertung_Stammdaten!H$25,Bewertung_Stammdaten!G$25,IF(R5&lt;Bewertung_Stammdaten!H$26,Bewertung_Stammdaten!G$26,IF(R5&lt;Bewertung_Stammdaten!H$27,Bewertung_Stammdaten!G$27,IF(R5&lt;Bewertung_Stammdaten!H$28,Bewertung_Stammdaten!G$28,IF(R5&lt;Bewertung_Stammdaten!H$29,Bewertung_Stammdaten!G$29,IF(R5&lt;Bewertung_Stammdaten!H$30,Bewertung_Stammdaten!G$30,IF(R5&lt;Bewertung_Stammdaten!H$31,Bewertung_Stammdaten!G$31,IF(R5&lt;Bewertung_Stammdaten!H$32,Bewertung_Stammdaten!G$32,Bewertung_Stammdaten!G$33)))))))))</f>
        <v>6</v>
      </c>
      <c r="V5" s="44"/>
      <c r="W5" s="14">
        <f ca="1">VLOOKUP(A5,Ergebnis_je_Aktie_verwässert!A3:AK68,23,FALSE)</f>
        <v>13.343333333333332</v>
      </c>
      <c r="X5" s="14">
        <f>VLOOKUP(A5,Ergebnis_je_Aktie_verwässert!A3:AK68,19,FALSE)</f>
        <v>11.150769230769233</v>
      </c>
      <c r="Y5" s="12">
        <f ca="1">VLOOKUP(A5,Ergebnis_je_Aktie_verwässert!A3:AK68,24,FALSE)</f>
        <v>0.19662895511405409</v>
      </c>
      <c r="Z5" s="41">
        <f>VLOOKUP(A5,Ergebnis_je_Aktie_verwässert!A3:AK68,37,FALSE)</f>
        <v>-0.16395978344934259</v>
      </c>
      <c r="AA5" s="16">
        <f t="shared" ca="1" si="4"/>
        <v>11.155563289507604</v>
      </c>
      <c r="AB5" s="12">
        <f t="shared" ca="1" si="5"/>
        <v>4.2993076434072464E-4</v>
      </c>
      <c r="AC5" s="33">
        <f ca="1">IF(Y5&lt;Bewertung_Stammdaten!L$11,Bewertung_Stammdaten!K$11,IF(Y5&lt;Bewertung_Stammdaten!L$12,Bewertung_Stammdaten!K$12,IF(Y5&lt;Bewertung_Stammdaten!L$13,Bewertung_Stammdaten!K$13,IF(Y5&lt;Bewertung_Stammdaten!L$14,Bewertung_Stammdaten!K$14,IF(Y5&lt;Bewertung_Stammdaten!L$15,Bewertung_Stammdaten!K$15,IF(Y5&lt;Bewertung_Stammdaten!L$16,Bewertung_Stammdaten!K$16,IF(Y5&lt;Bewertung_Stammdaten!L$17,Bewertung_Stammdaten!K$17,IF(Y5&lt;Bewertung_Stammdaten!L$18,Bewertung_Stammdaten!K$18,IF(Y5&lt;Bewertung_Stammdaten!L$19,Bewertung_Stammdaten!K$19,Bewertung_Stammdaten!K$20)))))))))</f>
        <v>8</v>
      </c>
      <c r="AD5" s="33">
        <f>IF(Z5&lt;Bewertung_Stammdaten!R$11,Bewertung_Stammdaten!Q$11,IF(Z5&lt;Bewertung_Stammdaten!R$12,Bewertung_Stammdaten!Q$12,IF(Z5&lt;Bewertung_Stammdaten!R$13,Bewertung_Stammdaten!Q$13,IF(Z5&lt;Bewertung_Stammdaten!R$14,Bewertung_Stammdaten!Q$14,IF(Z5&lt;Bewertung_Stammdaten!R$15,Bewertung_Stammdaten!Q$15,IF(Z5&lt;Bewertung_Stammdaten!R$16,Bewertung_Stammdaten!Q$16,IF(Z5&lt;Bewertung_Stammdaten!R$17,Bewertung_Stammdaten!Q$17,IF(Z5&lt;Bewertung_Stammdaten!R$18,Bewertung_Stammdaten!Q$18,IF(Z5&lt;Bewertung_Stammdaten!R$19,Bewertung_Stammdaten!Q$19,Bewertung_Stammdaten!Q$20)))))))))</f>
        <v>6</v>
      </c>
      <c r="AE5" s="33">
        <f ca="1">IF(AB5&lt;Bewertung_Stammdaten!P$11,Bewertung_Stammdaten!O$11,IF(AB5&lt;Bewertung_Stammdaten!P$12,Bewertung_Stammdaten!O$12,IF(AB5&lt;Bewertung_Stammdaten!P$13,Bewertung_Stammdaten!O$13,IF(AB5&lt;Bewertung_Stammdaten!P$14,Bewertung_Stammdaten!O$14,IF(AB5&lt;Bewertung_Stammdaten!P$15,Bewertung_Stammdaten!O$15,IF(AB5&lt;Bewertung_Stammdaten!P$16,Bewertung_Stammdaten!O$16,IF(AB5&lt;Bewertung_Stammdaten!P$17,Bewertung_Stammdaten!O$17,IF(AB5&lt;Bewertung_Stammdaten!P$18,Bewertung_Stammdaten!O$18,IF(AB5&lt;Bewertung_Stammdaten!P$19,Bewertung_Stammdaten!O$19,Bewertung_Stammdaten!O$20)))))))))</f>
        <v>4</v>
      </c>
      <c r="AF5" s="44"/>
      <c r="AG5" s="14">
        <f ca="1">VLOOKUP(A5,Dividende_je_Aktie!A3:AM68,24,FALSE)</f>
        <v>8.3455833333333338</v>
      </c>
      <c r="AH5" s="14">
        <f>VLOOKUP(A5,Dividende_je_Aktie!A3:AM68,20,FALSE)</f>
        <v>6.1892857142857149</v>
      </c>
      <c r="AI5" s="12">
        <f ca="1">VLOOKUP(A5,Dividende_je_Aktie!A3:AM68,25,FALSE)</f>
        <v>0.34839199846124247</v>
      </c>
      <c r="AJ5" s="41">
        <f>VLOOKUP(A5,Dividende_je_Aktie!A3:AM68,39,FALSE)</f>
        <v>2.5641025641025772E-2</v>
      </c>
      <c r="AK5" s="16">
        <f t="shared" ca="1" si="6"/>
        <v>8.3455833333333338</v>
      </c>
      <c r="AL5" s="12">
        <f t="shared" ca="1" si="7"/>
        <v>0.34839199846124247</v>
      </c>
      <c r="AM5" s="33">
        <f ca="1">IF(AI5&lt;Bewertung_Stammdaten!P$24,Bewertung_Stammdaten!O$24,IF(AI5&lt;Bewertung_Stammdaten!P$25,Bewertung_Stammdaten!O$25,IF(AI5&lt;Bewertung_Stammdaten!P$26,Bewertung_Stammdaten!O$26,IF(AI5&lt;Bewertung_Stammdaten!P$27,Bewertung_Stammdaten!O$27,IF(AI5&lt;Bewertung_Stammdaten!P$28,Bewertung_Stammdaten!O$28,IF(AI5&lt;Bewertung_Stammdaten!P$29,Bewertung_Stammdaten!O$29,IF(AI5&lt;Bewertung_Stammdaten!P$30,Bewertung_Stammdaten!O$30,IF(AI5&lt;Bewertung_Stammdaten!P$31,Bewertung_Stammdaten!O$31,IF(AI5&lt;Bewertung_Stammdaten!P$32,Bewertung_Stammdaten!O$32,Bewertung_Stammdaten!O$33)))))))))</f>
        <v>12</v>
      </c>
      <c r="AN5" s="33">
        <f>IF(AJ5&lt;Bewertung_Stammdaten!R$24,Bewertung_Stammdaten!Q$24,IF(AJ5&lt;Bewertung_Stammdaten!R$25,Bewertung_Stammdaten!Q$25,IF(AJ5&lt;Bewertung_Stammdaten!R$26,Bewertung_Stammdaten!Q$26,IF(AJ5&lt;Bewertung_Stammdaten!R$27,Bewertung_Stammdaten!Q$27,IF(AJ5&lt;Bewertung_Stammdaten!R$28,Bewertung_Stammdaten!Q$28,IF(AJ5&lt;Bewertung_Stammdaten!R$29,Bewertung_Stammdaten!Q$29,IF(AJ5&lt;Bewertung_Stammdaten!R$30,Bewertung_Stammdaten!Q$30,IF(AJ5&lt;Bewertung_Stammdaten!R$31,Bewertung_Stammdaten!Q$31,IF(AJ5&lt;Bewertung_Stammdaten!R$32,Bewertung_Stammdaten!Q$32,Bewertung_Stammdaten!Q$33)))))))))</f>
        <v>8</v>
      </c>
      <c r="AO5" s="33">
        <f ca="1">IF(AL5&lt;Bewertung_Stammdaten!T$24,Bewertung_Stammdaten!S$24,IF(AL5&lt;Bewertung_Stammdaten!T$25,Bewertung_Stammdaten!S$25,IF(AL5&lt;Bewertung_Stammdaten!T$26,Bewertung_Stammdaten!S$26,IF(AL5&lt;Bewertung_Stammdaten!T$27,Bewertung_Stammdaten!S$27,IF(AL5&lt;Bewertung_Stammdaten!T$28,Bewertung_Stammdaten!S$28,IF(AL5&lt;Bewertung_Stammdaten!T$29,Bewertung_Stammdaten!S$29,IF(AL5&lt;Bewertung_Stammdaten!T$30,Bewertung_Stammdaten!S$30,IF(AL5&lt;Bewertung_Stammdaten!T$31,Bewertung_Stammdaten!S$31,IF(AL5&lt;Bewertung_Stammdaten!T$32,Bewertung_Stammdaten!S$32,Bewertung_Stammdaten!S$33)))))))))</f>
        <v>7</v>
      </c>
      <c r="AP5" s="44"/>
      <c r="AQ5" s="12">
        <f ca="1">VLOOKUP(A5,Dividendenrendite!A3:R68,17,FALSE)</f>
        <v>3.1576176062555181E-2</v>
      </c>
      <c r="AR5" s="12">
        <f>VLOOKUP(A5,Dividendenrendite!A3:R68,16,FALSE)</f>
        <v>2.985664387668099E-2</v>
      </c>
      <c r="AS5" s="12">
        <f ca="1">VLOOKUP(A5,Dividendenrendite!A3:R68,18,FALSE)</f>
        <v>5.7592949595289378E-2</v>
      </c>
      <c r="AT5" s="33">
        <f ca="1">IF(AQ5&lt;Bewertung_Stammdaten!D$11,Bewertung_Stammdaten!C$11,IF(AQ5&lt;Bewertung_Stammdaten!D$12,Bewertung_Stammdaten!C$12,IF(AQ5&lt;Bewertung_Stammdaten!D$13,Bewertung_Stammdaten!C$13,IF(AQ5&lt;Bewertung_Stammdaten!D$14,Bewertung_Stammdaten!C$14,IF(AQ5&lt;Bewertung_Stammdaten!D$15,Bewertung_Stammdaten!C$15,IF(AQ5&lt;Bewertung_Stammdaten!D$16,Bewertung_Stammdaten!C$16,IF(AQ5&lt;Bewertung_Stammdaten!D$17,Bewertung_Stammdaten!C$17,IF(AQ5&lt;Bewertung_Stammdaten!D$18,Bewertung_Stammdaten!C$18,IF(AQ5&lt;Bewertung_Stammdaten!D$19,Bewertung_Stammdaten!C$19,Bewertung_Stammdaten!C$20)))))))))</f>
        <v>10.5</v>
      </c>
      <c r="AU5" s="33">
        <f>IF(AR5&lt;Bewertung_Stammdaten!T$11,Bewertung_Stammdaten!S$11,IF(AR5&lt;Bewertung_Stammdaten!T$12,Bewertung_Stammdaten!S$12,IF(AR5&lt;Bewertung_Stammdaten!T$13,Bewertung_Stammdaten!S$13,IF(AR5&lt;Bewertung_Stammdaten!T$14,Bewertung_Stammdaten!S$14,IF(AR5&lt;Bewertung_Stammdaten!T$15,Bewertung_Stammdaten!S$15,IF(AR5&lt;Bewertung_Stammdaten!T$16,Bewertung_Stammdaten!S$16,IF(AR5&lt;Bewertung_Stammdaten!T$17,Bewertung_Stammdaten!S$17,IF(AR5&lt;Bewertung_Stammdaten!T$18,Bewertung_Stammdaten!S$18,IF(AR5&lt;Bewertung_Stammdaten!T$19,Bewertung_Stammdaten!S$19,Bewertung_Stammdaten!S$20)))))))))</f>
        <v>6</v>
      </c>
      <c r="AV5" s="33">
        <f ca="1">IF(AS5&lt;Bewertung_Stammdaten!F$11,Bewertung_Stammdaten!E$11,IF(AS5&lt;Bewertung_Stammdaten!F$12,Bewertung_Stammdaten!E$12,IF(AS5&lt;Bewertung_Stammdaten!F$13,Bewertung_Stammdaten!E$13,IF(AS5&lt;Bewertung_Stammdaten!F$14,Bewertung_Stammdaten!E$14,IF(AS5&lt;Bewertung_Stammdaten!F$15,Bewertung_Stammdaten!E$15,IF(AS5&lt;Bewertung_Stammdaten!F$16,Bewertung_Stammdaten!E$16,IF(AS5&lt;Bewertung_Stammdaten!F$17,Bewertung_Stammdaten!E$17,IF(AS5&lt;Bewertung_Stammdaten!F$18,Bewertung_Stammdaten!E$18,IF(AS5&lt;Bewertung_Stammdaten!F$19,Bewertung_Stammdaten!E$19,Bewertung_Stammdaten!E$20)))))))))</f>
        <v>3.5</v>
      </c>
      <c r="AW5" s="44"/>
      <c r="AX5" s="12">
        <f>VLOOKUP(A5,Aktien_im_Umlauf_splitbereinigt!A3:Z68,26,FALSE)</f>
        <v>0</v>
      </c>
      <c r="AY5" s="12">
        <f>VLOOKUP(A5,Aktien_im_Umlauf_splitbereinigt!A3:Y68,24,FALSE)</f>
        <v>-5.1523816884483748E-6</v>
      </c>
      <c r="AZ5" s="12">
        <f>VLOOKUP(A5,Aktien_im_Umlauf_splitbereinigt!A3:Y68,25,FALSE)</f>
        <v>-1</v>
      </c>
      <c r="BA5" s="42">
        <f>IF(AX5&lt;Bewertung_Stammdaten!J$24,Bewertung_Stammdaten!I$24,IF(AX5&lt;Bewertung_Stammdaten!J$25,Bewertung_Stammdaten!I$25,IF(AX5&lt;Bewertung_Stammdaten!J$26,Bewertung_Stammdaten!I$26,IF(AX5&lt;Bewertung_Stammdaten!J$27,Bewertung_Stammdaten!I$27,IF(AX5&lt;Bewertung_Stammdaten!J$28,Bewertung_Stammdaten!I$28,IF(AX5&lt;Bewertung_Stammdaten!J$29,Bewertung_Stammdaten!I$29,IF(AX5&lt;Bewertung_Stammdaten!J$30,Bewertung_Stammdaten!I$30,IF(AX5&lt;Bewertung_Stammdaten!J$31,Bewertung_Stammdaten!I$31,IF(AX5&lt;Bewertung_Stammdaten!J$32,Bewertung_Stammdaten!I$32,Bewertung_Stammdaten!I$33)))))))))</f>
        <v>2</v>
      </c>
      <c r="BB5" s="42">
        <f>IF(AY5&lt;Bewertung_Stammdaten!L$24,Bewertung_Stammdaten!K$24,IF(AY5&lt;Bewertung_Stammdaten!L$25,Bewertung_Stammdaten!K$25,IF(AY5&lt;Bewertung_Stammdaten!L$26,Bewertung_Stammdaten!K$26,IF(AY5&lt;Bewertung_Stammdaten!L$27,Bewertung_Stammdaten!K$27,IF(AY5&lt;Bewertung_Stammdaten!L$28,Bewertung_Stammdaten!K$28,IF(AY5&lt;Bewertung_Stammdaten!L$29,Bewertung_Stammdaten!K$29,IF(AY5&lt;Bewertung_Stammdaten!L$30,Bewertung_Stammdaten!K$30,IF(AY5&lt;Bewertung_Stammdaten!L$31,Bewertung_Stammdaten!K$31,IF(AY5&lt;Bewertung_Stammdaten!L$32,Bewertung_Stammdaten!K$32,Bewertung_Stammdaten!K$33)))))))))</f>
        <v>3</v>
      </c>
      <c r="BC5" s="42">
        <f>IF(AZ5&lt;Bewertung_Stammdaten!N$24,Bewertung_Stammdaten!M$24,IF(AZ5&lt;Bewertung_Stammdaten!N$25,Bewertung_Stammdaten!M$25,IF(AZ5&lt;Bewertung_Stammdaten!N$26,Bewertung_Stammdaten!M$26,IF(AZ5&lt;Bewertung_Stammdaten!N$27,Bewertung_Stammdaten!M$27,IF(AZ5&lt;Bewertung_Stammdaten!N$28,Bewertung_Stammdaten!M$28,IF(AZ5&lt;Bewertung_Stammdaten!N$29,Bewertung_Stammdaten!M$29,IF(AZ5&lt;Bewertung_Stammdaten!N$30,Bewertung_Stammdaten!M$30,IF(AZ5&lt;Bewertung_Stammdaten!N$31,Bewertung_Stammdaten!M$31,IF(AZ5&lt;Bewertung_Stammdaten!N$32,Bewertung_Stammdaten!M$32,Bewertung_Stammdaten!M$33)))))))))</f>
        <v>1</v>
      </c>
      <c r="BD5" s="44"/>
      <c r="BE5" s="12">
        <f ca="1">VLOOKUP(A5,Ausschüttungsquote!A3:X68,23,FALSE)</f>
        <v>0.6256366216480721</v>
      </c>
      <c r="BF5" s="12">
        <f>VLOOKUP(A5,Ausschüttungsquote!A3:X68,19,FALSE)</f>
        <v>0.5733455732414704</v>
      </c>
      <c r="BG5" s="12">
        <f ca="1">VLOOKUP(A5,Ausschüttungsquote!A3:X68,24,FALSE)</f>
        <v>9.1203369916974752E-2</v>
      </c>
      <c r="BH5" s="33">
        <f ca="1">IF(BE5&lt;Bewertung_Stammdaten!H$11,Bewertung_Stammdaten!G$11,IF(BE5&lt;Bewertung_Stammdaten!H$12,Bewertung_Stammdaten!G$12,IF(BE5&lt;Bewertung_Stammdaten!H$13,Bewertung_Stammdaten!G$13,IF(BE5&lt;Bewertung_Stammdaten!H$14,Bewertung_Stammdaten!G$14,IF(BE5&lt;Bewertung_Stammdaten!H$15,Bewertung_Stammdaten!G$15,IF(BE5&lt;Bewertung_Stammdaten!H$16,Bewertung_Stammdaten!G$16,IF(BE5&lt;Bewertung_Stammdaten!H$17,Bewertung_Stammdaten!G$17,IF(BE5&lt;Bewertung_Stammdaten!H$18,Bewertung_Stammdaten!G$18,IF(BE5&lt;Bewertung_Stammdaten!H$19,Bewertung_Stammdaten!G$19,Bewertung_Stammdaten!G$20)))))))))</f>
        <v>5</v>
      </c>
      <c r="BI5" s="42">
        <f>IF(BF5&lt;Bewertung_Stammdaten!B$24,Bewertung_Stammdaten!A$24,IF(BF5&lt;Bewertung_Stammdaten!B$25,Bewertung_Stammdaten!A$25,IF(BF5&lt;Bewertung_Stammdaten!B$26,Bewertung_Stammdaten!A$26,IF(BF5&lt;Bewertung_Stammdaten!B$27,Bewertung_Stammdaten!A$27,IF(BF5&lt;Bewertung_Stammdaten!B$28,Bewertung_Stammdaten!A$28,IF(BF5&lt;Bewertung_Stammdaten!B$29,Bewertung_Stammdaten!A$29,IF(BF5&lt;Bewertung_Stammdaten!B$30,Bewertung_Stammdaten!A$30,IF(BF5&lt;Bewertung_Stammdaten!B$31,Bewertung_Stammdaten!A$31,IF(BF5&lt;Bewertung_Stammdaten!B$32,Bewertung_Stammdaten!A$32,Bewertung_Stammdaten!A$33)))))))))</f>
        <v>6</v>
      </c>
      <c r="BJ5" s="33">
        <f ca="1">IF(BG5&lt;Bewertung_Stammdaten!J$11,Bewertung_Stammdaten!I$11,IF(BG5&lt;Bewertung_Stammdaten!J$12,Bewertung_Stammdaten!I$12,IF(BG5&lt;Bewertung_Stammdaten!J$13,Bewertung_Stammdaten!I$13,IF(BG5&lt;Bewertung_Stammdaten!J$14,Bewertung_Stammdaten!I$14,IF(BG5&lt;Bewertung_Stammdaten!J$15,Bewertung_Stammdaten!I$15,IF(BG5&lt;Bewertung_Stammdaten!J$16,Bewertung_Stammdaten!I$16,IF(BG5&lt;Bewertung_Stammdaten!J$17,Bewertung_Stammdaten!I$17,IF(BG5&lt;Bewertung_Stammdaten!J$18,Bewertung_Stammdaten!I$18,IF(BG5&lt;Bewertung_Stammdaten!J$19,Bewertung_Stammdaten!I$19,Bewertung_Stammdaten!I$20)))))))))</f>
        <v>4</v>
      </c>
    </row>
    <row r="6" spans="1:62" x14ac:dyDescent="0.25">
      <c r="A6" s="39" t="s">
        <v>6</v>
      </c>
      <c r="B6" s="39" t="s">
        <v>7</v>
      </c>
      <c r="C6" s="33">
        <f t="shared" ca="1" si="8"/>
        <v>114</v>
      </c>
      <c r="D6" s="44"/>
      <c r="E6" s="11">
        <f ca="1">VLOOKUP(A6,KGV!A3:R68,17,FALSE)</f>
        <v>21.965074689669684</v>
      </c>
      <c r="F6" s="11">
        <f>VLOOKUP(A6,KGV!A3:R68,16,FALSE)</f>
        <v>18.496621621621621</v>
      </c>
      <c r="G6" s="12">
        <f ca="1">VLOOKUP(A6,KGV!A3:R68,18,FALSE)</f>
        <v>0.18751819326798658</v>
      </c>
      <c r="H6" s="16">
        <f t="shared" ca="1" si="0"/>
        <v>30.008623167576896</v>
      </c>
      <c r="I6" s="12">
        <f t="shared" ca="1" si="1"/>
        <v>0.6223840105210523</v>
      </c>
      <c r="J6" s="33">
        <f ca="1">IF(G6&lt;Bewertung_Stammdaten!B$11,Bewertung_Stammdaten!A$11,IF(G6&lt;Bewertung_Stammdaten!B$12,Bewertung_Stammdaten!A$12,IF(G6&lt;Bewertung_Stammdaten!B$13,Bewertung_Stammdaten!A$13,IF(G6&lt;Bewertung_Stammdaten!B$14,Bewertung_Stammdaten!A$14,IF(G6&lt;Bewertung_Stammdaten!B$15,Bewertung_Stammdaten!A$15,IF(G6&lt;Bewertung_Stammdaten!B$16,Bewertung_Stammdaten!A$16,IF(G6&lt;Bewertung_Stammdaten!B$17,Bewertung_Stammdaten!A$17,IF(G6&lt;Bewertung_Stammdaten!B$18,Bewertung_Stammdaten!A$18,IF(G6&lt;Bewertung_Stammdaten!B$19,Bewertung_Stammdaten!A$19,Bewertung_Stammdaten!A$20)))))))))</f>
        <v>9</v>
      </c>
      <c r="K6" s="33">
        <f ca="1">IF(I6&lt;Bewertung_Stammdaten!N$11,Bewertung_Stammdaten!M$11,IF(I6&lt;Bewertung_Stammdaten!N$12,Bewertung_Stammdaten!M$12,IF(I6&lt;Bewertung_Stammdaten!N$13,Bewertung_Stammdaten!M$13,IF(I6&lt;Bewertung_Stammdaten!N$14,Bewertung_Stammdaten!M$14,IF(I6&lt;Bewertung_Stammdaten!N$15,Bewertung_Stammdaten!M$15,IF(I6&lt;Bewertung_Stammdaten!N$16,Bewertung_Stammdaten!M$16,IF(I6&lt;Bewertung_Stammdaten!N$17,Bewertung_Stammdaten!M$17,IF(I6&lt;Bewertung_Stammdaten!N$18,Bewertung_Stammdaten!M$18,IF(I6&lt;Bewertung_Stammdaten!N$19,Bewertung_Stammdaten!M$19,Bewertung_Stammdaten!M$20)))))))))</f>
        <v>1.5</v>
      </c>
      <c r="L6" s="44"/>
      <c r="M6" s="11">
        <f ca="1">VLOOKUP(A6,Buchwert_je_Aktie!A3:AK68,23,FALSE)</f>
        <v>22.763611111111111</v>
      </c>
      <c r="N6" s="11">
        <f>VLOOKUP(A6,Buchwert_je_Aktie!A3:AK68,19,FALSE)</f>
        <v>20.807500000000001</v>
      </c>
      <c r="O6" s="12">
        <f ca="1">VLOOKUP(A6,Buchwert_je_Aktie!A3:AK68,24,FALSE)</f>
        <v>9.4009905616297518E-2</v>
      </c>
      <c r="P6" s="12">
        <f>VLOOKUP(A6,Buchwert_je_Aktie!A3:AK68,37,FALSE)</f>
        <v>-3.5854341736694662E-2</v>
      </c>
      <c r="Q6" s="16">
        <f t="shared" ca="1" si="2"/>
        <v>21.947436819172115</v>
      </c>
      <c r="R6" s="12">
        <f t="shared" ca="1" si="3"/>
        <v>5.4784900597001807E-2</v>
      </c>
      <c r="S6" s="53">
        <f ca="1">IF(O6&lt;Bewertung_Stammdaten!D$24,Bewertung_Stammdaten!C$24,IF(O6&lt;Bewertung_Stammdaten!D$25,Bewertung_Stammdaten!C$25,IF(O6&lt;Bewertung_Stammdaten!D$26,Bewertung_Stammdaten!C$26,IF(O6&lt;Bewertung_Stammdaten!D$27,Bewertung_Stammdaten!C$27,IF(O6&lt;Bewertung_Stammdaten!D$28,Bewertung_Stammdaten!C$28,IF(O6&lt;Bewertung_Stammdaten!D$29,Bewertung_Stammdaten!C$29,IF(O6&lt;Bewertung_Stammdaten!D$30,Bewertung_Stammdaten!C$30,IF(O6&lt;Bewertung_Stammdaten!D$31,Bewertung_Stammdaten!C$31,IF(O6&lt;Bewertung_Stammdaten!D$32,Bewertung_Stammdaten!C$32,Bewertung_Stammdaten!C$33)))))))))</f>
        <v>4.5</v>
      </c>
      <c r="T6" s="53">
        <f>IF(P6&lt;Bewertung_Stammdaten!F$24,Bewertung_Stammdaten!E$24,IF(P6&lt;Bewertung_Stammdaten!F$25,Bewertung_Stammdaten!E$25,IF(P6&lt;Bewertung_Stammdaten!F$26,Bewertung_Stammdaten!E$26,IF(P6&lt;Bewertung_Stammdaten!F$27,Bewertung_Stammdaten!E$27,IF(P6&lt;Bewertung_Stammdaten!F$28,Bewertung_Stammdaten!E$28,IF(P6&lt;Bewertung_Stammdaten!F$29,Bewertung_Stammdaten!E$29,IF(P6&lt;Bewertung_Stammdaten!F$30,Bewertung_Stammdaten!E$30,IF(P6&lt;Bewertung_Stammdaten!F$31,Bewertung_Stammdaten!E$31,IF(P6&lt;Bewertung_Stammdaten!F$32,Bewertung_Stammdaten!E$32,Bewertung_Stammdaten!E$33)))))))))</f>
        <v>10.5</v>
      </c>
      <c r="U6" s="53">
        <f ca="1">IF(R6&lt;Bewertung_Stammdaten!H$24,Bewertung_Stammdaten!G$24,IF(R6&lt;Bewertung_Stammdaten!H$25,Bewertung_Stammdaten!G$25,IF(R6&lt;Bewertung_Stammdaten!H$26,Bewertung_Stammdaten!G$26,IF(R6&lt;Bewertung_Stammdaten!H$27,Bewertung_Stammdaten!G$27,IF(R6&lt;Bewertung_Stammdaten!H$28,Bewertung_Stammdaten!G$28,IF(R6&lt;Bewertung_Stammdaten!H$29,Bewertung_Stammdaten!G$29,IF(R6&lt;Bewertung_Stammdaten!H$30,Bewertung_Stammdaten!G$30,IF(R6&lt;Bewertung_Stammdaten!H$31,Bewertung_Stammdaten!G$31,IF(R6&lt;Bewertung_Stammdaten!H$32,Bewertung_Stammdaten!G$32,Bewertung_Stammdaten!G$33)))))))))</f>
        <v>3</v>
      </c>
      <c r="V6" s="44"/>
      <c r="W6" s="14">
        <f ca="1">VLOOKUP(A6,Ergebnis_je_Aktie_verwässert!A3:AK68,23,FALSE)</f>
        <v>3.432722222222222</v>
      </c>
      <c r="X6" s="14">
        <f>VLOOKUP(A6,Ergebnis_je_Aktie_verwässert!A3:AK68,19,FALSE)</f>
        <v>3.0292307692307689</v>
      </c>
      <c r="Y6" s="12">
        <f ca="1">VLOOKUP(A6,Ergebnis_je_Aktie_verwässert!A3:AK68,24,FALSE)</f>
        <v>0.13319931155126685</v>
      </c>
      <c r="Z6" s="41">
        <f>VLOOKUP(A6,Ergebnis_je_Aktie_verwässert!A3:AK68,37,FALSE)</f>
        <v>-0.26804123711340211</v>
      </c>
      <c r="AA6" s="16">
        <f t="shared" ca="1" si="4"/>
        <v>2.5126111111111107</v>
      </c>
      <c r="AB6" s="12">
        <f t="shared" ca="1" si="5"/>
        <v>-0.17054483381299035</v>
      </c>
      <c r="AC6" s="33">
        <f ca="1">IF(Y6&lt;Bewertung_Stammdaten!L$11,Bewertung_Stammdaten!K$11,IF(Y6&lt;Bewertung_Stammdaten!L$12,Bewertung_Stammdaten!K$12,IF(Y6&lt;Bewertung_Stammdaten!L$13,Bewertung_Stammdaten!K$13,IF(Y6&lt;Bewertung_Stammdaten!L$14,Bewertung_Stammdaten!K$14,IF(Y6&lt;Bewertung_Stammdaten!L$15,Bewertung_Stammdaten!K$15,IF(Y6&lt;Bewertung_Stammdaten!L$16,Bewertung_Stammdaten!K$16,IF(Y6&lt;Bewertung_Stammdaten!L$17,Bewertung_Stammdaten!K$17,IF(Y6&lt;Bewertung_Stammdaten!L$18,Bewertung_Stammdaten!K$18,IF(Y6&lt;Bewertung_Stammdaten!L$19,Bewertung_Stammdaten!K$19,Bewertung_Stammdaten!K$20)))))))))</f>
        <v>8</v>
      </c>
      <c r="AD6" s="33">
        <f>IF(Z6&lt;Bewertung_Stammdaten!R$11,Bewertung_Stammdaten!Q$11,IF(Z6&lt;Bewertung_Stammdaten!R$12,Bewertung_Stammdaten!Q$12,IF(Z6&lt;Bewertung_Stammdaten!R$13,Bewertung_Stammdaten!Q$13,IF(Z6&lt;Bewertung_Stammdaten!R$14,Bewertung_Stammdaten!Q$14,IF(Z6&lt;Bewertung_Stammdaten!R$15,Bewertung_Stammdaten!Q$15,IF(Z6&lt;Bewertung_Stammdaten!R$16,Bewertung_Stammdaten!Q$16,IF(Z6&lt;Bewertung_Stammdaten!R$17,Bewertung_Stammdaten!Q$17,IF(Z6&lt;Bewertung_Stammdaten!R$18,Bewertung_Stammdaten!Q$18,IF(Z6&lt;Bewertung_Stammdaten!R$19,Bewertung_Stammdaten!Q$19,Bewertung_Stammdaten!Q$20)))))))))</f>
        <v>5</v>
      </c>
      <c r="AE6" s="33">
        <f ca="1">IF(AB6&lt;Bewertung_Stammdaten!P$11,Bewertung_Stammdaten!O$11,IF(AB6&lt;Bewertung_Stammdaten!P$12,Bewertung_Stammdaten!O$12,IF(AB6&lt;Bewertung_Stammdaten!P$13,Bewertung_Stammdaten!O$13,IF(AB6&lt;Bewertung_Stammdaten!P$14,Bewertung_Stammdaten!O$14,IF(AB6&lt;Bewertung_Stammdaten!P$15,Bewertung_Stammdaten!O$15,IF(AB6&lt;Bewertung_Stammdaten!P$16,Bewertung_Stammdaten!O$16,IF(AB6&lt;Bewertung_Stammdaten!P$17,Bewertung_Stammdaten!O$17,IF(AB6&lt;Bewertung_Stammdaten!P$18,Bewertung_Stammdaten!O$18,IF(AB6&lt;Bewertung_Stammdaten!P$19,Bewertung_Stammdaten!O$19,Bewertung_Stammdaten!O$20)))))))))</f>
        <v>2</v>
      </c>
      <c r="AF6" s="44"/>
      <c r="AG6" s="14">
        <f ca="1">VLOOKUP(A6,Dividende_je_Aktie!A3:AM68,24,FALSE)</f>
        <v>2.2882500000000001</v>
      </c>
      <c r="AH6" s="14">
        <f>VLOOKUP(A6,Dividende_je_Aktie!A3:AM68,20,FALSE)</f>
        <v>1.732142857142857</v>
      </c>
      <c r="AI6" s="12">
        <f ca="1">VLOOKUP(A6,Dividende_je_Aktie!A3:AM68,25,FALSE)</f>
        <v>0.32105154639175271</v>
      </c>
      <c r="AJ6" s="41">
        <f>VLOOKUP(A6,Dividende_je_Aktie!A3:AM68,39,FALSE)</f>
        <v>2.3255813953488413E-2</v>
      </c>
      <c r="AK6" s="16">
        <f t="shared" ca="1" si="6"/>
        <v>2.2882500000000001</v>
      </c>
      <c r="AL6" s="12">
        <f t="shared" ca="1" si="7"/>
        <v>0.32105154639175271</v>
      </c>
      <c r="AM6" s="33">
        <f ca="1">IF(AI6&lt;Bewertung_Stammdaten!P$24,Bewertung_Stammdaten!O$24,IF(AI6&lt;Bewertung_Stammdaten!P$25,Bewertung_Stammdaten!O$25,IF(AI6&lt;Bewertung_Stammdaten!P$26,Bewertung_Stammdaten!O$26,IF(AI6&lt;Bewertung_Stammdaten!P$27,Bewertung_Stammdaten!O$27,IF(AI6&lt;Bewertung_Stammdaten!P$28,Bewertung_Stammdaten!O$28,IF(AI6&lt;Bewertung_Stammdaten!P$29,Bewertung_Stammdaten!O$29,IF(AI6&lt;Bewertung_Stammdaten!P$30,Bewertung_Stammdaten!O$30,IF(AI6&lt;Bewertung_Stammdaten!P$31,Bewertung_Stammdaten!O$31,IF(AI6&lt;Bewertung_Stammdaten!P$32,Bewertung_Stammdaten!O$32,Bewertung_Stammdaten!O$33)))))))))</f>
        <v>12</v>
      </c>
      <c r="AN6" s="33">
        <f>IF(AJ6&lt;Bewertung_Stammdaten!R$24,Bewertung_Stammdaten!Q$24,IF(AJ6&lt;Bewertung_Stammdaten!R$25,Bewertung_Stammdaten!Q$25,IF(AJ6&lt;Bewertung_Stammdaten!R$26,Bewertung_Stammdaten!Q$26,IF(AJ6&lt;Bewertung_Stammdaten!R$27,Bewertung_Stammdaten!Q$27,IF(AJ6&lt;Bewertung_Stammdaten!R$28,Bewertung_Stammdaten!Q$28,IF(AJ6&lt;Bewertung_Stammdaten!R$29,Bewertung_Stammdaten!Q$29,IF(AJ6&lt;Bewertung_Stammdaten!R$30,Bewertung_Stammdaten!Q$30,IF(AJ6&lt;Bewertung_Stammdaten!R$31,Bewertung_Stammdaten!Q$31,IF(AJ6&lt;Bewertung_Stammdaten!R$32,Bewertung_Stammdaten!Q$32,Bewertung_Stammdaten!Q$33)))))))))</f>
        <v>8</v>
      </c>
      <c r="AO6" s="33">
        <f ca="1">IF(AL6&lt;Bewertung_Stammdaten!T$24,Bewertung_Stammdaten!S$24,IF(AL6&lt;Bewertung_Stammdaten!T$25,Bewertung_Stammdaten!S$25,IF(AL6&lt;Bewertung_Stammdaten!T$26,Bewertung_Stammdaten!S$26,IF(AL6&lt;Bewertung_Stammdaten!T$27,Bewertung_Stammdaten!S$27,IF(AL6&lt;Bewertung_Stammdaten!T$28,Bewertung_Stammdaten!S$28,IF(AL6&lt;Bewertung_Stammdaten!T$29,Bewertung_Stammdaten!S$29,IF(AL6&lt;Bewertung_Stammdaten!T$30,Bewertung_Stammdaten!S$30,IF(AL6&lt;Bewertung_Stammdaten!T$31,Bewertung_Stammdaten!S$31,IF(AL6&lt;Bewertung_Stammdaten!T$32,Bewertung_Stammdaten!S$32,Bewertung_Stammdaten!S$33)))))))))</f>
        <v>7</v>
      </c>
      <c r="AP6" s="44"/>
      <c r="AQ6" s="12">
        <f ca="1">VLOOKUP(A6,Dividendenrendite!A3:R68,17,FALSE)</f>
        <v>3.0348143236074269E-2</v>
      </c>
      <c r="AR6" s="12">
        <f>VLOOKUP(A6,Dividendenrendite!A3:R68,16,FALSE)</f>
        <v>3.01217975438785E-2</v>
      </c>
      <c r="AS6" s="12">
        <f ca="1">VLOOKUP(A6,Dividendenrendite!A3:R68,18,FALSE)</f>
        <v>7.5143487657418628E-3</v>
      </c>
      <c r="AT6" s="33">
        <f ca="1">IF(AQ6&lt;Bewertung_Stammdaten!D$11,Bewertung_Stammdaten!C$11,IF(AQ6&lt;Bewertung_Stammdaten!D$12,Bewertung_Stammdaten!C$12,IF(AQ6&lt;Bewertung_Stammdaten!D$13,Bewertung_Stammdaten!C$13,IF(AQ6&lt;Bewertung_Stammdaten!D$14,Bewertung_Stammdaten!C$14,IF(AQ6&lt;Bewertung_Stammdaten!D$15,Bewertung_Stammdaten!C$15,IF(AQ6&lt;Bewertung_Stammdaten!D$16,Bewertung_Stammdaten!C$16,IF(AQ6&lt;Bewertung_Stammdaten!D$17,Bewertung_Stammdaten!C$17,IF(AQ6&lt;Bewertung_Stammdaten!D$18,Bewertung_Stammdaten!C$18,IF(AQ6&lt;Bewertung_Stammdaten!D$19,Bewertung_Stammdaten!C$19,Bewertung_Stammdaten!C$20)))))))))</f>
        <v>10.5</v>
      </c>
      <c r="AU6" s="33">
        <f>IF(AR6&lt;Bewertung_Stammdaten!T$11,Bewertung_Stammdaten!S$11,IF(AR6&lt;Bewertung_Stammdaten!T$12,Bewertung_Stammdaten!S$12,IF(AR6&lt;Bewertung_Stammdaten!T$13,Bewertung_Stammdaten!S$13,IF(AR6&lt;Bewertung_Stammdaten!T$14,Bewertung_Stammdaten!S$14,IF(AR6&lt;Bewertung_Stammdaten!T$15,Bewertung_Stammdaten!S$15,IF(AR6&lt;Bewertung_Stammdaten!T$16,Bewertung_Stammdaten!S$16,IF(AR6&lt;Bewertung_Stammdaten!T$17,Bewertung_Stammdaten!S$17,IF(AR6&lt;Bewertung_Stammdaten!T$18,Bewertung_Stammdaten!S$18,IF(AR6&lt;Bewertung_Stammdaten!T$19,Bewertung_Stammdaten!S$19,Bewertung_Stammdaten!S$20)))))))))</f>
        <v>7</v>
      </c>
      <c r="AV6" s="33">
        <f ca="1">IF(AS6&lt;Bewertung_Stammdaten!F$11,Bewertung_Stammdaten!E$11,IF(AS6&lt;Bewertung_Stammdaten!F$12,Bewertung_Stammdaten!E$12,IF(AS6&lt;Bewertung_Stammdaten!F$13,Bewertung_Stammdaten!E$13,IF(AS6&lt;Bewertung_Stammdaten!F$14,Bewertung_Stammdaten!E$14,IF(AS6&lt;Bewertung_Stammdaten!F$15,Bewertung_Stammdaten!E$15,IF(AS6&lt;Bewertung_Stammdaten!F$16,Bewertung_Stammdaten!E$16,IF(AS6&lt;Bewertung_Stammdaten!F$17,Bewertung_Stammdaten!E$17,IF(AS6&lt;Bewertung_Stammdaten!F$18,Bewertung_Stammdaten!E$18,IF(AS6&lt;Bewertung_Stammdaten!F$19,Bewertung_Stammdaten!E$19,Bewertung_Stammdaten!E$20)))))))))</f>
        <v>3</v>
      </c>
      <c r="AW6" s="44"/>
      <c r="AX6" s="12">
        <f>VLOOKUP(A6,Aktien_im_Umlauf_splitbereinigt!A3:Z68,26,FALSE)</f>
        <v>0</v>
      </c>
      <c r="AY6" s="12">
        <f>VLOOKUP(A6,Aktien_im_Umlauf_splitbereinigt!A3:Y68,24,FALSE)</f>
        <v>-2.4403104232982458E-2</v>
      </c>
      <c r="AZ6" s="12">
        <f>VLOOKUP(A6,Aktien_im_Umlauf_splitbereinigt!A3:Y68,25,FALSE)</f>
        <v>-1</v>
      </c>
      <c r="BA6" s="42">
        <f>IF(AX6&lt;Bewertung_Stammdaten!J$24,Bewertung_Stammdaten!I$24,IF(AX6&lt;Bewertung_Stammdaten!J$25,Bewertung_Stammdaten!I$25,IF(AX6&lt;Bewertung_Stammdaten!J$26,Bewertung_Stammdaten!I$26,IF(AX6&lt;Bewertung_Stammdaten!J$27,Bewertung_Stammdaten!I$27,IF(AX6&lt;Bewertung_Stammdaten!J$28,Bewertung_Stammdaten!I$28,IF(AX6&lt;Bewertung_Stammdaten!J$29,Bewertung_Stammdaten!I$29,IF(AX6&lt;Bewertung_Stammdaten!J$30,Bewertung_Stammdaten!I$30,IF(AX6&lt;Bewertung_Stammdaten!J$31,Bewertung_Stammdaten!I$31,IF(AX6&lt;Bewertung_Stammdaten!J$32,Bewertung_Stammdaten!I$32,Bewertung_Stammdaten!I$33)))))))))</f>
        <v>2</v>
      </c>
      <c r="BB6" s="42">
        <f>IF(AY6&lt;Bewertung_Stammdaten!L$24,Bewertung_Stammdaten!K$24,IF(AY6&lt;Bewertung_Stammdaten!L$25,Bewertung_Stammdaten!K$25,IF(AY6&lt;Bewertung_Stammdaten!L$26,Bewertung_Stammdaten!K$26,IF(AY6&lt;Bewertung_Stammdaten!L$27,Bewertung_Stammdaten!K$27,IF(AY6&lt;Bewertung_Stammdaten!L$28,Bewertung_Stammdaten!K$28,IF(AY6&lt;Bewertung_Stammdaten!L$29,Bewertung_Stammdaten!K$29,IF(AY6&lt;Bewertung_Stammdaten!L$30,Bewertung_Stammdaten!K$30,IF(AY6&lt;Bewertung_Stammdaten!L$31,Bewertung_Stammdaten!K$31,IF(AY6&lt;Bewertung_Stammdaten!L$32,Bewertung_Stammdaten!K$32,Bewertung_Stammdaten!K$33)))))))))</f>
        <v>7</v>
      </c>
      <c r="BC6" s="42">
        <f>IF(AZ6&lt;Bewertung_Stammdaten!N$24,Bewertung_Stammdaten!M$24,IF(AZ6&lt;Bewertung_Stammdaten!N$25,Bewertung_Stammdaten!M$25,IF(AZ6&lt;Bewertung_Stammdaten!N$26,Bewertung_Stammdaten!M$26,IF(AZ6&lt;Bewertung_Stammdaten!N$27,Bewertung_Stammdaten!M$27,IF(AZ6&lt;Bewertung_Stammdaten!N$28,Bewertung_Stammdaten!M$28,IF(AZ6&lt;Bewertung_Stammdaten!N$29,Bewertung_Stammdaten!M$29,IF(AZ6&lt;Bewertung_Stammdaten!N$30,Bewertung_Stammdaten!M$30,IF(AZ6&lt;Bewertung_Stammdaten!N$31,Bewertung_Stammdaten!M$31,IF(AZ6&lt;Bewertung_Stammdaten!N$32,Bewertung_Stammdaten!M$32,Bewertung_Stammdaten!M$33)))))))))</f>
        <v>1</v>
      </c>
      <c r="BD6" s="44"/>
      <c r="BE6" s="12">
        <f ca="1">VLOOKUP(A6,Ausschüttungsquote!A3:X68,23,FALSE)</f>
        <v>0.66688386399924859</v>
      </c>
      <c r="BF6" s="12">
        <f>VLOOKUP(A6,Ausschüttungsquote!A3:X68,19,FALSE)</f>
        <v>0.59499482905821865</v>
      </c>
      <c r="BG6" s="12">
        <f ca="1">VLOOKUP(A6,Ausschüttungsquote!A3:X68,24,FALSE)</f>
        <v>0.12082295749497307</v>
      </c>
      <c r="BH6" s="33">
        <f ca="1">IF(BE6&lt;Bewertung_Stammdaten!H$11,Bewertung_Stammdaten!G$11,IF(BE6&lt;Bewertung_Stammdaten!H$12,Bewertung_Stammdaten!G$12,IF(BE6&lt;Bewertung_Stammdaten!H$13,Bewertung_Stammdaten!G$13,IF(BE6&lt;Bewertung_Stammdaten!H$14,Bewertung_Stammdaten!G$14,IF(BE6&lt;Bewertung_Stammdaten!H$15,Bewertung_Stammdaten!G$15,IF(BE6&lt;Bewertung_Stammdaten!H$16,Bewertung_Stammdaten!G$16,IF(BE6&lt;Bewertung_Stammdaten!H$17,Bewertung_Stammdaten!G$17,IF(BE6&lt;Bewertung_Stammdaten!H$18,Bewertung_Stammdaten!G$18,IF(BE6&lt;Bewertung_Stammdaten!H$19,Bewertung_Stammdaten!G$19,Bewertung_Stammdaten!G$20)))))))))</f>
        <v>4</v>
      </c>
      <c r="BI6" s="42">
        <f>IF(BF6&lt;Bewertung_Stammdaten!B$24,Bewertung_Stammdaten!A$24,IF(BF6&lt;Bewertung_Stammdaten!B$25,Bewertung_Stammdaten!A$25,IF(BF6&lt;Bewertung_Stammdaten!B$26,Bewertung_Stammdaten!A$26,IF(BF6&lt;Bewertung_Stammdaten!B$27,Bewertung_Stammdaten!A$27,IF(BF6&lt;Bewertung_Stammdaten!B$28,Bewertung_Stammdaten!A$28,IF(BF6&lt;Bewertung_Stammdaten!B$29,Bewertung_Stammdaten!A$29,IF(BF6&lt;Bewertung_Stammdaten!B$30,Bewertung_Stammdaten!A$30,IF(BF6&lt;Bewertung_Stammdaten!B$31,Bewertung_Stammdaten!A$31,IF(BF6&lt;Bewertung_Stammdaten!B$32,Bewertung_Stammdaten!A$32,Bewertung_Stammdaten!A$33)))))))))</f>
        <v>6</v>
      </c>
      <c r="BJ6" s="33">
        <f ca="1">IF(BG6&lt;Bewertung_Stammdaten!J$11,Bewertung_Stammdaten!I$11,IF(BG6&lt;Bewertung_Stammdaten!J$12,Bewertung_Stammdaten!I$12,IF(BG6&lt;Bewertung_Stammdaten!J$13,Bewertung_Stammdaten!I$13,IF(BG6&lt;Bewertung_Stammdaten!J$14,Bewertung_Stammdaten!I$14,IF(BG6&lt;Bewertung_Stammdaten!J$15,Bewertung_Stammdaten!I$15,IF(BG6&lt;Bewertung_Stammdaten!J$16,Bewertung_Stammdaten!I$16,IF(BG6&lt;Bewertung_Stammdaten!J$17,Bewertung_Stammdaten!I$17,IF(BG6&lt;Bewertung_Stammdaten!J$18,Bewertung_Stammdaten!I$18,IF(BG6&lt;Bewertung_Stammdaten!J$19,Bewertung_Stammdaten!I$19,Bewertung_Stammdaten!I$20)))))))))</f>
        <v>3</v>
      </c>
    </row>
    <row r="7" spans="1:62" x14ac:dyDescent="0.25">
      <c r="A7" s="39" t="s">
        <v>8</v>
      </c>
      <c r="B7" s="39" t="s">
        <v>9</v>
      </c>
      <c r="C7" s="33">
        <f t="shared" ca="1" si="8"/>
        <v>64</v>
      </c>
      <c r="D7" s="44"/>
      <c r="E7" s="11">
        <f ca="1">VLOOKUP(A7,KGV!A3:R68,17,FALSE)</f>
        <v>11.414708080287131</v>
      </c>
      <c r="F7" s="11">
        <f>VLOOKUP(A7,KGV!A3:R68,16,FALSE)</f>
        <v>9.2457922034465447</v>
      </c>
      <c r="G7" s="12">
        <f ca="1">VLOOKUP(A7,KGV!A3:R68,18,FALSE)</f>
        <v>0.23458410367822036</v>
      </c>
      <c r="H7" s="16">
        <f t="shared" ca="1" si="0"/>
        <v>99</v>
      </c>
      <c r="I7" s="12">
        <f t="shared" ca="1" si="1"/>
        <v>9.7075735449792901</v>
      </c>
      <c r="J7" s="33">
        <f ca="1">IF(G7&lt;Bewertung_Stammdaten!B$11,Bewertung_Stammdaten!A$11,IF(G7&lt;Bewertung_Stammdaten!B$12,Bewertung_Stammdaten!A$12,IF(G7&lt;Bewertung_Stammdaten!B$13,Bewertung_Stammdaten!A$13,IF(G7&lt;Bewertung_Stammdaten!B$14,Bewertung_Stammdaten!A$14,IF(G7&lt;Bewertung_Stammdaten!B$15,Bewertung_Stammdaten!A$15,IF(G7&lt;Bewertung_Stammdaten!B$16,Bewertung_Stammdaten!A$16,IF(G7&lt;Bewertung_Stammdaten!B$17,Bewertung_Stammdaten!A$17,IF(G7&lt;Bewertung_Stammdaten!B$18,Bewertung_Stammdaten!A$18,IF(G7&lt;Bewertung_Stammdaten!B$19,Bewertung_Stammdaten!A$19,Bewertung_Stammdaten!A$20)))))))))</f>
        <v>6</v>
      </c>
      <c r="K7" s="33">
        <f ca="1">IF(I7&lt;Bewertung_Stammdaten!N$11,Bewertung_Stammdaten!M$11,IF(I7&lt;Bewertung_Stammdaten!N$12,Bewertung_Stammdaten!M$12,IF(I7&lt;Bewertung_Stammdaten!N$13,Bewertung_Stammdaten!M$13,IF(I7&lt;Bewertung_Stammdaten!N$14,Bewertung_Stammdaten!M$14,IF(I7&lt;Bewertung_Stammdaten!N$15,Bewertung_Stammdaten!M$15,IF(I7&lt;Bewertung_Stammdaten!N$16,Bewertung_Stammdaten!M$16,IF(I7&lt;Bewertung_Stammdaten!N$17,Bewertung_Stammdaten!M$17,IF(I7&lt;Bewertung_Stammdaten!N$18,Bewertung_Stammdaten!M$18,IF(I7&lt;Bewertung_Stammdaten!N$19,Bewertung_Stammdaten!M$19,Bewertung_Stammdaten!M$20)))))))))</f>
        <v>1.5</v>
      </c>
      <c r="L7" s="44"/>
      <c r="M7" s="11">
        <f ca="1">VLOOKUP(A7,Buchwert_je_Aktie!A3:AK68,23,FALSE)</f>
        <v>49.986666666666672</v>
      </c>
      <c r="N7" s="11">
        <f>VLOOKUP(A7,Buchwert_je_Aktie!A3:AK68,19,FALSE)</f>
        <v>56.25615384615385</v>
      </c>
      <c r="O7" s="12">
        <f ca="1">VLOOKUP(A7,Buchwert_je_Aktie!A3:AK68,24,FALSE)</f>
        <v>-0.11144535754492957</v>
      </c>
      <c r="P7" s="12">
        <f>VLOOKUP(A7,Buchwert_je_Aktie!A3:AK68,37,FALSE)</f>
        <v>-0.22995418098510889</v>
      </c>
      <c r="Q7" s="16">
        <f t="shared" ca="1" si="2"/>
        <v>38.492023673157696</v>
      </c>
      <c r="R7" s="12">
        <f t="shared" ca="1" si="3"/>
        <v>-0.31577221261120147</v>
      </c>
      <c r="S7" s="53">
        <f ca="1">IF(O7&lt;Bewertung_Stammdaten!D$24,Bewertung_Stammdaten!C$24,IF(O7&lt;Bewertung_Stammdaten!D$25,Bewertung_Stammdaten!C$25,IF(O7&lt;Bewertung_Stammdaten!D$26,Bewertung_Stammdaten!C$26,IF(O7&lt;Bewertung_Stammdaten!D$27,Bewertung_Stammdaten!C$27,IF(O7&lt;Bewertung_Stammdaten!D$28,Bewertung_Stammdaten!C$28,IF(O7&lt;Bewertung_Stammdaten!D$29,Bewertung_Stammdaten!C$29,IF(O7&lt;Bewertung_Stammdaten!D$30,Bewertung_Stammdaten!C$30,IF(O7&lt;Bewertung_Stammdaten!D$31,Bewertung_Stammdaten!C$31,IF(O7&lt;Bewertung_Stammdaten!D$32,Bewertung_Stammdaten!C$32,Bewertung_Stammdaten!C$33)))))))))</f>
        <v>1.5</v>
      </c>
      <c r="T7" s="53">
        <f>IF(P7&lt;Bewertung_Stammdaten!F$24,Bewertung_Stammdaten!E$24,IF(P7&lt;Bewertung_Stammdaten!F$25,Bewertung_Stammdaten!E$25,IF(P7&lt;Bewertung_Stammdaten!F$26,Bewertung_Stammdaten!E$26,IF(P7&lt;Bewertung_Stammdaten!F$27,Bewertung_Stammdaten!E$27,IF(P7&lt;Bewertung_Stammdaten!F$28,Bewertung_Stammdaten!E$28,IF(P7&lt;Bewertung_Stammdaten!F$29,Bewertung_Stammdaten!E$29,IF(P7&lt;Bewertung_Stammdaten!F$30,Bewertung_Stammdaten!E$30,IF(P7&lt;Bewertung_Stammdaten!F$31,Bewertung_Stammdaten!E$31,IF(P7&lt;Bewertung_Stammdaten!F$32,Bewertung_Stammdaten!E$32,Bewertung_Stammdaten!E$33)))))))))</f>
        <v>4.5</v>
      </c>
      <c r="U7" s="53">
        <f ca="1">IF(R7&lt;Bewertung_Stammdaten!H$24,Bewertung_Stammdaten!G$24,IF(R7&lt;Bewertung_Stammdaten!H$25,Bewertung_Stammdaten!G$25,IF(R7&lt;Bewertung_Stammdaten!H$26,Bewertung_Stammdaten!G$26,IF(R7&lt;Bewertung_Stammdaten!H$27,Bewertung_Stammdaten!G$27,IF(R7&lt;Bewertung_Stammdaten!H$28,Bewertung_Stammdaten!G$28,IF(R7&lt;Bewertung_Stammdaten!H$29,Bewertung_Stammdaten!G$29,IF(R7&lt;Bewertung_Stammdaten!H$30,Bewertung_Stammdaten!G$30,IF(R7&lt;Bewertung_Stammdaten!H$31,Bewertung_Stammdaten!G$31,IF(R7&lt;Bewertung_Stammdaten!H$32,Bewertung_Stammdaten!G$32,Bewertung_Stammdaten!G$33)))))))))</f>
        <v>1</v>
      </c>
      <c r="V7" s="44"/>
      <c r="W7" s="14">
        <f ca="1">VLOOKUP(A7,Ergebnis_je_Aktie_verwässert!A3:AK68,23,FALSE)</f>
        <v>2.6391388888888887</v>
      </c>
      <c r="X7" s="14">
        <f>VLOOKUP(A7,Ergebnis_je_Aktie_verwässert!A3:AK68,19,FALSE)</f>
        <v>3.8607692307692316</v>
      </c>
      <c r="Y7" s="12">
        <f ca="1">VLOOKUP(A7,Ergebnis_je_Aktie_verwässert!A3:AK68,24,FALSE)</f>
        <v>-0.31642148723738706</v>
      </c>
      <c r="Z7" s="41">
        <f>VLOOKUP(A7,Ergebnis_je_Aktie_verwässert!A3:AK68,37,FALSE)</f>
        <v>-1.5831417624521071</v>
      </c>
      <c r="AA7" s="16">
        <f t="shared" ca="1" si="4"/>
        <v>-1.5389921030225624</v>
      </c>
      <c r="AB7" s="12">
        <f t="shared" ca="1" si="5"/>
        <v>-1.3986231787067804</v>
      </c>
      <c r="AC7" s="33">
        <f ca="1">IF(Y7&lt;Bewertung_Stammdaten!L$11,Bewertung_Stammdaten!K$11,IF(Y7&lt;Bewertung_Stammdaten!L$12,Bewertung_Stammdaten!K$12,IF(Y7&lt;Bewertung_Stammdaten!L$13,Bewertung_Stammdaten!K$13,IF(Y7&lt;Bewertung_Stammdaten!L$14,Bewertung_Stammdaten!K$14,IF(Y7&lt;Bewertung_Stammdaten!L$15,Bewertung_Stammdaten!K$15,IF(Y7&lt;Bewertung_Stammdaten!L$16,Bewertung_Stammdaten!K$16,IF(Y7&lt;Bewertung_Stammdaten!L$17,Bewertung_Stammdaten!K$17,IF(Y7&lt;Bewertung_Stammdaten!L$18,Bewertung_Stammdaten!K$18,IF(Y7&lt;Bewertung_Stammdaten!L$19,Bewertung_Stammdaten!K$19,Bewertung_Stammdaten!K$20)))))))))</f>
        <v>2</v>
      </c>
      <c r="AD7" s="33">
        <f>IF(Z7&lt;Bewertung_Stammdaten!R$11,Bewertung_Stammdaten!Q$11,IF(Z7&lt;Bewertung_Stammdaten!R$12,Bewertung_Stammdaten!Q$12,IF(Z7&lt;Bewertung_Stammdaten!R$13,Bewertung_Stammdaten!Q$13,IF(Z7&lt;Bewertung_Stammdaten!R$14,Bewertung_Stammdaten!Q$14,IF(Z7&lt;Bewertung_Stammdaten!R$15,Bewertung_Stammdaten!Q$15,IF(Z7&lt;Bewertung_Stammdaten!R$16,Bewertung_Stammdaten!Q$16,IF(Z7&lt;Bewertung_Stammdaten!R$17,Bewertung_Stammdaten!Q$17,IF(Z7&lt;Bewertung_Stammdaten!R$18,Bewertung_Stammdaten!Q$18,IF(Z7&lt;Bewertung_Stammdaten!R$19,Bewertung_Stammdaten!Q$19,Bewertung_Stammdaten!Q$20)))))))))</f>
        <v>1</v>
      </c>
      <c r="AE7" s="33">
        <f ca="1">IF(AB7&lt;Bewertung_Stammdaten!P$11,Bewertung_Stammdaten!O$11,IF(AB7&lt;Bewertung_Stammdaten!P$12,Bewertung_Stammdaten!O$12,IF(AB7&lt;Bewertung_Stammdaten!P$13,Bewertung_Stammdaten!O$13,IF(AB7&lt;Bewertung_Stammdaten!P$14,Bewertung_Stammdaten!O$14,IF(AB7&lt;Bewertung_Stammdaten!P$15,Bewertung_Stammdaten!O$15,IF(AB7&lt;Bewertung_Stammdaten!P$16,Bewertung_Stammdaten!O$16,IF(AB7&lt;Bewertung_Stammdaten!P$17,Bewertung_Stammdaten!O$17,IF(AB7&lt;Bewertung_Stammdaten!P$18,Bewertung_Stammdaten!O$18,IF(AB7&lt;Bewertung_Stammdaten!P$19,Bewertung_Stammdaten!O$19,Bewertung_Stammdaten!O$20)))))))))</f>
        <v>1</v>
      </c>
      <c r="AF7" s="44"/>
      <c r="AG7" s="14">
        <f ca="1">VLOOKUP(A7,Dividende_je_Aktie!A3:AM68,24,FALSE)</f>
        <v>0.86866666666666648</v>
      </c>
      <c r="AH7" s="14">
        <f>VLOOKUP(A7,Dividende_je_Aktie!A3:AM68,20,FALSE)</f>
        <v>1.49</v>
      </c>
      <c r="AI7" s="12">
        <f ca="1">VLOOKUP(A7,Dividende_je_Aktie!A3:AM68,25,FALSE)</f>
        <v>-0.41700223713646545</v>
      </c>
      <c r="AJ7" s="41">
        <f>VLOOKUP(A7,Dividende_je_Aktie!A3:AM68,39,FALSE)</f>
        <v>-0.88888888888888884</v>
      </c>
      <c r="AK7" s="16">
        <f t="shared" ca="1" si="6"/>
        <v>9.6518518518518545E-2</v>
      </c>
      <c r="AL7" s="12">
        <f t="shared" ca="1" si="7"/>
        <v>-0.93522247079294063</v>
      </c>
      <c r="AM7" s="33">
        <f ca="1">IF(AI7&lt;Bewertung_Stammdaten!P$24,Bewertung_Stammdaten!O$24,IF(AI7&lt;Bewertung_Stammdaten!P$25,Bewertung_Stammdaten!O$25,IF(AI7&lt;Bewertung_Stammdaten!P$26,Bewertung_Stammdaten!O$26,IF(AI7&lt;Bewertung_Stammdaten!P$27,Bewertung_Stammdaten!O$27,IF(AI7&lt;Bewertung_Stammdaten!P$28,Bewertung_Stammdaten!O$28,IF(AI7&lt;Bewertung_Stammdaten!P$29,Bewertung_Stammdaten!O$29,IF(AI7&lt;Bewertung_Stammdaten!P$30,Bewertung_Stammdaten!O$30,IF(AI7&lt;Bewertung_Stammdaten!P$31,Bewertung_Stammdaten!O$31,IF(AI7&lt;Bewertung_Stammdaten!P$32,Bewertung_Stammdaten!O$32,Bewertung_Stammdaten!O$33)))))))))</f>
        <v>2</v>
      </c>
      <c r="AN7" s="33">
        <f>IF(AJ7&lt;Bewertung_Stammdaten!R$24,Bewertung_Stammdaten!Q$24,IF(AJ7&lt;Bewertung_Stammdaten!R$25,Bewertung_Stammdaten!Q$25,IF(AJ7&lt;Bewertung_Stammdaten!R$26,Bewertung_Stammdaten!Q$26,IF(AJ7&lt;Bewertung_Stammdaten!R$27,Bewertung_Stammdaten!Q$27,IF(AJ7&lt;Bewertung_Stammdaten!R$28,Bewertung_Stammdaten!Q$28,IF(AJ7&lt;Bewertung_Stammdaten!R$29,Bewertung_Stammdaten!Q$29,IF(AJ7&lt;Bewertung_Stammdaten!R$30,Bewertung_Stammdaten!Q$30,IF(AJ7&lt;Bewertung_Stammdaten!R$31,Bewertung_Stammdaten!Q$31,IF(AJ7&lt;Bewertung_Stammdaten!R$32,Bewertung_Stammdaten!Q$32,Bewertung_Stammdaten!Q$33)))))))))</f>
        <v>1</v>
      </c>
      <c r="AO7" s="33">
        <f ca="1">IF(AL7&lt;Bewertung_Stammdaten!T$24,Bewertung_Stammdaten!S$24,IF(AL7&lt;Bewertung_Stammdaten!T$25,Bewertung_Stammdaten!S$25,IF(AL7&lt;Bewertung_Stammdaten!T$26,Bewertung_Stammdaten!S$26,IF(AL7&lt;Bewertung_Stammdaten!T$27,Bewertung_Stammdaten!S$27,IF(AL7&lt;Bewertung_Stammdaten!T$28,Bewertung_Stammdaten!S$28,IF(AL7&lt;Bewertung_Stammdaten!T$29,Bewertung_Stammdaten!S$29,IF(AL7&lt;Bewertung_Stammdaten!T$30,Bewertung_Stammdaten!S$30,IF(AL7&lt;Bewertung_Stammdaten!T$31,Bewertung_Stammdaten!S$31,IF(AL7&lt;Bewertung_Stammdaten!T$32,Bewertung_Stammdaten!S$32,Bewertung_Stammdaten!S$33)))))))))</f>
        <v>1</v>
      </c>
      <c r="AP7" s="44"/>
      <c r="AQ7" s="12">
        <f ca="1">VLOOKUP(A7,Dividendenrendite!A3:R68,17,FALSE)</f>
        <v>2.8835408022130006E-2</v>
      </c>
      <c r="AR7" s="12">
        <f>VLOOKUP(A7,Dividendenrendite!A3:R68,16,FALSE)</f>
        <v>2.7767458168066191E-2</v>
      </c>
      <c r="AS7" s="12">
        <f ca="1">VLOOKUP(A7,Dividendenrendite!A3:R68,18,FALSE)</f>
        <v>3.8460483044573612E-2</v>
      </c>
      <c r="AT7" s="33">
        <f ca="1">IF(AQ7&lt;Bewertung_Stammdaten!D$11,Bewertung_Stammdaten!C$11,IF(AQ7&lt;Bewertung_Stammdaten!D$12,Bewertung_Stammdaten!C$12,IF(AQ7&lt;Bewertung_Stammdaten!D$13,Bewertung_Stammdaten!C$13,IF(AQ7&lt;Bewertung_Stammdaten!D$14,Bewertung_Stammdaten!C$14,IF(AQ7&lt;Bewertung_Stammdaten!D$15,Bewertung_Stammdaten!C$15,IF(AQ7&lt;Bewertung_Stammdaten!D$16,Bewertung_Stammdaten!C$16,IF(AQ7&lt;Bewertung_Stammdaten!D$17,Bewertung_Stammdaten!C$17,IF(AQ7&lt;Bewertung_Stammdaten!D$18,Bewertung_Stammdaten!C$18,IF(AQ7&lt;Bewertung_Stammdaten!D$19,Bewertung_Stammdaten!C$19,Bewertung_Stammdaten!C$20)))))))))</f>
        <v>9</v>
      </c>
      <c r="AU7" s="33">
        <f>IF(AR7&lt;Bewertung_Stammdaten!T$11,Bewertung_Stammdaten!S$11,IF(AR7&lt;Bewertung_Stammdaten!T$12,Bewertung_Stammdaten!S$12,IF(AR7&lt;Bewertung_Stammdaten!T$13,Bewertung_Stammdaten!S$13,IF(AR7&lt;Bewertung_Stammdaten!T$14,Bewertung_Stammdaten!S$14,IF(AR7&lt;Bewertung_Stammdaten!T$15,Bewertung_Stammdaten!S$15,IF(AR7&lt;Bewertung_Stammdaten!T$16,Bewertung_Stammdaten!S$16,IF(AR7&lt;Bewertung_Stammdaten!T$17,Bewertung_Stammdaten!S$17,IF(AR7&lt;Bewertung_Stammdaten!T$18,Bewertung_Stammdaten!S$18,IF(AR7&lt;Bewertung_Stammdaten!T$19,Bewertung_Stammdaten!S$19,Bewertung_Stammdaten!S$20)))))))))</f>
        <v>6</v>
      </c>
      <c r="AV7" s="33">
        <f ca="1">IF(AS7&lt;Bewertung_Stammdaten!F$11,Bewertung_Stammdaten!E$11,IF(AS7&lt;Bewertung_Stammdaten!F$12,Bewertung_Stammdaten!E$12,IF(AS7&lt;Bewertung_Stammdaten!F$13,Bewertung_Stammdaten!E$13,IF(AS7&lt;Bewertung_Stammdaten!F$14,Bewertung_Stammdaten!E$14,IF(AS7&lt;Bewertung_Stammdaten!F$15,Bewertung_Stammdaten!E$15,IF(AS7&lt;Bewertung_Stammdaten!F$16,Bewertung_Stammdaten!E$16,IF(AS7&lt;Bewertung_Stammdaten!F$17,Bewertung_Stammdaten!E$17,IF(AS7&lt;Bewertung_Stammdaten!F$18,Bewertung_Stammdaten!E$18,IF(AS7&lt;Bewertung_Stammdaten!F$19,Bewertung_Stammdaten!E$19,Bewertung_Stammdaten!E$20)))))))))</f>
        <v>3</v>
      </c>
      <c r="AW7" s="44"/>
      <c r="AX7" s="12">
        <f>VLOOKUP(A7,Aktien_im_Umlauf_splitbereinigt!A3:Z68,26,FALSE)</f>
        <v>0.35196078431372557</v>
      </c>
      <c r="AY7" s="12">
        <f>VLOOKUP(A7,Aktien_im_Umlauf_splitbereinigt!A3:Y68,24,FALSE)</f>
        <v>0.12876992294798517</v>
      </c>
      <c r="AZ7" s="12">
        <f>VLOOKUP(A7,Aktien_im_Umlauf_splitbereinigt!A3:Y68,25,FALSE)</f>
        <v>-99.999989999999997</v>
      </c>
      <c r="BA7" s="42">
        <f>IF(AX7&lt;Bewertung_Stammdaten!J$24,Bewertung_Stammdaten!I$24,IF(AX7&lt;Bewertung_Stammdaten!J$25,Bewertung_Stammdaten!I$25,IF(AX7&lt;Bewertung_Stammdaten!J$26,Bewertung_Stammdaten!I$26,IF(AX7&lt;Bewertung_Stammdaten!J$27,Bewertung_Stammdaten!I$27,IF(AX7&lt;Bewertung_Stammdaten!J$28,Bewertung_Stammdaten!I$28,IF(AX7&lt;Bewertung_Stammdaten!J$29,Bewertung_Stammdaten!I$29,IF(AX7&lt;Bewertung_Stammdaten!J$30,Bewertung_Stammdaten!I$30,IF(AX7&lt;Bewertung_Stammdaten!J$31,Bewertung_Stammdaten!I$31,IF(AX7&lt;Bewertung_Stammdaten!J$32,Bewertung_Stammdaten!I$32,Bewertung_Stammdaten!I$33)))))))))</f>
        <v>1</v>
      </c>
      <c r="BB7" s="42">
        <f>IF(AY7&lt;Bewertung_Stammdaten!L$24,Bewertung_Stammdaten!K$24,IF(AY7&lt;Bewertung_Stammdaten!L$25,Bewertung_Stammdaten!K$25,IF(AY7&lt;Bewertung_Stammdaten!L$26,Bewertung_Stammdaten!K$26,IF(AY7&lt;Bewertung_Stammdaten!L$27,Bewertung_Stammdaten!K$27,IF(AY7&lt;Bewertung_Stammdaten!L$28,Bewertung_Stammdaten!K$28,IF(AY7&lt;Bewertung_Stammdaten!L$29,Bewertung_Stammdaten!K$29,IF(AY7&lt;Bewertung_Stammdaten!L$30,Bewertung_Stammdaten!K$30,IF(AY7&lt;Bewertung_Stammdaten!L$31,Bewertung_Stammdaten!K$31,IF(AY7&lt;Bewertung_Stammdaten!L$32,Bewertung_Stammdaten!K$32,Bewertung_Stammdaten!K$33)))))))))</f>
        <v>1</v>
      </c>
      <c r="BC7" s="42">
        <f>IF(AZ7&lt;Bewertung_Stammdaten!N$24,Bewertung_Stammdaten!M$24,IF(AZ7&lt;Bewertung_Stammdaten!N$25,Bewertung_Stammdaten!M$25,IF(AZ7&lt;Bewertung_Stammdaten!N$26,Bewertung_Stammdaten!M$26,IF(AZ7&lt;Bewertung_Stammdaten!N$27,Bewertung_Stammdaten!M$27,IF(AZ7&lt;Bewertung_Stammdaten!N$28,Bewertung_Stammdaten!M$28,IF(AZ7&lt;Bewertung_Stammdaten!N$29,Bewertung_Stammdaten!M$29,IF(AZ7&lt;Bewertung_Stammdaten!N$30,Bewertung_Stammdaten!M$30,IF(AZ7&lt;Bewertung_Stammdaten!N$31,Bewertung_Stammdaten!M$31,IF(AZ7&lt;Bewertung_Stammdaten!N$32,Bewertung_Stammdaten!M$32,Bewertung_Stammdaten!M$33)))))))))</f>
        <v>0.5</v>
      </c>
      <c r="BD7" s="44"/>
      <c r="BE7" s="12">
        <f ca="1">VLOOKUP(A7,Ausschüttungsquote!A3:X68,23,FALSE)</f>
        <v>0.33197280373417937</v>
      </c>
      <c r="BF7" s="12">
        <f>VLOOKUP(A7,Ausschüttungsquote!A3:X68,19,FALSE)</f>
        <v>1.3293797093072877</v>
      </c>
      <c r="BG7" s="12">
        <f ca="1">VLOOKUP(A7,Ausschüttungsquote!A3:X68,24,FALSE)</f>
        <v>-0.75027992272639432</v>
      </c>
      <c r="BH7" s="33">
        <f ca="1">IF(BE7&lt;Bewertung_Stammdaten!H$11,Bewertung_Stammdaten!G$11,IF(BE7&lt;Bewertung_Stammdaten!H$12,Bewertung_Stammdaten!G$12,IF(BE7&lt;Bewertung_Stammdaten!H$13,Bewertung_Stammdaten!G$13,IF(BE7&lt;Bewertung_Stammdaten!H$14,Bewertung_Stammdaten!G$14,IF(BE7&lt;Bewertung_Stammdaten!H$15,Bewertung_Stammdaten!G$15,IF(BE7&lt;Bewertung_Stammdaten!H$16,Bewertung_Stammdaten!G$16,IF(BE7&lt;Bewertung_Stammdaten!H$17,Bewertung_Stammdaten!G$17,IF(BE7&lt;Bewertung_Stammdaten!H$18,Bewertung_Stammdaten!G$18,IF(BE7&lt;Bewertung_Stammdaten!H$19,Bewertung_Stammdaten!G$19,Bewertung_Stammdaten!G$20)))))))))</f>
        <v>10</v>
      </c>
      <c r="BI7" s="42">
        <f>IF(BF7&lt;Bewertung_Stammdaten!B$24,Bewertung_Stammdaten!A$24,IF(BF7&lt;Bewertung_Stammdaten!B$25,Bewertung_Stammdaten!A$25,IF(BF7&lt;Bewertung_Stammdaten!B$26,Bewertung_Stammdaten!A$26,IF(BF7&lt;Bewertung_Stammdaten!B$27,Bewertung_Stammdaten!A$27,IF(BF7&lt;Bewertung_Stammdaten!B$28,Bewertung_Stammdaten!A$28,IF(BF7&lt;Bewertung_Stammdaten!B$29,Bewertung_Stammdaten!A$29,IF(BF7&lt;Bewertung_Stammdaten!B$30,Bewertung_Stammdaten!A$30,IF(BF7&lt;Bewertung_Stammdaten!B$31,Bewertung_Stammdaten!A$31,IF(BF7&lt;Bewertung_Stammdaten!B$32,Bewertung_Stammdaten!A$32,Bewertung_Stammdaten!A$33)))))))))</f>
        <v>1</v>
      </c>
      <c r="BJ7" s="33">
        <f ca="1">IF(BG7&lt;Bewertung_Stammdaten!J$11,Bewertung_Stammdaten!I$11,IF(BG7&lt;Bewertung_Stammdaten!J$12,Bewertung_Stammdaten!I$12,IF(BG7&lt;Bewertung_Stammdaten!J$13,Bewertung_Stammdaten!I$13,IF(BG7&lt;Bewertung_Stammdaten!J$14,Bewertung_Stammdaten!I$14,IF(BG7&lt;Bewertung_Stammdaten!J$15,Bewertung_Stammdaten!I$15,IF(BG7&lt;Bewertung_Stammdaten!J$16,Bewertung_Stammdaten!I$16,IF(BG7&lt;Bewertung_Stammdaten!J$17,Bewertung_Stammdaten!I$17,IF(BG7&lt;Bewertung_Stammdaten!J$18,Bewertung_Stammdaten!I$18,IF(BG7&lt;Bewertung_Stammdaten!J$19,Bewertung_Stammdaten!I$19,Bewertung_Stammdaten!I$20)))))))))</f>
        <v>10</v>
      </c>
    </row>
    <row r="8" spans="1:62" x14ac:dyDescent="0.25">
      <c r="A8" s="39" t="s">
        <v>10</v>
      </c>
      <c r="B8" s="39" t="s">
        <v>11</v>
      </c>
      <c r="C8" s="33">
        <f t="shared" ca="1" si="8"/>
        <v>114.5</v>
      </c>
      <c r="D8" s="44"/>
      <c r="E8" s="11">
        <f ca="1">VLOOKUP(A8,KGV!A3:R68,17,FALSE)</f>
        <v>28.711132209826729</v>
      </c>
      <c r="F8" s="11">
        <f>VLOOKUP(A8,KGV!A3:R68,16,FALSE)</f>
        <v>24.427536231884062</v>
      </c>
      <c r="G8" s="12">
        <f ca="1">VLOOKUP(A8,KGV!A3:R68,18,FALSE)</f>
        <v>0.17535931324713383</v>
      </c>
      <c r="H8" s="16">
        <f t="shared" ca="1" si="0"/>
        <v>38.107502751224565</v>
      </c>
      <c r="I8" s="12">
        <f t="shared" ca="1" si="1"/>
        <v>0.56002236121892301</v>
      </c>
      <c r="J8" s="33">
        <f ca="1">IF(G8&lt;Bewertung_Stammdaten!B$11,Bewertung_Stammdaten!A$11,IF(G8&lt;Bewertung_Stammdaten!B$12,Bewertung_Stammdaten!A$12,IF(G8&lt;Bewertung_Stammdaten!B$13,Bewertung_Stammdaten!A$13,IF(G8&lt;Bewertung_Stammdaten!B$14,Bewertung_Stammdaten!A$14,IF(G8&lt;Bewertung_Stammdaten!B$15,Bewertung_Stammdaten!A$15,IF(G8&lt;Bewertung_Stammdaten!B$16,Bewertung_Stammdaten!A$16,IF(G8&lt;Bewertung_Stammdaten!B$17,Bewertung_Stammdaten!A$17,IF(G8&lt;Bewertung_Stammdaten!B$18,Bewertung_Stammdaten!A$18,IF(G8&lt;Bewertung_Stammdaten!B$19,Bewertung_Stammdaten!A$19,Bewertung_Stammdaten!A$20)))))))))</f>
        <v>9</v>
      </c>
      <c r="K8" s="33">
        <f ca="1">IF(I8&lt;Bewertung_Stammdaten!N$11,Bewertung_Stammdaten!M$11,IF(I8&lt;Bewertung_Stammdaten!N$12,Bewertung_Stammdaten!M$12,IF(I8&lt;Bewertung_Stammdaten!N$13,Bewertung_Stammdaten!M$13,IF(I8&lt;Bewertung_Stammdaten!N$14,Bewertung_Stammdaten!M$14,IF(I8&lt;Bewertung_Stammdaten!N$15,Bewertung_Stammdaten!M$15,IF(I8&lt;Bewertung_Stammdaten!N$16,Bewertung_Stammdaten!M$16,IF(I8&lt;Bewertung_Stammdaten!N$17,Bewertung_Stammdaten!M$17,IF(I8&lt;Bewertung_Stammdaten!N$18,Bewertung_Stammdaten!M$18,IF(I8&lt;Bewertung_Stammdaten!N$19,Bewertung_Stammdaten!M$19,Bewertung_Stammdaten!M$20)))))))))</f>
        <v>1.5</v>
      </c>
      <c r="L8" s="44"/>
      <c r="M8" s="11">
        <f ca="1">VLOOKUP(A8,Buchwert_je_Aktie!A3:AK68,23,FALSE)</f>
        <v>19.046111111111113</v>
      </c>
      <c r="N8" s="11">
        <f>VLOOKUP(A8,Buchwert_je_Aktie!A3:AK68,19,FALSE)</f>
        <v>13.090000000000002</v>
      </c>
      <c r="O8" s="12">
        <f ca="1">VLOOKUP(A8,Buchwert_je_Aktie!A3:AK68,24,FALSE)</f>
        <v>0.45501230795348446</v>
      </c>
      <c r="P8" s="12">
        <f>VLOOKUP(A8,Buchwert_je_Aktie!A3:AK68,37,FALSE)</f>
        <v>3.2786885245901676E-2</v>
      </c>
      <c r="Q8" s="16">
        <f t="shared" ca="1" si="2"/>
        <v>19.046111111111113</v>
      </c>
      <c r="R8" s="12">
        <f t="shared" ca="1" si="3"/>
        <v>0.45501230795348446</v>
      </c>
      <c r="S8" s="53">
        <f ca="1">IF(O8&lt;Bewertung_Stammdaten!D$24,Bewertung_Stammdaten!C$24,IF(O8&lt;Bewertung_Stammdaten!D$25,Bewertung_Stammdaten!C$25,IF(O8&lt;Bewertung_Stammdaten!D$26,Bewertung_Stammdaten!C$26,IF(O8&lt;Bewertung_Stammdaten!D$27,Bewertung_Stammdaten!C$27,IF(O8&lt;Bewertung_Stammdaten!D$28,Bewertung_Stammdaten!C$28,IF(O8&lt;Bewertung_Stammdaten!D$29,Bewertung_Stammdaten!C$29,IF(O8&lt;Bewertung_Stammdaten!D$30,Bewertung_Stammdaten!C$30,IF(O8&lt;Bewertung_Stammdaten!D$31,Bewertung_Stammdaten!C$31,IF(O8&lt;Bewertung_Stammdaten!D$32,Bewertung_Stammdaten!C$32,Bewertung_Stammdaten!C$33)))))))))</f>
        <v>10.5</v>
      </c>
      <c r="T8" s="53">
        <f>IF(P8&lt;Bewertung_Stammdaten!F$24,Bewertung_Stammdaten!E$24,IF(P8&lt;Bewertung_Stammdaten!F$25,Bewertung_Stammdaten!E$25,IF(P8&lt;Bewertung_Stammdaten!F$26,Bewertung_Stammdaten!E$26,IF(P8&lt;Bewertung_Stammdaten!F$27,Bewertung_Stammdaten!E$27,IF(P8&lt;Bewertung_Stammdaten!F$28,Bewertung_Stammdaten!E$28,IF(P8&lt;Bewertung_Stammdaten!F$29,Bewertung_Stammdaten!E$29,IF(P8&lt;Bewertung_Stammdaten!F$30,Bewertung_Stammdaten!E$30,IF(P8&lt;Bewertung_Stammdaten!F$31,Bewertung_Stammdaten!E$31,IF(P8&lt;Bewertung_Stammdaten!F$32,Bewertung_Stammdaten!E$32,Bewertung_Stammdaten!E$33)))))))))</f>
        <v>12</v>
      </c>
      <c r="U8" s="53">
        <f ca="1">IF(R8&lt;Bewertung_Stammdaten!H$24,Bewertung_Stammdaten!G$24,IF(R8&lt;Bewertung_Stammdaten!H$25,Bewertung_Stammdaten!G$25,IF(R8&lt;Bewertung_Stammdaten!H$26,Bewertung_Stammdaten!G$26,IF(R8&lt;Bewertung_Stammdaten!H$27,Bewertung_Stammdaten!G$27,IF(R8&lt;Bewertung_Stammdaten!H$28,Bewertung_Stammdaten!G$28,IF(R8&lt;Bewertung_Stammdaten!H$29,Bewertung_Stammdaten!G$29,IF(R8&lt;Bewertung_Stammdaten!H$30,Bewertung_Stammdaten!G$30,IF(R8&lt;Bewertung_Stammdaten!H$31,Bewertung_Stammdaten!G$31,IF(R8&lt;Bewertung_Stammdaten!H$32,Bewertung_Stammdaten!G$32,Bewertung_Stammdaten!G$33)))))))))</f>
        <v>7</v>
      </c>
      <c r="V8" s="44"/>
      <c r="W8" s="14">
        <f ca="1">VLOOKUP(A8,Ergebnis_je_Aktie_verwässert!A3:AK68,23,FALSE)</f>
        <v>2.8086666666666664</v>
      </c>
      <c r="X8" s="14">
        <f>VLOOKUP(A8,Ergebnis_je_Aktie_verwässert!A3:AK68,19,FALSE)</f>
        <v>2.1992307692307693</v>
      </c>
      <c r="Y8" s="12">
        <f ca="1">VLOOKUP(A8,Ergebnis_je_Aktie_verwässert!A3:AK68,24,FALSE)</f>
        <v>0.27711320974699771</v>
      </c>
      <c r="Z8" s="41">
        <f>VLOOKUP(A8,Ergebnis_je_Aktie_verwässert!A3:AK68,37,FALSE)</f>
        <v>-0.24657534246575341</v>
      </c>
      <c r="AA8" s="16">
        <f t="shared" ca="1" si="4"/>
        <v>2.116118721461187</v>
      </c>
      <c r="AB8" s="12">
        <f t="shared" ca="1" si="5"/>
        <v>-3.7791417313905895E-2</v>
      </c>
      <c r="AC8" s="33">
        <f ca="1">IF(Y8&lt;Bewertung_Stammdaten!L$11,Bewertung_Stammdaten!K$11,IF(Y8&lt;Bewertung_Stammdaten!L$12,Bewertung_Stammdaten!K$12,IF(Y8&lt;Bewertung_Stammdaten!L$13,Bewertung_Stammdaten!K$13,IF(Y8&lt;Bewertung_Stammdaten!L$14,Bewertung_Stammdaten!K$14,IF(Y8&lt;Bewertung_Stammdaten!L$15,Bewertung_Stammdaten!K$15,IF(Y8&lt;Bewertung_Stammdaten!L$16,Bewertung_Stammdaten!K$16,IF(Y8&lt;Bewertung_Stammdaten!L$17,Bewertung_Stammdaten!K$17,IF(Y8&lt;Bewertung_Stammdaten!L$18,Bewertung_Stammdaten!K$18,IF(Y8&lt;Bewertung_Stammdaten!L$19,Bewertung_Stammdaten!K$19,Bewertung_Stammdaten!K$20)))))))))</f>
        <v>10</v>
      </c>
      <c r="AD8" s="33">
        <f>IF(Z8&lt;Bewertung_Stammdaten!R$11,Bewertung_Stammdaten!Q$11,IF(Z8&lt;Bewertung_Stammdaten!R$12,Bewertung_Stammdaten!Q$12,IF(Z8&lt;Bewertung_Stammdaten!R$13,Bewertung_Stammdaten!Q$13,IF(Z8&lt;Bewertung_Stammdaten!R$14,Bewertung_Stammdaten!Q$14,IF(Z8&lt;Bewertung_Stammdaten!R$15,Bewertung_Stammdaten!Q$15,IF(Z8&lt;Bewertung_Stammdaten!R$16,Bewertung_Stammdaten!Q$16,IF(Z8&lt;Bewertung_Stammdaten!R$17,Bewertung_Stammdaten!Q$17,IF(Z8&lt;Bewertung_Stammdaten!R$18,Bewertung_Stammdaten!Q$18,IF(Z8&lt;Bewertung_Stammdaten!R$19,Bewertung_Stammdaten!Q$19,Bewertung_Stammdaten!Q$20)))))))))</f>
        <v>5</v>
      </c>
      <c r="AE8" s="33">
        <f ca="1">IF(AB8&lt;Bewertung_Stammdaten!P$11,Bewertung_Stammdaten!O$11,IF(AB8&lt;Bewertung_Stammdaten!P$12,Bewertung_Stammdaten!O$12,IF(AB8&lt;Bewertung_Stammdaten!P$13,Bewertung_Stammdaten!O$13,IF(AB8&lt;Bewertung_Stammdaten!P$14,Bewertung_Stammdaten!O$14,IF(AB8&lt;Bewertung_Stammdaten!P$15,Bewertung_Stammdaten!O$15,IF(AB8&lt;Bewertung_Stammdaten!P$16,Bewertung_Stammdaten!O$16,IF(AB8&lt;Bewertung_Stammdaten!P$17,Bewertung_Stammdaten!O$17,IF(AB8&lt;Bewertung_Stammdaten!P$18,Bewertung_Stammdaten!O$18,IF(AB8&lt;Bewertung_Stammdaten!P$19,Bewertung_Stammdaten!O$19,Bewertung_Stammdaten!O$20)))))))))</f>
        <v>4</v>
      </c>
      <c r="AF8" s="44"/>
      <c r="AG8" s="14">
        <f ca="1">VLOOKUP(A8,Dividende_je_Aktie!A3:AM68,24,FALSE)</f>
        <v>0.77013888888888893</v>
      </c>
      <c r="AH8" s="14">
        <f>VLOOKUP(A8,Dividende_je_Aktie!A3:AM68,20,FALSE)</f>
        <v>0.70785714285714285</v>
      </c>
      <c r="AI8" s="12">
        <f ca="1">VLOOKUP(A8,Dividende_je_Aktie!A3:AM68,25,FALSE)</f>
        <v>8.7986321336472662E-2</v>
      </c>
      <c r="AJ8" s="41">
        <f>VLOOKUP(A8,Dividende_je_Aktie!A3:AM68,39,FALSE)</f>
        <v>-0.22222222222222232</v>
      </c>
      <c r="AK8" s="16">
        <f t="shared" ca="1" si="6"/>
        <v>0.59899691358024687</v>
      </c>
      <c r="AL8" s="12">
        <f t="shared" ca="1" si="7"/>
        <v>-0.15378841673829902</v>
      </c>
      <c r="AM8" s="33">
        <f ca="1">IF(AI8&lt;Bewertung_Stammdaten!P$24,Bewertung_Stammdaten!O$24,IF(AI8&lt;Bewertung_Stammdaten!P$25,Bewertung_Stammdaten!O$25,IF(AI8&lt;Bewertung_Stammdaten!P$26,Bewertung_Stammdaten!O$26,IF(AI8&lt;Bewertung_Stammdaten!P$27,Bewertung_Stammdaten!O$27,IF(AI8&lt;Bewertung_Stammdaten!P$28,Bewertung_Stammdaten!O$28,IF(AI8&lt;Bewertung_Stammdaten!P$29,Bewertung_Stammdaten!O$29,IF(AI8&lt;Bewertung_Stammdaten!P$30,Bewertung_Stammdaten!O$30,IF(AI8&lt;Bewertung_Stammdaten!P$31,Bewertung_Stammdaten!O$31,IF(AI8&lt;Bewertung_Stammdaten!P$32,Bewertung_Stammdaten!O$32,Bewertung_Stammdaten!O$33)))))))))</f>
        <v>6</v>
      </c>
      <c r="AN8" s="33">
        <f>IF(AJ8&lt;Bewertung_Stammdaten!R$24,Bewertung_Stammdaten!Q$24,IF(AJ8&lt;Bewertung_Stammdaten!R$25,Bewertung_Stammdaten!Q$25,IF(AJ8&lt;Bewertung_Stammdaten!R$26,Bewertung_Stammdaten!Q$26,IF(AJ8&lt;Bewertung_Stammdaten!R$27,Bewertung_Stammdaten!Q$27,IF(AJ8&lt;Bewertung_Stammdaten!R$28,Bewertung_Stammdaten!Q$28,IF(AJ8&lt;Bewertung_Stammdaten!R$29,Bewertung_Stammdaten!Q$29,IF(AJ8&lt;Bewertung_Stammdaten!R$30,Bewertung_Stammdaten!Q$30,IF(AJ8&lt;Bewertung_Stammdaten!R$31,Bewertung_Stammdaten!Q$31,IF(AJ8&lt;Bewertung_Stammdaten!R$32,Bewertung_Stammdaten!Q$32,Bewertung_Stammdaten!Q$33)))))))))</f>
        <v>5</v>
      </c>
      <c r="AO8" s="33">
        <f ca="1">IF(AL8&lt;Bewertung_Stammdaten!T$24,Bewertung_Stammdaten!S$24,IF(AL8&lt;Bewertung_Stammdaten!T$25,Bewertung_Stammdaten!S$25,IF(AL8&lt;Bewertung_Stammdaten!T$26,Bewertung_Stammdaten!S$26,IF(AL8&lt;Bewertung_Stammdaten!T$27,Bewertung_Stammdaten!S$27,IF(AL8&lt;Bewertung_Stammdaten!T$28,Bewertung_Stammdaten!S$28,IF(AL8&lt;Bewertung_Stammdaten!T$29,Bewertung_Stammdaten!S$29,IF(AL8&lt;Bewertung_Stammdaten!T$30,Bewertung_Stammdaten!S$30,IF(AL8&lt;Bewertung_Stammdaten!T$31,Bewertung_Stammdaten!S$31,IF(AL8&lt;Bewertung_Stammdaten!T$32,Bewertung_Stammdaten!S$32,Bewertung_Stammdaten!S$33)))))))))</f>
        <v>2</v>
      </c>
      <c r="AP8" s="44"/>
      <c r="AQ8" s="12">
        <f ca="1">VLOOKUP(A8,Dividendenrendite!A3:R68,17,FALSE)</f>
        <v>9.5503334435626114E-3</v>
      </c>
      <c r="AR8" s="12">
        <f>VLOOKUP(A8,Dividendenrendite!A3:R68,16,FALSE)</f>
        <v>1.3893104917138459E-2</v>
      </c>
      <c r="AS8" s="12">
        <f ca="1">VLOOKUP(A8,Dividendenrendite!A3:R68,18,FALSE)</f>
        <v>-0.31258465976303307</v>
      </c>
      <c r="AT8" s="33">
        <f ca="1">IF(AQ8&lt;Bewertung_Stammdaten!D$11,Bewertung_Stammdaten!C$11,IF(AQ8&lt;Bewertung_Stammdaten!D$12,Bewertung_Stammdaten!C$12,IF(AQ8&lt;Bewertung_Stammdaten!D$13,Bewertung_Stammdaten!C$13,IF(AQ8&lt;Bewertung_Stammdaten!D$14,Bewertung_Stammdaten!C$14,IF(AQ8&lt;Bewertung_Stammdaten!D$15,Bewertung_Stammdaten!C$15,IF(AQ8&lt;Bewertung_Stammdaten!D$16,Bewertung_Stammdaten!C$16,IF(AQ8&lt;Bewertung_Stammdaten!D$17,Bewertung_Stammdaten!C$17,IF(AQ8&lt;Bewertung_Stammdaten!D$18,Bewertung_Stammdaten!C$18,IF(AQ8&lt;Bewertung_Stammdaten!D$19,Bewertung_Stammdaten!C$19,Bewertung_Stammdaten!C$20)))))))))</f>
        <v>3</v>
      </c>
      <c r="AU8" s="33">
        <f>IF(AR8&lt;Bewertung_Stammdaten!T$11,Bewertung_Stammdaten!S$11,IF(AR8&lt;Bewertung_Stammdaten!T$12,Bewertung_Stammdaten!S$12,IF(AR8&lt;Bewertung_Stammdaten!T$13,Bewertung_Stammdaten!S$13,IF(AR8&lt;Bewertung_Stammdaten!T$14,Bewertung_Stammdaten!S$14,IF(AR8&lt;Bewertung_Stammdaten!T$15,Bewertung_Stammdaten!S$15,IF(AR8&lt;Bewertung_Stammdaten!T$16,Bewertung_Stammdaten!S$16,IF(AR8&lt;Bewertung_Stammdaten!T$17,Bewertung_Stammdaten!S$17,IF(AR8&lt;Bewertung_Stammdaten!T$18,Bewertung_Stammdaten!S$18,IF(AR8&lt;Bewertung_Stammdaten!T$19,Bewertung_Stammdaten!S$19,Bewertung_Stammdaten!S$20)))))))))</f>
        <v>3</v>
      </c>
      <c r="AV8" s="33">
        <f ca="1">IF(AS8&lt;Bewertung_Stammdaten!F$11,Bewertung_Stammdaten!E$11,IF(AS8&lt;Bewertung_Stammdaten!F$12,Bewertung_Stammdaten!E$12,IF(AS8&lt;Bewertung_Stammdaten!F$13,Bewertung_Stammdaten!E$13,IF(AS8&lt;Bewertung_Stammdaten!F$14,Bewertung_Stammdaten!E$14,IF(AS8&lt;Bewertung_Stammdaten!F$15,Bewertung_Stammdaten!E$15,IF(AS8&lt;Bewertung_Stammdaten!F$16,Bewertung_Stammdaten!E$16,IF(AS8&lt;Bewertung_Stammdaten!F$17,Bewertung_Stammdaten!E$17,IF(AS8&lt;Bewertung_Stammdaten!F$18,Bewertung_Stammdaten!E$18,IF(AS8&lt;Bewertung_Stammdaten!F$19,Bewertung_Stammdaten!E$19,Bewertung_Stammdaten!E$20)))))))))</f>
        <v>0.5</v>
      </c>
      <c r="AW8" s="44"/>
      <c r="AX8" s="12">
        <f>VLOOKUP(A8,Aktien_im_Umlauf_splitbereinigt!A3:Z68,26,FALSE)</f>
        <v>0</v>
      </c>
      <c r="AY8" s="12">
        <f>VLOOKUP(A8,Aktien_im_Umlauf_splitbereinigt!A3:Y68,24,FALSE)</f>
        <v>0</v>
      </c>
      <c r="AZ8" s="12">
        <f>VLOOKUP(A8,Aktien_im_Umlauf_splitbereinigt!A3:Y68,25,FALSE)</f>
        <v>0</v>
      </c>
      <c r="BA8" s="42">
        <f>IF(AX8&lt;Bewertung_Stammdaten!J$24,Bewertung_Stammdaten!I$24,IF(AX8&lt;Bewertung_Stammdaten!J$25,Bewertung_Stammdaten!I$25,IF(AX8&lt;Bewertung_Stammdaten!J$26,Bewertung_Stammdaten!I$26,IF(AX8&lt;Bewertung_Stammdaten!J$27,Bewertung_Stammdaten!I$27,IF(AX8&lt;Bewertung_Stammdaten!J$28,Bewertung_Stammdaten!I$28,IF(AX8&lt;Bewertung_Stammdaten!J$29,Bewertung_Stammdaten!I$29,IF(AX8&lt;Bewertung_Stammdaten!J$30,Bewertung_Stammdaten!I$30,IF(AX8&lt;Bewertung_Stammdaten!J$31,Bewertung_Stammdaten!I$31,IF(AX8&lt;Bewertung_Stammdaten!J$32,Bewertung_Stammdaten!I$32,Bewertung_Stammdaten!I$33)))))))))</f>
        <v>2</v>
      </c>
      <c r="BB8" s="42">
        <f>IF(AY8&lt;Bewertung_Stammdaten!L$24,Bewertung_Stammdaten!K$24,IF(AY8&lt;Bewertung_Stammdaten!L$25,Bewertung_Stammdaten!K$25,IF(AY8&lt;Bewertung_Stammdaten!L$26,Bewertung_Stammdaten!K$26,IF(AY8&lt;Bewertung_Stammdaten!L$27,Bewertung_Stammdaten!K$27,IF(AY8&lt;Bewertung_Stammdaten!L$28,Bewertung_Stammdaten!K$28,IF(AY8&lt;Bewertung_Stammdaten!L$29,Bewertung_Stammdaten!K$29,IF(AY8&lt;Bewertung_Stammdaten!L$30,Bewertung_Stammdaten!K$30,IF(AY8&lt;Bewertung_Stammdaten!L$31,Bewertung_Stammdaten!K$31,IF(AY8&lt;Bewertung_Stammdaten!L$32,Bewertung_Stammdaten!K$32,Bewertung_Stammdaten!K$33)))))))))</f>
        <v>2</v>
      </c>
      <c r="BC8" s="42">
        <f>IF(AZ8&lt;Bewertung_Stammdaten!N$24,Bewertung_Stammdaten!M$24,IF(AZ8&lt;Bewertung_Stammdaten!N$25,Bewertung_Stammdaten!M$25,IF(AZ8&lt;Bewertung_Stammdaten!N$26,Bewertung_Stammdaten!M$26,IF(AZ8&lt;Bewertung_Stammdaten!N$27,Bewertung_Stammdaten!M$27,IF(AZ8&lt;Bewertung_Stammdaten!N$28,Bewertung_Stammdaten!M$28,IF(AZ8&lt;Bewertung_Stammdaten!N$29,Bewertung_Stammdaten!M$29,IF(AZ8&lt;Bewertung_Stammdaten!N$30,Bewertung_Stammdaten!M$30,IF(AZ8&lt;Bewertung_Stammdaten!N$31,Bewertung_Stammdaten!M$31,IF(AZ8&lt;Bewertung_Stammdaten!N$32,Bewertung_Stammdaten!M$32,Bewertung_Stammdaten!M$33)))))))))</f>
        <v>3</v>
      </c>
      <c r="BD8" s="44"/>
      <c r="BE8" s="12">
        <f ca="1">VLOOKUP(A8,Ausschüttungsquote!A3:X68,23,FALSE)</f>
        <v>0.27427495974235105</v>
      </c>
      <c r="BF8" s="12">
        <f>VLOOKUP(A8,Ausschüttungsquote!A3:X68,19,FALSE)</f>
        <v>0.33909193058361259</v>
      </c>
      <c r="BG8" s="12">
        <f ca="1">VLOOKUP(A8,Ausschüttungsquote!A3:X68,24,FALSE)</f>
        <v>-0.19114866794295216</v>
      </c>
      <c r="BH8" s="33">
        <f ca="1">IF(BE8&lt;Bewertung_Stammdaten!H$11,Bewertung_Stammdaten!G$11,IF(BE8&lt;Bewertung_Stammdaten!H$12,Bewertung_Stammdaten!G$12,IF(BE8&lt;Bewertung_Stammdaten!H$13,Bewertung_Stammdaten!G$13,IF(BE8&lt;Bewertung_Stammdaten!H$14,Bewertung_Stammdaten!G$14,IF(BE8&lt;Bewertung_Stammdaten!H$15,Bewertung_Stammdaten!G$15,IF(BE8&lt;Bewertung_Stammdaten!H$16,Bewertung_Stammdaten!G$16,IF(BE8&lt;Bewertung_Stammdaten!H$17,Bewertung_Stammdaten!G$17,IF(BE8&lt;Bewertung_Stammdaten!H$18,Bewertung_Stammdaten!G$18,IF(BE8&lt;Bewertung_Stammdaten!H$19,Bewertung_Stammdaten!G$19,Bewertung_Stammdaten!G$20)))))))))</f>
        <v>10</v>
      </c>
      <c r="BI8" s="42">
        <f>IF(BF8&lt;Bewertung_Stammdaten!B$24,Bewertung_Stammdaten!A$24,IF(BF8&lt;Bewertung_Stammdaten!B$25,Bewertung_Stammdaten!A$25,IF(BF8&lt;Bewertung_Stammdaten!B$26,Bewertung_Stammdaten!A$26,IF(BF8&lt;Bewertung_Stammdaten!B$27,Bewertung_Stammdaten!A$27,IF(BF8&lt;Bewertung_Stammdaten!B$28,Bewertung_Stammdaten!A$28,IF(BF8&lt;Bewertung_Stammdaten!B$29,Bewertung_Stammdaten!A$29,IF(BF8&lt;Bewertung_Stammdaten!B$30,Bewertung_Stammdaten!A$30,IF(BF8&lt;Bewertung_Stammdaten!B$31,Bewertung_Stammdaten!A$31,IF(BF8&lt;Bewertung_Stammdaten!B$32,Bewertung_Stammdaten!A$32,Bewertung_Stammdaten!A$33)))))))))</f>
        <v>10</v>
      </c>
      <c r="BJ8" s="33">
        <f ca="1">IF(BG8&lt;Bewertung_Stammdaten!J$11,Bewertung_Stammdaten!I$11,IF(BG8&lt;Bewertung_Stammdaten!J$12,Bewertung_Stammdaten!I$12,IF(BG8&lt;Bewertung_Stammdaten!J$13,Bewertung_Stammdaten!I$13,IF(BG8&lt;Bewertung_Stammdaten!J$14,Bewertung_Stammdaten!I$14,IF(BG8&lt;Bewertung_Stammdaten!J$15,Bewertung_Stammdaten!I$15,IF(BG8&lt;Bewertung_Stammdaten!J$16,Bewertung_Stammdaten!I$16,IF(BG8&lt;Bewertung_Stammdaten!J$17,Bewertung_Stammdaten!I$17,IF(BG8&lt;Bewertung_Stammdaten!J$18,Bewertung_Stammdaten!I$18,IF(BG8&lt;Bewertung_Stammdaten!J$19,Bewertung_Stammdaten!I$19,Bewertung_Stammdaten!I$20)))))))))</f>
        <v>9</v>
      </c>
    </row>
    <row r="9" spans="1:62" x14ac:dyDescent="0.25">
      <c r="A9" s="39" t="s">
        <v>12</v>
      </c>
      <c r="B9" s="39" t="s">
        <v>13</v>
      </c>
      <c r="C9" s="33">
        <f t="shared" ca="1" si="8"/>
        <v>91</v>
      </c>
      <c r="D9" s="44"/>
      <c r="E9" s="11">
        <f ca="1">VLOOKUP(A9,KGV!A3:R68,17,FALSE)</f>
        <v>15.58951770115627</v>
      </c>
      <c r="F9" s="11">
        <f>VLOOKUP(A9,KGV!A3:R68,16,FALSE)</f>
        <v>13.319652457757297</v>
      </c>
      <c r="G9" s="12">
        <f ca="1">VLOOKUP(A9,KGV!A3:R68,18,FALSE)</f>
        <v>0.17041474997923212</v>
      </c>
      <c r="H9" s="16">
        <f t="shared" ca="1" si="0"/>
        <v>99</v>
      </c>
      <c r="I9" s="12">
        <f t="shared" ca="1" si="1"/>
        <v>6.4326263627353812</v>
      </c>
      <c r="J9" s="33">
        <f ca="1">IF(G9&lt;Bewertung_Stammdaten!B$11,Bewertung_Stammdaten!A$11,IF(G9&lt;Bewertung_Stammdaten!B$12,Bewertung_Stammdaten!A$12,IF(G9&lt;Bewertung_Stammdaten!B$13,Bewertung_Stammdaten!A$13,IF(G9&lt;Bewertung_Stammdaten!B$14,Bewertung_Stammdaten!A$14,IF(G9&lt;Bewertung_Stammdaten!B$15,Bewertung_Stammdaten!A$15,IF(G9&lt;Bewertung_Stammdaten!B$16,Bewertung_Stammdaten!A$16,IF(G9&lt;Bewertung_Stammdaten!B$17,Bewertung_Stammdaten!A$17,IF(G9&lt;Bewertung_Stammdaten!B$18,Bewertung_Stammdaten!A$18,IF(G9&lt;Bewertung_Stammdaten!B$19,Bewertung_Stammdaten!A$19,Bewertung_Stammdaten!A$20)))))))))</f>
        <v>9</v>
      </c>
      <c r="K9" s="33">
        <f ca="1">IF(I9&lt;Bewertung_Stammdaten!N$11,Bewertung_Stammdaten!M$11,IF(I9&lt;Bewertung_Stammdaten!N$12,Bewertung_Stammdaten!M$12,IF(I9&lt;Bewertung_Stammdaten!N$13,Bewertung_Stammdaten!M$13,IF(I9&lt;Bewertung_Stammdaten!N$14,Bewertung_Stammdaten!M$14,IF(I9&lt;Bewertung_Stammdaten!N$15,Bewertung_Stammdaten!M$15,IF(I9&lt;Bewertung_Stammdaten!N$16,Bewertung_Stammdaten!M$16,IF(I9&lt;Bewertung_Stammdaten!N$17,Bewertung_Stammdaten!M$17,IF(I9&lt;Bewertung_Stammdaten!N$18,Bewertung_Stammdaten!M$18,IF(I9&lt;Bewertung_Stammdaten!N$19,Bewertung_Stammdaten!M$19,Bewertung_Stammdaten!M$20)))))))))</f>
        <v>1.5</v>
      </c>
      <c r="L9" s="44"/>
      <c r="M9" s="11">
        <f ca="1">VLOOKUP(A9,Buchwert_je_Aktie!A3:AK68,23,FALSE)</f>
        <v>8.9806111111111093</v>
      </c>
      <c r="N9" s="11">
        <f>VLOOKUP(A9,Buchwert_je_Aktie!A3:AK68,19,FALSE)</f>
        <v>8.7461538461538471</v>
      </c>
      <c r="O9" s="12">
        <f ca="1">VLOOKUP(A9,Buchwert_je_Aktie!A3:AK68,24,FALSE)</f>
        <v>2.6806899247532101E-2</v>
      </c>
      <c r="P9" s="12">
        <f>VLOOKUP(A9,Buchwert_je_Aktie!A3:AK68,37,FALSE)</f>
        <v>-0.29366812227074235</v>
      </c>
      <c r="Q9" s="16">
        <f t="shared" ca="1" si="2"/>
        <v>6.3432919092673448</v>
      </c>
      <c r="R9" s="12">
        <f t="shared" ca="1" si="3"/>
        <v>-0.27473355478913397</v>
      </c>
      <c r="S9" s="53">
        <f ca="1">IF(O9&lt;Bewertung_Stammdaten!D$24,Bewertung_Stammdaten!C$24,IF(O9&lt;Bewertung_Stammdaten!D$25,Bewertung_Stammdaten!C$25,IF(O9&lt;Bewertung_Stammdaten!D$26,Bewertung_Stammdaten!C$26,IF(O9&lt;Bewertung_Stammdaten!D$27,Bewertung_Stammdaten!C$27,IF(O9&lt;Bewertung_Stammdaten!D$28,Bewertung_Stammdaten!C$28,IF(O9&lt;Bewertung_Stammdaten!D$29,Bewertung_Stammdaten!C$29,IF(O9&lt;Bewertung_Stammdaten!D$30,Bewertung_Stammdaten!C$30,IF(O9&lt;Bewertung_Stammdaten!D$31,Bewertung_Stammdaten!C$31,IF(O9&lt;Bewertung_Stammdaten!D$32,Bewertung_Stammdaten!C$32,Bewertung_Stammdaten!C$33)))))))))</f>
        <v>4.5</v>
      </c>
      <c r="T9" s="53">
        <f>IF(P9&lt;Bewertung_Stammdaten!F$24,Bewertung_Stammdaten!E$24,IF(P9&lt;Bewertung_Stammdaten!F$25,Bewertung_Stammdaten!E$25,IF(P9&lt;Bewertung_Stammdaten!F$26,Bewertung_Stammdaten!E$26,IF(P9&lt;Bewertung_Stammdaten!F$27,Bewertung_Stammdaten!E$27,IF(P9&lt;Bewertung_Stammdaten!F$28,Bewertung_Stammdaten!E$28,IF(P9&lt;Bewertung_Stammdaten!F$29,Bewertung_Stammdaten!E$29,IF(P9&lt;Bewertung_Stammdaten!F$30,Bewertung_Stammdaten!E$30,IF(P9&lt;Bewertung_Stammdaten!F$31,Bewertung_Stammdaten!E$31,IF(P9&lt;Bewertung_Stammdaten!F$32,Bewertung_Stammdaten!E$32,Bewertung_Stammdaten!E$33)))))))))</f>
        <v>3</v>
      </c>
      <c r="U9" s="53">
        <f ca="1">IF(R9&lt;Bewertung_Stammdaten!H$24,Bewertung_Stammdaten!G$24,IF(R9&lt;Bewertung_Stammdaten!H$25,Bewertung_Stammdaten!G$25,IF(R9&lt;Bewertung_Stammdaten!H$26,Bewertung_Stammdaten!G$26,IF(R9&lt;Bewertung_Stammdaten!H$27,Bewertung_Stammdaten!G$27,IF(R9&lt;Bewertung_Stammdaten!H$28,Bewertung_Stammdaten!G$28,IF(R9&lt;Bewertung_Stammdaten!H$29,Bewertung_Stammdaten!G$29,IF(R9&lt;Bewertung_Stammdaten!H$30,Bewertung_Stammdaten!G$30,IF(R9&lt;Bewertung_Stammdaten!H$31,Bewertung_Stammdaten!G$31,IF(R9&lt;Bewertung_Stammdaten!H$32,Bewertung_Stammdaten!G$32,Bewertung_Stammdaten!G$33)))))))))</f>
        <v>1</v>
      </c>
      <c r="V9" s="44"/>
      <c r="W9" s="14">
        <f ca="1">VLOOKUP(A9,Ergebnis_je_Aktie_verwässert!A3:AK68,23,FALSE)</f>
        <v>1.8666388888888887</v>
      </c>
      <c r="X9" s="14">
        <f>VLOOKUP(A9,Ergebnis_je_Aktie_verwässert!A3:AK68,19,FALSE)</f>
        <v>1.3530769230769231</v>
      </c>
      <c r="Y9" s="12">
        <f ca="1">VLOOKUP(A9,Ergebnis_je_Aktie_verwässert!A3:AK68,24,FALSE)</f>
        <v>0.37955119701850792</v>
      </c>
      <c r="Z9" s="41">
        <f>VLOOKUP(A9,Ergebnis_je_Aktie_verwässert!A3:AK68,37,FALSE)</f>
        <v>-2.2173913043478262</v>
      </c>
      <c r="AA9" s="16">
        <f t="shared" ca="1" si="4"/>
        <v>-2.2724299516908211</v>
      </c>
      <c r="AB9" s="12">
        <f t="shared" ca="1" si="5"/>
        <v>-2.679453631152966</v>
      </c>
      <c r="AC9" s="33">
        <f ca="1">IF(Y9&lt;Bewertung_Stammdaten!L$11,Bewertung_Stammdaten!K$11,IF(Y9&lt;Bewertung_Stammdaten!L$12,Bewertung_Stammdaten!K$12,IF(Y9&lt;Bewertung_Stammdaten!L$13,Bewertung_Stammdaten!K$13,IF(Y9&lt;Bewertung_Stammdaten!L$14,Bewertung_Stammdaten!K$14,IF(Y9&lt;Bewertung_Stammdaten!L$15,Bewertung_Stammdaten!K$15,IF(Y9&lt;Bewertung_Stammdaten!L$16,Bewertung_Stammdaten!K$16,IF(Y9&lt;Bewertung_Stammdaten!L$17,Bewertung_Stammdaten!K$17,IF(Y9&lt;Bewertung_Stammdaten!L$18,Bewertung_Stammdaten!K$18,IF(Y9&lt;Bewertung_Stammdaten!L$19,Bewertung_Stammdaten!K$19,Bewertung_Stammdaten!K$20)))))))))</f>
        <v>12</v>
      </c>
      <c r="AD9" s="33">
        <f>IF(Z9&lt;Bewertung_Stammdaten!R$11,Bewertung_Stammdaten!Q$11,IF(Z9&lt;Bewertung_Stammdaten!R$12,Bewertung_Stammdaten!Q$12,IF(Z9&lt;Bewertung_Stammdaten!R$13,Bewertung_Stammdaten!Q$13,IF(Z9&lt;Bewertung_Stammdaten!R$14,Bewertung_Stammdaten!Q$14,IF(Z9&lt;Bewertung_Stammdaten!R$15,Bewertung_Stammdaten!Q$15,IF(Z9&lt;Bewertung_Stammdaten!R$16,Bewertung_Stammdaten!Q$16,IF(Z9&lt;Bewertung_Stammdaten!R$17,Bewertung_Stammdaten!Q$17,IF(Z9&lt;Bewertung_Stammdaten!R$18,Bewertung_Stammdaten!Q$18,IF(Z9&lt;Bewertung_Stammdaten!R$19,Bewertung_Stammdaten!Q$19,Bewertung_Stammdaten!Q$20)))))))))</f>
        <v>1</v>
      </c>
      <c r="AE9" s="33">
        <f ca="1">IF(AB9&lt;Bewertung_Stammdaten!P$11,Bewertung_Stammdaten!O$11,IF(AB9&lt;Bewertung_Stammdaten!P$12,Bewertung_Stammdaten!O$12,IF(AB9&lt;Bewertung_Stammdaten!P$13,Bewertung_Stammdaten!O$13,IF(AB9&lt;Bewertung_Stammdaten!P$14,Bewertung_Stammdaten!O$14,IF(AB9&lt;Bewertung_Stammdaten!P$15,Bewertung_Stammdaten!O$15,IF(AB9&lt;Bewertung_Stammdaten!P$16,Bewertung_Stammdaten!O$16,IF(AB9&lt;Bewertung_Stammdaten!P$17,Bewertung_Stammdaten!O$17,IF(AB9&lt;Bewertung_Stammdaten!P$18,Bewertung_Stammdaten!O$18,IF(AB9&lt;Bewertung_Stammdaten!P$19,Bewertung_Stammdaten!O$19,Bewertung_Stammdaten!O$20)))))))))</f>
        <v>1</v>
      </c>
      <c r="AF9" s="44"/>
      <c r="AG9" s="14">
        <f ca="1">VLOOKUP(A9,Dividende_je_Aktie!A3:AM68,24,FALSE)</f>
        <v>0.97230555555555553</v>
      </c>
      <c r="AH9" s="14">
        <f>VLOOKUP(A9,Dividende_je_Aktie!A3:AM68,20,FALSE)</f>
        <v>0.77428571428571424</v>
      </c>
      <c r="AI9" s="12">
        <f ca="1">VLOOKUP(A9,Dividende_je_Aktie!A3:AM68,25,FALSE)</f>
        <v>0.25574518245182465</v>
      </c>
      <c r="AJ9" s="41">
        <f>VLOOKUP(A9,Dividende_je_Aktie!A3:AM68,39,FALSE)</f>
        <v>-0.33333333333333337</v>
      </c>
      <c r="AK9" s="16">
        <f t="shared" ca="1" si="6"/>
        <v>0.64820370370370362</v>
      </c>
      <c r="AL9" s="12">
        <f t="shared" ca="1" si="7"/>
        <v>-0.16283654503211709</v>
      </c>
      <c r="AM9" s="33">
        <f ca="1">IF(AI9&lt;Bewertung_Stammdaten!P$24,Bewertung_Stammdaten!O$24,IF(AI9&lt;Bewertung_Stammdaten!P$25,Bewertung_Stammdaten!O$25,IF(AI9&lt;Bewertung_Stammdaten!P$26,Bewertung_Stammdaten!O$26,IF(AI9&lt;Bewertung_Stammdaten!P$27,Bewertung_Stammdaten!O$27,IF(AI9&lt;Bewertung_Stammdaten!P$28,Bewertung_Stammdaten!O$28,IF(AI9&lt;Bewertung_Stammdaten!P$29,Bewertung_Stammdaten!O$29,IF(AI9&lt;Bewertung_Stammdaten!P$30,Bewertung_Stammdaten!O$30,IF(AI9&lt;Bewertung_Stammdaten!P$31,Bewertung_Stammdaten!O$31,IF(AI9&lt;Bewertung_Stammdaten!P$32,Bewertung_Stammdaten!O$32,Bewertung_Stammdaten!O$33)))))))))</f>
        <v>10</v>
      </c>
      <c r="AN9" s="33">
        <f>IF(AJ9&lt;Bewertung_Stammdaten!R$24,Bewertung_Stammdaten!Q$24,IF(AJ9&lt;Bewertung_Stammdaten!R$25,Bewertung_Stammdaten!Q$25,IF(AJ9&lt;Bewertung_Stammdaten!R$26,Bewertung_Stammdaten!Q$26,IF(AJ9&lt;Bewertung_Stammdaten!R$27,Bewertung_Stammdaten!Q$27,IF(AJ9&lt;Bewertung_Stammdaten!R$28,Bewertung_Stammdaten!Q$28,IF(AJ9&lt;Bewertung_Stammdaten!R$29,Bewertung_Stammdaten!Q$29,IF(AJ9&lt;Bewertung_Stammdaten!R$30,Bewertung_Stammdaten!Q$30,IF(AJ9&lt;Bewertung_Stammdaten!R$31,Bewertung_Stammdaten!Q$31,IF(AJ9&lt;Bewertung_Stammdaten!R$32,Bewertung_Stammdaten!Q$32,Bewertung_Stammdaten!Q$33)))))))))</f>
        <v>4</v>
      </c>
      <c r="AO9" s="33">
        <f ca="1">IF(AL9&lt;Bewertung_Stammdaten!T$24,Bewertung_Stammdaten!S$24,IF(AL9&lt;Bewertung_Stammdaten!T$25,Bewertung_Stammdaten!S$25,IF(AL9&lt;Bewertung_Stammdaten!T$26,Bewertung_Stammdaten!S$26,IF(AL9&lt;Bewertung_Stammdaten!T$27,Bewertung_Stammdaten!S$27,IF(AL9&lt;Bewertung_Stammdaten!T$28,Bewertung_Stammdaten!S$28,IF(AL9&lt;Bewertung_Stammdaten!T$29,Bewertung_Stammdaten!S$29,IF(AL9&lt;Bewertung_Stammdaten!T$30,Bewertung_Stammdaten!S$30,IF(AL9&lt;Bewertung_Stammdaten!T$31,Bewertung_Stammdaten!S$31,IF(AL9&lt;Bewertung_Stammdaten!T$32,Bewertung_Stammdaten!S$32,Bewertung_Stammdaten!S$33)))))))))</f>
        <v>2</v>
      </c>
      <c r="AP9" s="44"/>
      <c r="AQ9" s="12">
        <f ca="1">VLOOKUP(A9,Dividendenrendite!A3:R68,17,FALSE)</f>
        <v>3.3412562046582661E-2</v>
      </c>
      <c r="AR9" s="12">
        <f>VLOOKUP(A9,Dividendenrendite!A3:R68,16,FALSE)</f>
        <v>3.9439860933711116E-2</v>
      </c>
      <c r="AS9" s="12">
        <f ca="1">VLOOKUP(A9,Dividendenrendite!A3:R68,18,FALSE)</f>
        <v>-0.1528225187522565</v>
      </c>
      <c r="AT9" s="33">
        <f ca="1">IF(AQ9&lt;Bewertung_Stammdaten!D$11,Bewertung_Stammdaten!C$11,IF(AQ9&lt;Bewertung_Stammdaten!D$12,Bewertung_Stammdaten!C$12,IF(AQ9&lt;Bewertung_Stammdaten!D$13,Bewertung_Stammdaten!C$13,IF(AQ9&lt;Bewertung_Stammdaten!D$14,Bewertung_Stammdaten!C$14,IF(AQ9&lt;Bewertung_Stammdaten!D$15,Bewertung_Stammdaten!C$15,IF(AQ9&lt;Bewertung_Stammdaten!D$16,Bewertung_Stammdaten!C$16,IF(AQ9&lt;Bewertung_Stammdaten!D$17,Bewertung_Stammdaten!C$17,IF(AQ9&lt;Bewertung_Stammdaten!D$18,Bewertung_Stammdaten!C$18,IF(AQ9&lt;Bewertung_Stammdaten!D$19,Bewertung_Stammdaten!C$19,Bewertung_Stammdaten!C$20)))))))))</f>
        <v>10.5</v>
      </c>
      <c r="AU9" s="33">
        <f>IF(AR9&lt;Bewertung_Stammdaten!T$11,Bewertung_Stammdaten!S$11,IF(AR9&lt;Bewertung_Stammdaten!T$12,Bewertung_Stammdaten!S$12,IF(AR9&lt;Bewertung_Stammdaten!T$13,Bewertung_Stammdaten!S$13,IF(AR9&lt;Bewertung_Stammdaten!T$14,Bewertung_Stammdaten!S$14,IF(AR9&lt;Bewertung_Stammdaten!T$15,Bewertung_Stammdaten!S$15,IF(AR9&lt;Bewertung_Stammdaten!T$16,Bewertung_Stammdaten!S$16,IF(AR9&lt;Bewertung_Stammdaten!T$17,Bewertung_Stammdaten!S$17,IF(AR9&lt;Bewertung_Stammdaten!T$18,Bewertung_Stammdaten!S$18,IF(AR9&lt;Bewertung_Stammdaten!T$19,Bewertung_Stammdaten!S$19,Bewertung_Stammdaten!S$20)))))))))</f>
        <v>8</v>
      </c>
      <c r="AV9" s="33">
        <f ca="1">IF(AS9&lt;Bewertung_Stammdaten!F$11,Bewertung_Stammdaten!E$11,IF(AS9&lt;Bewertung_Stammdaten!F$12,Bewertung_Stammdaten!E$12,IF(AS9&lt;Bewertung_Stammdaten!F$13,Bewertung_Stammdaten!E$13,IF(AS9&lt;Bewertung_Stammdaten!F$14,Bewertung_Stammdaten!E$14,IF(AS9&lt;Bewertung_Stammdaten!F$15,Bewertung_Stammdaten!E$15,IF(AS9&lt;Bewertung_Stammdaten!F$16,Bewertung_Stammdaten!E$16,IF(AS9&lt;Bewertung_Stammdaten!F$17,Bewertung_Stammdaten!E$17,IF(AS9&lt;Bewertung_Stammdaten!F$18,Bewertung_Stammdaten!E$18,IF(AS9&lt;Bewertung_Stammdaten!F$19,Bewertung_Stammdaten!E$19,Bewertung_Stammdaten!E$20)))))))))</f>
        <v>1</v>
      </c>
      <c r="AW9" s="44"/>
      <c r="AX9" s="12">
        <f>VLOOKUP(A9,Aktien_im_Umlauf_splitbereinigt!A3:Z68,26,FALSE)</f>
        <v>1.6542597187758634E-3</v>
      </c>
      <c r="AY9" s="12">
        <f>VLOOKUP(A9,Aktien_im_Umlauf_splitbereinigt!A3:Y68,24,FALSE)</f>
        <v>1.6686401696157649E-3</v>
      </c>
      <c r="AZ9" s="12">
        <f>VLOOKUP(A9,Aktien_im_Umlauf_splitbereinigt!A3:Y68,25,FALSE)</f>
        <v>-99.999989999999997</v>
      </c>
      <c r="BA9" s="42">
        <f>IF(AX9&lt;Bewertung_Stammdaten!J$24,Bewertung_Stammdaten!I$24,IF(AX9&lt;Bewertung_Stammdaten!J$25,Bewertung_Stammdaten!I$25,IF(AX9&lt;Bewertung_Stammdaten!J$26,Bewertung_Stammdaten!I$26,IF(AX9&lt;Bewertung_Stammdaten!J$27,Bewertung_Stammdaten!I$27,IF(AX9&lt;Bewertung_Stammdaten!J$28,Bewertung_Stammdaten!I$28,IF(AX9&lt;Bewertung_Stammdaten!J$29,Bewertung_Stammdaten!I$29,IF(AX9&lt;Bewertung_Stammdaten!J$30,Bewertung_Stammdaten!I$30,IF(AX9&lt;Bewertung_Stammdaten!J$31,Bewertung_Stammdaten!I$31,IF(AX9&lt;Bewertung_Stammdaten!J$32,Bewertung_Stammdaten!I$32,Bewertung_Stammdaten!I$33)))))))))</f>
        <v>2</v>
      </c>
      <c r="BB9" s="42">
        <f>IF(AY9&lt;Bewertung_Stammdaten!L$24,Bewertung_Stammdaten!K$24,IF(AY9&lt;Bewertung_Stammdaten!L$25,Bewertung_Stammdaten!K$25,IF(AY9&lt;Bewertung_Stammdaten!L$26,Bewertung_Stammdaten!K$26,IF(AY9&lt;Bewertung_Stammdaten!L$27,Bewertung_Stammdaten!K$27,IF(AY9&lt;Bewertung_Stammdaten!L$28,Bewertung_Stammdaten!K$28,IF(AY9&lt;Bewertung_Stammdaten!L$29,Bewertung_Stammdaten!K$29,IF(AY9&lt;Bewertung_Stammdaten!L$30,Bewertung_Stammdaten!K$30,IF(AY9&lt;Bewertung_Stammdaten!L$31,Bewertung_Stammdaten!K$31,IF(AY9&lt;Bewertung_Stammdaten!L$32,Bewertung_Stammdaten!K$32,Bewertung_Stammdaten!K$33)))))))))</f>
        <v>2</v>
      </c>
      <c r="BC9" s="42">
        <f>IF(AZ9&lt;Bewertung_Stammdaten!N$24,Bewertung_Stammdaten!M$24,IF(AZ9&lt;Bewertung_Stammdaten!N$25,Bewertung_Stammdaten!M$25,IF(AZ9&lt;Bewertung_Stammdaten!N$26,Bewertung_Stammdaten!M$26,IF(AZ9&lt;Bewertung_Stammdaten!N$27,Bewertung_Stammdaten!M$27,IF(AZ9&lt;Bewertung_Stammdaten!N$28,Bewertung_Stammdaten!M$28,IF(AZ9&lt;Bewertung_Stammdaten!N$29,Bewertung_Stammdaten!M$29,IF(AZ9&lt;Bewertung_Stammdaten!N$30,Bewertung_Stammdaten!M$30,IF(AZ9&lt;Bewertung_Stammdaten!N$31,Bewertung_Stammdaten!M$31,IF(AZ9&lt;Bewertung_Stammdaten!N$32,Bewertung_Stammdaten!M$32,Bewertung_Stammdaten!M$33)))))))))</f>
        <v>0.5</v>
      </c>
      <c r="BD9" s="44"/>
      <c r="BE9" s="12">
        <f ca="1">VLOOKUP(A9,Ausschüttungsquote!A3:X68,23,FALSE)</f>
        <v>0.52098342714196377</v>
      </c>
      <c r="BF9" s="12">
        <f>VLOOKUP(A9,Ausschüttungsquote!A3:X68,19,FALSE)</f>
        <v>1.2954726082175492</v>
      </c>
      <c r="BG9" s="12">
        <f ca="1">VLOOKUP(A9,Ausschüttungsquote!A3:X68,24,FALSE)</f>
        <v>-0.59784296183707897</v>
      </c>
      <c r="BH9" s="33">
        <f ca="1">IF(BE9&lt;Bewertung_Stammdaten!H$11,Bewertung_Stammdaten!G$11,IF(BE9&lt;Bewertung_Stammdaten!H$12,Bewertung_Stammdaten!G$12,IF(BE9&lt;Bewertung_Stammdaten!H$13,Bewertung_Stammdaten!G$13,IF(BE9&lt;Bewertung_Stammdaten!H$14,Bewertung_Stammdaten!G$14,IF(BE9&lt;Bewertung_Stammdaten!H$15,Bewertung_Stammdaten!G$15,IF(BE9&lt;Bewertung_Stammdaten!H$16,Bewertung_Stammdaten!G$16,IF(BE9&lt;Bewertung_Stammdaten!H$17,Bewertung_Stammdaten!G$17,IF(BE9&lt;Bewertung_Stammdaten!H$18,Bewertung_Stammdaten!G$18,IF(BE9&lt;Bewertung_Stammdaten!H$19,Bewertung_Stammdaten!G$19,Bewertung_Stammdaten!G$20)))))))))</f>
        <v>7</v>
      </c>
      <c r="BI9" s="42">
        <f>IF(BF9&lt;Bewertung_Stammdaten!B$24,Bewertung_Stammdaten!A$24,IF(BF9&lt;Bewertung_Stammdaten!B$25,Bewertung_Stammdaten!A$25,IF(BF9&lt;Bewertung_Stammdaten!B$26,Bewertung_Stammdaten!A$26,IF(BF9&lt;Bewertung_Stammdaten!B$27,Bewertung_Stammdaten!A$27,IF(BF9&lt;Bewertung_Stammdaten!B$28,Bewertung_Stammdaten!A$28,IF(BF9&lt;Bewertung_Stammdaten!B$29,Bewertung_Stammdaten!A$29,IF(BF9&lt;Bewertung_Stammdaten!B$30,Bewertung_Stammdaten!A$30,IF(BF9&lt;Bewertung_Stammdaten!B$31,Bewertung_Stammdaten!A$31,IF(BF9&lt;Bewertung_Stammdaten!B$32,Bewertung_Stammdaten!A$32,Bewertung_Stammdaten!A$33)))))))))</f>
        <v>1</v>
      </c>
      <c r="BJ9" s="33">
        <f ca="1">IF(BG9&lt;Bewertung_Stammdaten!J$11,Bewertung_Stammdaten!I$11,IF(BG9&lt;Bewertung_Stammdaten!J$12,Bewertung_Stammdaten!I$12,IF(BG9&lt;Bewertung_Stammdaten!J$13,Bewertung_Stammdaten!I$13,IF(BG9&lt;Bewertung_Stammdaten!J$14,Bewertung_Stammdaten!I$14,IF(BG9&lt;Bewertung_Stammdaten!J$15,Bewertung_Stammdaten!I$15,IF(BG9&lt;Bewertung_Stammdaten!J$16,Bewertung_Stammdaten!I$16,IF(BG9&lt;Bewertung_Stammdaten!J$17,Bewertung_Stammdaten!I$17,IF(BG9&lt;Bewertung_Stammdaten!J$18,Bewertung_Stammdaten!I$18,IF(BG9&lt;Bewertung_Stammdaten!J$19,Bewertung_Stammdaten!I$19,Bewertung_Stammdaten!I$20)))))))))</f>
        <v>10</v>
      </c>
    </row>
    <row r="10" spans="1:62" x14ac:dyDescent="0.25">
      <c r="A10" s="39" t="s">
        <v>14</v>
      </c>
      <c r="B10" s="39" t="s">
        <v>15</v>
      </c>
      <c r="C10" s="33">
        <f t="shared" ca="1" si="8"/>
        <v>60</v>
      </c>
      <c r="D10" s="44"/>
      <c r="E10" s="11">
        <f ca="1">VLOOKUP(A10,KGV!A3:R68,17,FALSE)</f>
        <v>26.291359707022103</v>
      </c>
      <c r="F10" s="11">
        <f>VLOOKUP(A10,KGV!A3:R68,16,FALSE)</f>
        <v>15.644444444444444</v>
      </c>
      <c r="G10" s="12">
        <f ca="1">VLOOKUP(A10,KGV!A3:R68,18,FALSE)</f>
        <v>0.68055566309090154</v>
      </c>
      <c r="H10" s="16">
        <f t="shared" ca="1" si="0"/>
        <v>34.293077878724482</v>
      </c>
      <c r="I10" s="12">
        <f t="shared" ca="1" si="1"/>
        <v>1.1920291257707412</v>
      </c>
      <c r="J10" s="33">
        <f ca="1">IF(G10&lt;Bewertung_Stammdaten!B$11,Bewertung_Stammdaten!A$11,IF(G10&lt;Bewertung_Stammdaten!B$12,Bewertung_Stammdaten!A$12,IF(G10&lt;Bewertung_Stammdaten!B$13,Bewertung_Stammdaten!A$13,IF(G10&lt;Bewertung_Stammdaten!B$14,Bewertung_Stammdaten!A$14,IF(G10&lt;Bewertung_Stammdaten!B$15,Bewertung_Stammdaten!A$15,IF(G10&lt;Bewertung_Stammdaten!B$16,Bewertung_Stammdaten!A$16,IF(G10&lt;Bewertung_Stammdaten!B$17,Bewertung_Stammdaten!A$17,IF(G10&lt;Bewertung_Stammdaten!B$18,Bewertung_Stammdaten!A$18,IF(G10&lt;Bewertung_Stammdaten!B$19,Bewertung_Stammdaten!A$19,Bewertung_Stammdaten!A$20)))))))))</f>
        <v>3</v>
      </c>
      <c r="K10" s="33">
        <f ca="1">IF(I10&lt;Bewertung_Stammdaten!N$11,Bewertung_Stammdaten!M$11,IF(I10&lt;Bewertung_Stammdaten!N$12,Bewertung_Stammdaten!M$12,IF(I10&lt;Bewertung_Stammdaten!N$13,Bewertung_Stammdaten!M$13,IF(I10&lt;Bewertung_Stammdaten!N$14,Bewertung_Stammdaten!M$14,IF(I10&lt;Bewertung_Stammdaten!N$15,Bewertung_Stammdaten!M$15,IF(I10&lt;Bewertung_Stammdaten!N$16,Bewertung_Stammdaten!M$16,IF(I10&lt;Bewertung_Stammdaten!N$17,Bewertung_Stammdaten!M$17,IF(I10&lt;Bewertung_Stammdaten!N$18,Bewertung_Stammdaten!M$18,IF(I10&lt;Bewertung_Stammdaten!N$19,Bewertung_Stammdaten!M$19,Bewertung_Stammdaten!M$20)))))))))</f>
        <v>1.5</v>
      </c>
      <c r="L10" s="44"/>
      <c r="M10" s="11">
        <f ca="1">VLOOKUP(A10,Buchwert_je_Aktie!A3:AK68,23,FALSE)</f>
        <v>6.2723055555555565</v>
      </c>
      <c r="N10" s="11">
        <f>VLOOKUP(A10,Buchwert_je_Aktie!A3:AK68,19,FALSE)</f>
        <v>8.754615384615386</v>
      </c>
      <c r="O10" s="12">
        <f ca="1">VLOOKUP(A10,Buchwert_je_Aktie!A3:AK68,24,FALSE)</f>
        <v>-0.28354299075457146</v>
      </c>
      <c r="P10" s="12">
        <f>VLOOKUP(A10,Buchwert_je_Aktie!A3:AK68,37,FALSE)</f>
        <v>-0.23484848484848486</v>
      </c>
      <c r="Q10" s="16">
        <f t="shared" ca="1" si="2"/>
        <v>4.7992640993266003</v>
      </c>
      <c r="R10" s="12">
        <f t="shared" ca="1" si="3"/>
        <v>-0.45180183383493722</v>
      </c>
      <c r="S10" s="53">
        <f ca="1">IF(O10&lt;Bewertung_Stammdaten!D$24,Bewertung_Stammdaten!C$24,IF(O10&lt;Bewertung_Stammdaten!D$25,Bewertung_Stammdaten!C$25,IF(O10&lt;Bewertung_Stammdaten!D$26,Bewertung_Stammdaten!C$26,IF(O10&lt;Bewertung_Stammdaten!D$27,Bewertung_Stammdaten!C$27,IF(O10&lt;Bewertung_Stammdaten!D$28,Bewertung_Stammdaten!C$28,IF(O10&lt;Bewertung_Stammdaten!D$29,Bewertung_Stammdaten!C$29,IF(O10&lt;Bewertung_Stammdaten!D$30,Bewertung_Stammdaten!C$30,IF(O10&lt;Bewertung_Stammdaten!D$31,Bewertung_Stammdaten!C$31,IF(O10&lt;Bewertung_Stammdaten!D$32,Bewertung_Stammdaten!C$32,Bewertung_Stammdaten!C$33)))))))))</f>
        <v>1.5</v>
      </c>
      <c r="T10" s="53">
        <f>IF(P10&lt;Bewertung_Stammdaten!F$24,Bewertung_Stammdaten!E$24,IF(P10&lt;Bewertung_Stammdaten!F$25,Bewertung_Stammdaten!E$25,IF(P10&lt;Bewertung_Stammdaten!F$26,Bewertung_Stammdaten!E$26,IF(P10&lt;Bewertung_Stammdaten!F$27,Bewertung_Stammdaten!E$27,IF(P10&lt;Bewertung_Stammdaten!F$28,Bewertung_Stammdaten!E$28,IF(P10&lt;Bewertung_Stammdaten!F$29,Bewertung_Stammdaten!E$29,IF(P10&lt;Bewertung_Stammdaten!F$30,Bewertung_Stammdaten!E$30,IF(P10&lt;Bewertung_Stammdaten!F$31,Bewertung_Stammdaten!E$31,IF(P10&lt;Bewertung_Stammdaten!F$32,Bewertung_Stammdaten!E$32,Bewertung_Stammdaten!E$33)))))))))</f>
        <v>4.5</v>
      </c>
      <c r="U10" s="53">
        <f ca="1">IF(R10&lt;Bewertung_Stammdaten!H$24,Bewertung_Stammdaten!G$24,IF(R10&lt;Bewertung_Stammdaten!H$25,Bewertung_Stammdaten!G$25,IF(R10&lt;Bewertung_Stammdaten!H$26,Bewertung_Stammdaten!G$26,IF(R10&lt;Bewertung_Stammdaten!H$27,Bewertung_Stammdaten!G$27,IF(R10&lt;Bewertung_Stammdaten!H$28,Bewertung_Stammdaten!G$28,IF(R10&lt;Bewertung_Stammdaten!H$29,Bewertung_Stammdaten!G$29,IF(R10&lt;Bewertung_Stammdaten!H$30,Bewertung_Stammdaten!G$30,IF(R10&lt;Bewertung_Stammdaten!H$31,Bewertung_Stammdaten!G$31,IF(R10&lt;Bewertung_Stammdaten!H$32,Bewertung_Stammdaten!G$32,Bewertung_Stammdaten!G$33)))))))))</f>
        <v>1</v>
      </c>
      <c r="V10" s="44"/>
      <c r="W10" s="14">
        <f ca="1">VLOOKUP(A10,Ergebnis_je_Aktie_verwässert!A3:AK68,23,FALSE)</f>
        <v>0.65230555555555547</v>
      </c>
      <c r="X10" s="14">
        <f>VLOOKUP(A10,Ergebnis_je_Aktie_verwässert!A3:AK68,19,FALSE)</f>
        <v>0.74923076923076926</v>
      </c>
      <c r="Y10" s="12">
        <f ca="1">VLOOKUP(A10,Ergebnis_je_Aktie_verwässert!A3:AK68,24,FALSE)</f>
        <v>-0.12936630161989515</v>
      </c>
      <c r="Z10" s="41">
        <f>VLOOKUP(A10,Ergebnis_je_Aktie_verwässert!A3:AK68,37,FALSE)</f>
        <v>-0.23333333333333339</v>
      </c>
      <c r="AA10" s="16">
        <f t="shared" ca="1" si="4"/>
        <v>0.50010092592592581</v>
      </c>
      <c r="AB10" s="12">
        <f t="shared" ca="1" si="5"/>
        <v>-0.33251416457525307</v>
      </c>
      <c r="AC10" s="33">
        <f ca="1">IF(Y10&lt;Bewertung_Stammdaten!L$11,Bewertung_Stammdaten!K$11,IF(Y10&lt;Bewertung_Stammdaten!L$12,Bewertung_Stammdaten!K$12,IF(Y10&lt;Bewertung_Stammdaten!L$13,Bewertung_Stammdaten!K$13,IF(Y10&lt;Bewertung_Stammdaten!L$14,Bewertung_Stammdaten!K$14,IF(Y10&lt;Bewertung_Stammdaten!L$15,Bewertung_Stammdaten!K$15,IF(Y10&lt;Bewertung_Stammdaten!L$16,Bewertung_Stammdaten!K$16,IF(Y10&lt;Bewertung_Stammdaten!L$17,Bewertung_Stammdaten!K$17,IF(Y10&lt;Bewertung_Stammdaten!L$18,Bewertung_Stammdaten!K$18,IF(Y10&lt;Bewertung_Stammdaten!L$19,Bewertung_Stammdaten!K$19,Bewertung_Stammdaten!K$20)))))))))</f>
        <v>2</v>
      </c>
      <c r="AD10" s="33">
        <f>IF(Z10&lt;Bewertung_Stammdaten!R$11,Bewertung_Stammdaten!Q$11,IF(Z10&lt;Bewertung_Stammdaten!R$12,Bewertung_Stammdaten!Q$12,IF(Z10&lt;Bewertung_Stammdaten!R$13,Bewertung_Stammdaten!Q$13,IF(Z10&lt;Bewertung_Stammdaten!R$14,Bewertung_Stammdaten!Q$14,IF(Z10&lt;Bewertung_Stammdaten!R$15,Bewertung_Stammdaten!Q$15,IF(Z10&lt;Bewertung_Stammdaten!R$16,Bewertung_Stammdaten!Q$16,IF(Z10&lt;Bewertung_Stammdaten!R$17,Bewertung_Stammdaten!Q$17,IF(Z10&lt;Bewertung_Stammdaten!R$18,Bewertung_Stammdaten!Q$18,IF(Z10&lt;Bewertung_Stammdaten!R$19,Bewertung_Stammdaten!Q$19,Bewertung_Stammdaten!Q$20)))))))))</f>
        <v>5</v>
      </c>
      <c r="AE10" s="33">
        <f ca="1">IF(AB10&lt;Bewertung_Stammdaten!P$11,Bewertung_Stammdaten!O$11,IF(AB10&lt;Bewertung_Stammdaten!P$12,Bewertung_Stammdaten!O$12,IF(AB10&lt;Bewertung_Stammdaten!P$13,Bewertung_Stammdaten!O$13,IF(AB10&lt;Bewertung_Stammdaten!P$14,Bewertung_Stammdaten!O$14,IF(AB10&lt;Bewertung_Stammdaten!P$15,Bewertung_Stammdaten!O$15,IF(AB10&lt;Bewertung_Stammdaten!P$16,Bewertung_Stammdaten!O$16,IF(AB10&lt;Bewertung_Stammdaten!P$17,Bewertung_Stammdaten!O$17,IF(AB10&lt;Bewertung_Stammdaten!P$18,Bewertung_Stammdaten!O$18,IF(AB10&lt;Bewertung_Stammdaten!P$19,Bewertung_Stammdaten!O$19,Bewertung_Stammdaten!O$20)))))))))</f>
        <v>1</v>
      </c>
      <c r="AF10" s="44"/>
      <c r="AG10" s="14">
        <f ca="1">VLOOKUP(A10,Dividende_je_Aktie!A3:AM68,24,FALSE)</f>
        <v>0.54013888888888884</v>
      </c>
      <c r="AH10" s="14">
        <f>VLOOKUP(A10,Dividende_je_Aktie!A3:AM68,20,FALSE)</f>
        <v>0.65857142857142859</v>
      </c>
      <c r="AI10" s="12">
        <f ca="1">VLOOKUP(A10,Dividende_je_Aktie!A3:AM68,25,FALSE)</f>
        <v>-0.17983248975656796</v>
      </c>
      <c r="AJ10" s="41">
        <f>VLOOKUP(A10,Dividende_je_Aktie!A3:AM68,39,FALSE)</f>
        <v>-0.2857142857142857</v>
      </c>
      <c r="AK10" s="16">
        <f t="shared" ca="1" si="6"/>
        <v>0.38581349206349203</v>
      </c>
      <c r="AL10" s="12">
        <f t="shared" ca="1" si="7"/>
        <v>-0.41416606411183421</v>
      </c>
      <c r="AM10" s="33">
        <f ca="1">IF(AI10&lt;Bewertung_Stammdaten!P$24,Bewertung_Stammdaten!O$24,IF(AI10&lt;Bewertung_Stammdaten!P$25,Bewertung_Stammdaten!O$25,IF(AI10&lt;Bewertung_Stammdaten!P$26,Bewertung_Stammdaten!O$26,IF(AI10&lt;Bewertung_Stammdaten!P$27,Bewertung_Stammdaten!O$27,IF(AI10&lt;Bewertung_Stammdaten!P$28,Bewertung_Stammdaten!O$28,IF(AI10&lt;Bewertung_Stammdaten!P$29,Bewertung_Stammdaten!O$29,IF(AI10&lt;Bewertung_Stammdaten!P$30,Bewertung_Stammdaten!O$30,IF(AI10&lt;Bewertung_Stammdaten!P$31,Bewertung_Stammdaten!O$31,IF(AI10&lt;Bewertung_Stammdaten!P$32,Bewertung_Stammdaten!O$32,Bewertung_Stammdaten!O$33)))))))))</f>
        <v>2</v>
      </c>
      <c r="AN10" s="33">
        <f>IF(AJ10&lt;Bewertung_Stammdaten!R$24,Bewertung_Stammdaten!Q$24,IF(AJ10&lt;Bewertung_Stammdaten!R$25,Bewertung_Stammdaten!Q$25,IF(AJ10&lt;Bewertung_Stammdaten!R$26,Bewertung_Stammdaten!Q$26,IF(AJ10&lt;Bewertung_Stammdaten!R$27,Bewertung_Stammdaten!Q$27,IF(AJ10&lt;Bewertung_Stammdaten!R$28,Bewertung_Stammdaten!Q$28,IF(AJ10&lt;Bewertung_Stammdaten!R$29,Bewertung_Stammdaten!Q$29,IF(AJ10&lt;Bewertung_Stammdaten!R$30,Bewertung_Stammdaten!Q$30,IF(AJ10&lt;Bewertung_Stammdaten!R$31,Bewertung_Stammdaten!Q$31,IF(AJ10&lt;Bewertung_Stammdaten!R$32,Bewertung_Stammdaten!Q$32,Bewertung_Stammdaten!Q$33)))))))))</f>
        <v>5</v>
      </c>
      <c r="AO10" s="33">
        <f ca="1">IF(AL10&lt;Bewertung_Stammdaten!T$24,Bewertung_Stammdaten!S$24,IF(AL10&lt;Bewertung_Stammdaten!T$25,Bewertung_Stammdaten!S$25,IF(AL10&lt;Bewertung_Stammdaten!T$26,Bewertung_Stammdaten!S$26,IF(AL10&lt;Bewertung_Stammdaten!T$27,Bewertung_Stammdaten!S$27,IF(AL10&lt;Bewertung_Stammdaten!T$28,Bewertung_Stammdaten!S$28,IF(AL10&lt;Bewertung_Stammdaten!T$29,Bewertung_Stammdaten!S$29,IF(AL10&lt;Bewertung_Stammdaten!T$30,Bewertung_Stammdaten!S$30,IF(AL10&lt;Bewertung_Stammdaten!T$31,Bewertung_Stammdaten!S$31,IF(AL10&lt;Bewertung_Stammdaten!T$32,Bewertung_Stammdaten!S$32,Bewertung_Stammdaten!S$33)))))))))</f>
        <v>1</v>
      </c>
      <c r="AP10" s="44"/>
      <c r="AQ10" s="12">
        <f ca="1">VLOOKUP(A10,Dividendenrendite!A3:R68,17,FALSE)</f>
        <v>3.1494978943958536E-2</v>
      </c>
      <c r="AR10" s="12">
        <f>VLOOKUP(A10,Dividendenrendite!A3:R68,16,FALSE)</f>
        <v>5.5098285961332621E-2</v>
      </c>
      <c r="AS10" s="12">
        <f ca="1">VLOOKUP(A10,Dividendenrendite!A3:R68,18,FALSE)</f>
        <v>-0.42838550429569855</v>
      </c>
      <c r="AT10" s="33">
        <f ca="1">IF(AQ10&lt;Bewertung_Stammdaten!D$11,Bewertung_Stammdaten!C$11,IF(AQ10&lt;Bewertung_Stammdaten!D$12,Bewertung_Stammdaten!C$12,IF(AQ10&lt;Bewertung_Stammdaten!D$13,Bewertung_Stammdaten!C$13,IF(AQ10&lt;Bewertung_Stammdaten!D$14,Bewertung_Stammdaten!C$14,IF(AQ10&lt;Bewertung_Stammdaten!D$15,Bewertung_Stammdaten!C$15,IF(AQ10&lt;Bewertung_Stammdaten!D$16,Bewertung_Stammdaten!C$16,IF(AQ10&lt;Bewertung_Stammdaten!D$17,Bewertung_Stammdaten!C$17,IF(AQ10&lt;Bewertung_Stammdaten!D$18,Bewertung_Stammdaten!C$18,IF(AQ10&lt;Bewertung_Stammdaten!D$19,Bewertung_Stammdaten!C$19,Bewertung_Stammdaten!C$20)))))))))</f>
        <v>10.5</v>
      </c>
      <c r="AU10" s="33">
        <f>IF(AR10&lt;Bewertung_Stammdaten!T$11,Bewertung_Stammdaten!S$11,IF(AR10&lt;Bewertung_Stammdaten!T$12,Bewertung_Stammdaten!S$12,IF(AR10&lt;Bewertung_Stammdaten!T$13,Bewertung_Stammdaten!S$13,IF(AR10&lt;Bewertung_Stammdaten!T$14,Bewertung_Stammdaten!S$14,IF(AR10&lt;Bewertung_Stammdaten!T$15,Bewertung_Stammdaten!S$15,IF(AR10&lt;Bewertung_Stammdaten!T$16,Bewertung_Stammdaten!S$16,IF(AR10&lt;Bewertung_Stammdaten!T$17,Bewertung_Stammdaten!S$17,IF(AR10&lt;Bewertung_Stammdaten!T$18,Bewertung_Stammdaten!S$18,IF(AR10&lt;Bewertung_Stammdaten!T$19,Bewertung_Stammdaten!S$19,Bewertung_Stammdaten!S$20)))))))))</f>
        <v>10</v>
      </c>
      <c r="AV10" s="33">
        <f ca="1">IF(AS10&lt;Bewertung_Stammdaten!F$11,Bewertung_Stammdaten!E$11,IF(AS10&lt;Bewertung_Stammdaten!F$12,Bewertung_Stammdaten!E$12,IF(AS10&lt;Bewertung_Stammdaten!F$13,Bewertung_Stammdaten!E$13,IF(AS10&lt;Bewertung_Stammdaten!F$14,Bewertung_Stammdaten!E$14,IF(AS10&lt;Bewertung_Stammdaten!F$15,Bewertung_Stammdaten!E$15,IF(AS10&lt;Bewertung_Stammdaten!F$16,Bewertung_Stammdaten!E$16,IF(AS10&lt;Bewertung_Stammdaten!F$17,Bewertung_Stammdaten!E$17,IF(AS10&lt;Bewertung_Stammdaten!F$18,Bewertung_Stammdaten!E$18,IF(AS10&lt;Bewertung_Stammdaten!F$19,Bewertung_Stammdaten!E$19,Bewertung_Stammdaten!E$20)))))))))</f>
        <v>0.5</v>
      </c>
      <c r="AW10" s="44"/>
      <c r="AX10" s="12">
        <f>VLOOKUP(A10,Aktien_im_Umlauf_splitbereinigt!A3:Z68,26,FALSE)</f>
        <v>1.9096832172545541E-2</v>
      </c>
      <c r="AY10" s="12">
        <f>VLOOKUP(A10,Aktien_im_Umlauf_splitbereinigt!A3:Y68,24,FALSE)</f>
        <v>8.7598072922090188E-3</v>
      </c>
      <c r="AZ10" s="12">
        <f>VLOOKUP(A10,Aktien_im_Umlauf_splitbereinigt!A3:Y68,25,FALSE)</f>
        <v>-99.999989999999997</v>
      </c>
      <c r="BA10" s="42">
        <f>IF(AX10&lt;Bewertung_Stammdaten!J$24,Bewertung_Stammdaten!I$24,IF(AX10&lt;Bewertung_Stammdaten!J$25,Bewertung_Stammdaten!I$25,IF(AX10&lt;Bewertung_Stammdaten!J$26,Bewertung_Stammdaten!I$26,IF(AX10&lt;Bewertung_Stammdaten!J$27,Bewertung_Stammdaten!I$27,IF(AX10&lt;Bewertung_Stammdaten!J$28,Bewertung_Stammdaten!I$28,IF(AX10&lt;Bewertung_Stammdaten!J$29,Bewertung_Stammdaten!I$29,IF(AX10&lt;Bewertung_Stammdaten!J$30,Bewertung_Stammdaten!I$30,IF(AX10&lt;Bewertung_Stammdaten!J$31,Bewertung_Stammdaten!I$31,IF(AX10&lt;Bewertung_Stammdaten!J$32,Bewertung_Stammdaten!I$32,Bewertung_Stammdaten!I$33)))))))))</f>
        <v>1</v>
      </c>
      <c r="BB10" s="42">
        <f>IF(AY10&lt;Bewertung_Stammdaten!L$24,Bewertung_Stammdaten!K$24,IF(AY10&lt;Bewertung_Stammdaten!L$25,Bewertung_Stammdaten!K$25,IF(AY10&lt;Bewertung_Stammdaten!L$26,Bewertung_Stammdaten!K$26,IF(AY10&lt;Bewertung_Stammdaten!L$27,Bewertung_Stammdaten!K$27,IF(AY10&lt;Bewertung_Stammdaten!L$28,Bewertung_Stammdaten!K$28,IF(AY10&lt;Bewertung_Stammdaten!L$29,Bewertung_Stammdaten!K$29,IF(AY10&lt;Bewertung_Stammdaten!L$30,Bewertung_Stammdaten!K$30,IF(AY10&lt;Bewertung_Stammdaten!L$31,Bewertung_Stammdaten!K$31,IF(AY10&lt;Bewertung_Stammdaten!L$32,Bewertung_Stammdaten!K$32,Bewertung_Stammdaten!K$33)))))))))</f>
        <v>1</v>
      </c>
      <c r="BC10" s="42">
        <f>IF(AZ10&lt;Bewertung_Stammdaten!N$24,Bewertung_Stammdaten!M$24,IF(AZ10&lt;Bewertung_Stammdaten!N$25,Bewertung_Stammdaten!M$25,IF(AZ10&lt;Bewertung_Stammdaten!N$26,Bewertung_Stammdaten!M$26,IF(AZ10&lt;Bewertung_Stammdaten!N$27,Bewertung_Stammdaten!M$27,IF(AZ10&lt;Bewertung_Stammdaten!N$28,Bewertung_Stammdaten!M$28,IF(AZ10&lt;Bewertung_Stammdaten!N$29,Bewertung_Stammdaten!M$29,IF(AZ10&lt;Bewertung_Stammdaten!N$30,Bewertung_Stammdaten!M$30,IF(AZ10&lt;Bewertung_Stammdaten!N$31,Bewertung_Stammdaten!M$31,IF(AZ10&lt;Bewertung_Stammdaten!N$32,Bewertung_Stammdaten!M$32,Bewertung_Stammdaten!M$33)))))))))</f>
        <v>0.5</v>
      </c>
      <c r="BD10" s="44"/>
      <c r="BE10" s="12">
        <f ca="1">VLOOKUP(A10,Ausschüttungsquote!A3:X68,23,FALSE)</f>
        <v>0.82961294627961302</v>
      </c>
      <c r="BF10" s="12">
        <f>VLOOKUP(A10,Ausschüttungsquote!A3:X68,19,FALSE)</f>
        <v>0.90352976039245014</v>
      </c>
      <c r="BG10" s="12">
        <f ca="1">VLOOKUP(A10,Ausschüttungsquote!A3:X68,24,FALSE)</f>
        <v>-8.1808942386946026E-2</v>
      </c>
      <c r="BH10" s="33">
        <f ca="1">IF(BE10&lt;Bewertung_Stammdaten!H$11,Bewertung_Stammdaten!G$11,IF(BE10&lt;Bewertung_Stammdaten!H$12,Bewertung_Stammdaten!G$12,IF(BE10&lt;Bewertung_Stammdaten!H$13,Bewertung_Stammdaten!G$13,IF(BE10&lt;Bewertung_Stammdaten!H$14,Bewertung_Stammdaten!G$14,IF(BE10&lt;Bewertung_Stammdaten!H$15,Bewertung_Stammdaten!G$15,IF(BE10&lt;Bewertung_Stammdaten!H$16,Bewertung_Stammdaten!G$16,IF(BE10&lt;Bewertung_Stammdaten!H$17,Bewertung_Stammdaten!G$17,IF(BE10&lt;Bewertung_Stammdaten!H$18,Bewertung_Stammdaten!G$18,IF(BE10&lt;Bewertung_Stammdaten!H$19,Bewertung_Stammdaten!G$19,Bewertung_Stammdaten!G$20)))))))))</f>
        <v>1</v>
      </c>
      <c r="BI10" s="42">
        <f>IF(BF10&lt;Bewertung_Stammdaten!B$24,Bewertung_Stammdaten!A$24,IF(BF10&lt;Bewertung_Stammdaten!B$25,Bewertung_Stammdaten!A$25,IF(BF10&lt;Bewertung_Stammdaten!B$26,Bewertung_Stammdaten!A$26,IF(BF10&lt;Bewertung_Stammdaten!B$27,Bewertung_Stammdaten!A$27,IF(BF10&lt;Bewertung_Stammdaten!B$28,Bewertung_Stammdaten!A$28,IF(BF10&lt;Bewertung_Stammdaten!B$29,Bewertung_Stammdaten!A$29,IF(BF10&lt;Bewertung_Stammdaten!B$30,Bewertung_Stammdaten!A$30,IF(BF10&lt;Bewertung_Stammdaten!B$31,Bewertung_Stammdaten!A$31,IF(BF10&lt;Bewertung_Stammdaten!B$32,Bewertung_Stammdaten!A$32,Bewertung_Stammdaten!A$33)))))))))</f>
        <v>1</v>
      </c>
      <c r="BJ10" s="33">
        <f ca="1">IF(BG10&lt;Bewertung_Stammdaten!J$11,Bewertung_Stammdaten!I$11,IF(BG10&lt;Bewertung_Stammdaten!J$12,Bewertung_Stammdaten!I$12,IF(BG10&lt;Bewertung_Stammdaten!J$13,Bewertung_Stammdaten!I$13,IF(BG10&lt;Bewertung_Stammdaten!J$14,Bewertung_Stammdaten!I$14,IF(BG10&lt;Bewertung_Stammdaten!J$15,Bewertung_Stammdaten!I$15,IF(BG10&lt;Bewertung_Stammdaten!J$16,Bewertung_Stammdaten!I$16,IF(BG10&lt;Bewertung_Stammdaten!J$17,Bewertung_Stammdaten!I$17,IF(BG10&lt;Bewertung_Stammdaten!J$18,Bewertung_Stammdaten!I$18,IF(BG10&lt;Bewertung_Stammdaten!J$19,Bewertung_Stammdaten!I$19,Bewertung_Stammdaten!I$20)))))))))</f>
        <v>7</v>
      </c>
    </row>
    <row r="11" spans="1:62" x14ac:dyDescent="0.25">
      <c r="A11" s="39" t="s">
        <v>16</v>
      </c>
      <c r="B11" s="39" t="s">
        <v>17</v>
      </c>
      <c r="C11" s="33">
        <f t="shared" ca="1" si="8"/>
        <v>156</v>
      </c>
      <c r="D11" s="44"/>
      <c r="E11" s="11">
        <f ca="1">VLOOKUP(A11,KGV!A3:R68,17,FALSE)</f>
        <v>19.903439436017944</v>
      </c>
      <c r="F11" s="11">
        <f>VLOOKUP(A11,KGV!A3:R68,16,FALSE)</f>
        <v>18.753623188405797</v>
      </c>
      <c r="G11" s="12">
        <f ca="1">VLOOKUP(A11,KGV!A3:R68,18,FALSE)</f>
        <v>6.1311685537278393E-2</v>
      </c>
      <c r="H11" s="16">
        <f t="shared" ca="1" si="0"/>
        <v>20.986619813488307</v>
      </c>
      <c r="I11" s="12">
        <f t="shared" ca="1" si="1"/>
        <v>0.1190701446141369</v>
      </c>
      <c r="J11" s="33">
        <f ca="1">IF(G11&lt;Bewertung_Stammdaten!B$11,Bewertung_Stammdaten!A$11,IF(G11&lt;Bewertung_Stammdaten!B$12,Bewertung_Stammdaten!A$12,IF(G11&lt;Bewertung_Stammdaten!B$13,Bewertung_Stammdaten!A$13,IF(G11&lt;Bewertung_Stammdaten!B$14,Bewertung_Stammdaten!A$14,IF(G11&lt;Bewertung_Stammdaten!B$15,Bewertung_Stammdaten!A$15,IF(G11&lt;Bewertung_Stammdaten!B$16,Bewertung_Stammdaten!A$16,IF(G11&lt;Bewertung_Stammdaten!B$17,Bewertung_Stammdaten!A$17,IF(G11&lt;Bewertung_Stammdaten!B$18,Bewertung_Stammdaten!A$18,IF(G11&lt;Bewertung_Stammdaten!B$19,Bewertung_Stammdaten!A$19,Bewertung_Stammdaten!A$20)))))))))</f>
        <v>15</v>
      </c>
      <c r="K11" s="33">
        <f ca="1">IF(I11&lt;Bewertung_Stammdaten!N$11,Bewertung_Stammdaten!M$11,IF(I11&lt;Bewertung_Stammdaten!N$12,Bewertung_Stammdaten!M$12,IF(I11&lt;Bewertung_Stammdaten!N$13,Bewertung_Stammdaten!M$13,IF(I11&lt;Bewertung_Stammdaten!N$14,Bewertung_Stammdaten!M$14,IF(I11&lt;Bewertung_Stammdaten!N$15,Bewertung_Stammdaten!M$15,IF(I11&lt;Bewertung_Stammdaten!N$16,Bewertung_Stammdaten!M$16,IF(I11&lt;Bewertung_Stammdaten!N$17,Bewertung_Stammdaten!M$17,IF(I11&lt;Bewertung_Stammdaten!N$18,Bewertung_Stammdaten!M$18,IF(I11&lt;Bewertung_Stammdaten!N$19,Bewertung_Stammdaten!M$19,Bewertung_Stammdaten!M$20)))))))))</f>
        <v>10.5</v>
      </c>
      <c r="L11" s="44"/>
      <c r="M11" s="11">
        <f ca="1">VLOOKUP(A11,Buchwert_je_Aktie!A3:AK68,23,FALSE)</f>
        <v>18.005555555555556</v>
      </c>
      <c r="N11" s="11">
        <f>VLOOKUP(A11,Buchwert_je_Aktie!A3:AK68,19,FALSE)</f>
        <v>11.263076923076925</v>
      </c>
      <c r="O11" s="12">
        <f ca="1">VLOOKUP(A11,Buchwert_je_Aktie!A3:AK68,24,FALSE)</f>
        <v>0.59863558408839079</v>
      </c>
      <c r="P11" s="12">
        <f>VLOOKUP(A11,Buchwert_je_Aktie!A3:AK68,37,FALSE)</f>
        <v>5.908096280087527E-2</v>
      </c>
      <c r="Q11" s="16">
        <f t="shared" ca="1" si="2"/>
        <v>18.005555555555556</v>
      </c>
      <c r="R11" s="12">
        <f t="shared" ca="1" si="3"/>
        <v>0.59863558408839079</v>
      </c>
      <c r="S11" s="53">
        <f ca="1">IF(O11&lt;Bewertung_Stammdaten!D$24,Bewertung_Stammdaten!C$24,IF(O11&lt;Bewertung_Stammdaten!D$25,Bewertung_Stammdaten!C$25,IF(O11&lt;Bewertung_Stammdaten!D$26,Bewertung_Stammdaten!C$26,IF(O11&lt;Bewertung_Stammdaten!D$27,Bewertung_Stammdaten!C$27,IF(O11&lt;Bewertung_Stammdaten!D$28,Bewertung_Stammdaten!C$28,IF(O11&lt;Bewertung_Stammdaten!D$29,Bewertung_Stammdaten!C$29,IF(O11&lt;Bewertung_Stammdaten!D$30,Bewertung_Stammdaten!C$30,IF(O11&lt;Bewertung_Stammdaten!D$31,Bewertung_Stammdaten!C$31,IF(O11&lt;Bewertung_Stammdaten!D$32,Bewertung_Stammdaten!C$32,Bewertung_Stammdaten!C$33)))))))))</f>
        <v>12</v>
      </c>
      <c r="T11" s="53">
        <f>IF(P11&lt;Bewertung_Stammdaten!F$24,Bewertung_Stammdaten!E$24,IF(P11&lt;Bewertung_Stammdaten!F$25,Bewertung_Stammdaten!E$25,IF(P11&lt;Bewertung_Stammdaten!F$26,Bewertung_Stammdaten!E$26,IF(P11&lt;Bewertung_Stammdaten!F$27,Bewertung_Stammdaten!E$27,IF(P11&lt;Bewertung_Stammdaten!F$28,Bewertung_Stammdaten!E$28,IF(P11&lt;Bewertung_Stammdaten!F$29,Bewertung_Stammdaten!E$29,IF(P11&lt;Bewertung_Stammdaten!F$30,Bewertung_Stammdaten!E$30,IF(P11&lt;Bewertung_Stammdaten!F$31,Bewertung_Stammdaten!E$31,IF(P11&lt;Bewertung_Stammdaten!F$32,Bewertung_Stammdaten!E$32,Bewertung_Stammdaten!E$33)))))))))</f>
        <v>13.5</v>
      </c>
      <c r="U11" s="53">
        <f ca="1">IF(R11&lt;Bewertung_Stammdaten!H$24,Bewertung_Stammdaten!G$24,IF(R11&lt;Bewertung_Stammdaten!H$25,Bewertung_Stammdaten!G$25,IF(R11&lt;Bewertung_Stammdaten!H$26,Bewertung_Stammdaten!G$26,IF(R11&lt;Bewertung_Stammdaten!H$27,Bewertung_Stammdaten!G$27,IF(R11&lt;Bewertung_Stammdaten!H$28,Bewertung_Stammdaten!G$28,IF(R11&lt;Bewertung_Stammdaten!H$29,Bewertung_Stammdaten!G$29,IF(R11&lt;Bewertung_Stammdaten!H$30,Bewertung_Stammdaten!G$30,IF(R11&lt;Bewertung_Stammdaten!H$31,Bewertung_Stammdaten!G$31,IF(R11&lt;Bewertung_Stammdaten!H$32,Bewertung_Stammdaten!G$32,Bewertung_Stammdaten!G$33)))))))))</f>
        <v>8</v>
      </c>
      <c r="V11" s="44"/>
      <c r="W11" s="14">
        <f ca="1">VLOOKUP(A11,Ergebnis_je_Aktie_verwässert!A3:AK68,23,FALSE)</f>
        <v>3.2506944444444446</v>
      </c>
      <c r="X11" s="14">
        <f>VLOOKUP(A11,Ergebnis_je_Aktie_verwässert!A3:AK68,19,FALSE)</f>
        <v>2.3215384615384616</v>
      </c>
      <c r="Y11" s="12">
        <f ca="1">VLOOKUP(A11,Ergebnis_je_Aktie_verwässert!A3:AK68,24,FALSE)</f>
        <v>0.40023286208673881</v>
      </c>
      <c r="Z11" s="41">
        <f>VLOOKUP(A11,Ergebnis_je_Aktie_verwässert!A3:AK68,37,FALSE)</f>
        <v>-5.1612903225806472E-2</v>
      </c>
      <c r="AA11" s="16">
        <f t="shared" ca="1" si="4"/>
        <v>3.0829166666666667</v>
      </c>
      <c r="AB11" s="12">
        <f t="shared" ca="1" si="5"/>
        <v>0.32796277888226211</v>
      </c>
      <c r="AC11" s="33">
        <f ca="1">IF(Y11&lt;Bewertung_Stammdaten!L$11,Bewertung_Stammdaten!K$11,IF(Y11&lt;Bewertung_Stammdaten!L$12,Bewertung_Stammdaten!K$12,IF(Y11&lt;Bewertung_Stammdaten!L$13,Bewertung_Stammdaten!K$13,IF(Y11&lt;Bewertung_Stammdaten!L$14,Bewertung_Stammdaten!K$14,IF(Y11&lt;Bewertung_Stammdaten!L$15,Bewertung_Stammdaten!K$15,IF(Y11&lt;Bewertung_Stammdaten!L$16,Bewertung_Stammdaten!K$16,IF(Y11&lt;Bewertung_Stammdaten!L$17,Bewertung_Stammdaten!K$17,IF(Y11&lt;Bewertung_Stammdaten!L$18,Bewertung_Stammdaten!K$18,IF(Y11&lt;Bewertung_Stammdaten!L$19,Bewertung_Stammdaten!K$19,Bewertung_Stammdaten!K$20)))))))))</f>
        <v>14</v>
      </c>
      <c r="AD11" s="33">
        <f>IF(Z11&lt;Bewertung_Stammdaten!R$11,Bewertung_Stammdaten!Q$11,IF(Z11&lt;Bewertung_Stammdaten!R$12,Bewertung_Stammdaten!Q$12,IF(Z11&lt;Bewertung_Stammdaten!R$13,Bewertung_Stammdaten!Q$13,IF(Z11&lt;Bewertung_Stammdaten!R$14,Bewertung_Stammdaten!Q$14,IF(Z11&lt;Bewertung_Stammdaten!R$15,Bewertung_Stammdaten!Q$15,IF(Z11&lt;Bewertung_Stammdaten!R$16,Bewertung_Stammdaten!Q$16,IF(Z11&lt;Bewertung_Stammdaten!R$17,Bewertung_Stammdaten!Q$17,IF(Z11&lt;Bewertung_Stammdaten!R$18,Bewertung_Stammdaten!Q$18,IF(Z11&lt;Bewertung_Stammdaten!R$19,Bewertung_Stammdaten!Q$19,Bewertung_Stammdaten!Q$20)))))))))</f>
        <v>7</v>
      </c>
      <c r="AE11" s="33">
        <f ca="1">IF(AB11&lt;Bewertung_Stammdaten!P$11,Bewertung_Stammdaten!O$11,IF(AB11&lt;Bewertung_Stammdaten!P$12,Bewertung_Stammdaten!O$12,IF(AB11&lt;Bewertung_Stammdaten!P$13,Bewertung_Stammdaten!O$13,IF(AB11&lt;Bewertung_Stammdaten!P$14,Bewertung_Stammdaten!O$14,IF(AB11&lt;Bewertung_Stammdaten!P$15,Bewertung_Stammdaten!O$15,IF(AB11&lt;Bewertung_Stammdaten!P$16,Bewertung_Stammdaten!O$16,IF(AB11&lt;Bewertung_Stammdaten!P$17,Bewertung_Stammdaten!O$17,IF(AB11&lt;Bewertung_Stammdaten!P$18,Bewertung_Stammdaten!O$18,IF(AB11&lt;Bewertung_Stammdaten!P$19,Bewertung_Stammdaten!O$19,Bewertung_Stammdaten!O$20)))))))))</f>
        <v>7</v>
      </c>
      <c r="AF11" s="44"/>
      <c r="AG11" s="14">
        <f ca="1">VLOOKUP(A11,Dividende_je_Aktie!A3:AM68,24,FALSE)</f>
        <v>1.1182500000000002</v>
      </c>
      <c r="AH11" s="14">
        <f>VLOOKUP(A11,Dividende_je_Aktie!A3:AM68,20,FALSE)</f>
        <v>0.76214285714285701</v>
      </c>
      <c r="AI11" s="12">
        <f ca="1">VLOOKUP(A11,Dividende_je_Aktie!A3:AM68,25,FALSE)</f>
        <v>0.46724461105904447</v>
      </c>
      <c r="AJ11" s="41">
        <f>VLOOKUP(A11,Dividende_je_Aktie!A3:AM68,39,FALSE)</f>
        <v>-0.2272727272727274</v>
      </c>
      <c r="AK11" s="16">
        <f t="shared" ca="1" si="6"/>
        <v>0.86410227272727269</v>
      </c>
      <c r="AL11" s="12">
        <f t="shared" ca="1" si="7"/>
        <v>0.13377992672744332</v>
      </c>
      <c r="AM11" s="33">
        <f ca="1">IF(AI11&lt;Bewertung_Stammdaten!P$24,Bewertung_Stammdaten!O$24,IF(AI11&lt;Bewertung_Stammdaten!P$25,Bewertung_Stammdaten!O$25,IF(AI11&lt;Bewertung_Stammdaten!P$26,Bewertung_Stammdaten!O$26,IF(AI11&lt;Bewertung_Stammdaten!P$27,Bewertung_Stammdaten!O$27,IF(AI11&lt;Bewertung_Stammdaten!P$28,Bewertung_Stammdaten!O$28,IF(AI11&lt;Bewertung_Stammdaten!P$29,Bewertung_Stammdaten!O$29,IF(AI11&lt;Bewertung_Stammdaten!P$30,Bewertung_Stammdaten!O$30,IF(AI11&lt;Bewertung_Stammdaten!P$31,Bewertung_Stammdaten!O$31,IF(AI11&lt;Bewertung_Stammdaten!P$32,Bewertung_Stammdaten!O$32,Bewertung_Stammdaten!O$33)))))))))</f>
        <v>14</v>
      </c>
      <c r="AN11" s="33">
        <f>IF(AJ11&lt;Bewertung_Stammdaten!R$24,Bewertung_Stammdaten!Q$24,IF(AJ11&lt;Bewertung_Stammdaten!R$25,Bewertung_Stammdaten!Q$25,IF(AJ11&lt;Bewertung_Stammdaten!R$26,Bewertung_Stammdaten!Q$26,IF(AJ11&lt;Bewertung_Stammdaten!R$27,Bewertung_Stammdaten!Q$27,IF(AJ11&lt;Bewertung_Stammdaten!R$28,Bewertung_Stammdaten!Q$28,IF(AJ11&lt;Bewertung_Stammdaten!R$29,Bewertung_Stammdaten!Q$29,IF(AJ11&lt;Bewertung_Stammdaten!R$30,Bewertung_Stammdaten!Q$30,IF(AJ11&lt;Bewertung_Stammdaten!R$31,Bewertung_Stammdaten!Q$31,IF(AJ11&lt;Bewertung_Stammdaten!R$32,Bewertung_Stammdaten!Q$32,Bewertung_Stammdaten!Q$33)))))))))</f>
        <v>5</v>
      </c>
      <c r="AO11" s="33">
        <f ca="1">IF(AL11&lt;Bewertung_Stammdaten!T$24,Bewertung_Stammdaten!S$24,IF(AL11&lt;Bewertung_Stammdaten!T$25,Bewertung_Stammdaten!S$25,IF(AL11&lt;Bewertung_Stammdaten!T$26,Bewertung_Stammdaten!S$26,IF(AL11&lt;Bewertung_Stammdaten!T$27,Bewertung_Stammdaten!S$27,IF(AL11&lt;Bewertung_Stammdaten!T$28,Bewertung_Stammdaten!S$28,IF(AL11&lt;Bewertung_Stammdaten!T$29,Bewertung_Stammdaten!S$29,IF(AL11&lt;Bewertung_Stammdaten!T$30,Bewertung_Stammdaten!S$30,IF(AL11&lt;Bewertung_Stammdaten!T$31,Bewertung_Stammdaten!S$31,IF(AL11&lt;Bewertung_Stammdaten!T$32,Bewertung_Stammdaten!S$32,Bewertung_Stammdaten!S$33)))))))))</f>
        <v>5</v>
      </c>
      <c r="AP11" s="44"/>
      <c r="AQ11" s="12">
        <f ca="1">VLOOKUP(A11,Dividendenrendite!A3:R68,17,FALSE)</f>
        <v>1.7283616692426586E-2</v>
      </c>
      <c r="AR11" s="12">
        <f>VLOOKUP(A11,Dividendenrendite!A3:R68,16,FALSE)</f>
        <v>1.5693636178817364E-2</v>
      </c>
      <c r="AS11" s="12">
        <f ca="1">VLOOKUP(A11,Dividendenrendite!A3:R68,18,FALSE)</f>
        <v>0.10131371056984961</v>
      </c>
      <c r="AT11" s="33">
        <f ca="1">IF(AQ11&lt;Bewertung_Stammdaten!D$11,Bewertung_Stammdaten!C$11,IF(AQ11&lt;Bewertung_Stammdaten!D$12,Bewertung_Stammdaten!C$12,IF(AQ11&lt;Bewertung_Stammdaten!D$13,Bewertung_Stammdaten!C$13,IF(AQ11&lt;Bewertung_Stammdaten!D$14,Bewertung_Stammdaten!C$14,IF(AQ11&lt;Bewertung_Stammdaten!D$15,Bewertung_Stammdaten!C$15,IF(AQ11&lt;Bewertung_Stammdaten!D$16,Bewertung_Stammdaten!C$16,IF(AQ11&lt;Bewertung_Stammdaten!D$17,Bewertung_Stammdaten!C$17,IF(AQ11&lt;Bewertung_Stammdaten!D$18,Bewertung_Stammdaten!C$18,IF(AQ11&lt;Bewertung_Stammdaten!D$19,Bewertung_Stammdaten!C$19,Bewertung_Stammdaten!C$20)))))))))</f>
        <v>6</v>
      </c>
      <c r="AU11" s="33">
        <f>IF(AR11&lt;Bewertung_Stammdaten!T$11,Bewertung_Stammdaten!S$11,IF(AR11&lt;Bewertung_Stammdaten!T$12,Bewertung_Stammdaten!S$12,IF(AR11&lt;Bewertung_Stammdaten!T$13,Bewertung_Stammdaten!S$13,IF(AR11&lt;Bewertung_Stammdaten!T$14,Bewertung_Stammdaten!S$14,IF(AR11&lt;Bewertung_Stammdaten!T$15,Bewertung_Stammdaten!S$15,IF(AR11&lt;Bewertung_Stammdaten!T$16,Bewertung_Stammdaten!S$16,IF(AR11&lt;Bewertung_Stammdaten!T$17,Bewertung_Stammdaten!S$17,IF(AR11&lt;Bewertung_Stammdaten!T$18,Bewertung_Stammdaten!S$18,IF(AR11&lt;Bewertung_Stammdaten!T$19,Bewertung_Stammdaten!S$19,Bewertung_Stammdaten!S$20)))))))))</f>
        <v>4</v>
      </c>
      <c r="AV11" s="33">
        <f ca="1">IF(AS11&lt;Bewertung_Stammdaten!F$11,Bewertung_Stammdaten!E$11,IF(AS11&lt;Bewertung_Stammdaten!F$12,Bewertung_Stammdaten!E$12,IF(AS11&lt;Bewertung_Stammdaten!F$13,Bewertung_Stammdaten!E$13,IF(AS11&lt;Bewertung_Stammdaten!F$14,Bewertung_Stammdaten!E$14,IF(AS11&lt;Bewertung_Stammdaten!F$15,Bewertung_Stammdaten!E$15,IF(AS11&lt;Bewertung_Stammdaten!F$16,Bewertung_Stammdaten!E$16,IF(AS11&lt;Bewertung_Stammdaten!F$17,Bewertung_Stammdaten!E$17,IF(AS11&lt;Bewertung_Stammdaten!F$18,Bewertung_Stammdaten!E$18,IF(AS11&lt;Bewertung_Stammdaten!F$19,Bewertung_Stammdaten!E$19,Bewertung_Stammdaten!E$20)))))))))</f>
        <v>4</v>
      </c>
      <c r="AW11" s="44"/>
      <c r="AX11" s="12">
        <f>VLOOKUP(A11,Aktien_im_Umlauf_splitbereinigt!A3:Z68,26,FALSE)</f>
        <v>0</v>
      </c>
      <c r="AY11" s="12">
        <f>VLOOKUP(A11,Aktien_im_Umlauf_splitbereinigt!A3:Y68,24,FALSE)</f>
        <v>-3.2640838228868616E-3</v>
      </c>
      <c r="AZ11" s="12">
        <f>VLOOKUP(A11,Aktien_im_Umlauf_splitbereinigt!A3:Y68,25,FALSE)</f>
        <v>-1</v>
      </c>
      <c r="BA11" s="42">
        <f>IF(AX11&lt;Bewertung_Stammdaten!J$24,Bewertung_Stammdaten!I$24,IF(AX11&lt;Bewertung_Stammdaten!J$25,Bewertung_Stammdaten!I$25,IF(AX11&lt;Bewertung_Stammdaten!J$26,Bewertung_Stammdaten!I$26,IF(AX11&lt;Bewertung_Stammdaten!J$27,Bewertung_Stammdaten!I$27,IF(AX11&lt;Bewertung_Stammdaten!J$28,Bewertung_Stammdaten!I$28,IF(AX11&lt;Bewertung_Stammdaten!J$29,Bewertung_Stammdaten!I$29,IF(AX11&lt;Bewertung_Stammdaten!J$30,Bewertung_Stammdaten!I$30,IF(AX11&lt;Bewertung_Stammdaten!J$31,Bewertung_Stammdaten!I$31,IF(AX11&lt;Bewertung_Stammdaten!J$32,Bewertung_Stammdaten!I$32,Bewertung_Stammdaten!I$33)))))))))</f>
        <v>2</v>
      </c>
      <c r="BB11" s="42">
        <f>IF(AY11&lt;Bewertung_Stammdaten!L$24,Bewertung_Stammdaten!K$24,IF(AY11&lt;Bewertung_Stammdaten!L$25,Bewertung_Stammdaten!K$25,IF(AY11&lt;Bewertung_Stammdaten!L$26,Bewertung_Stammdaten!K$26,IF(AY11&lt;Bewertung_Stammdaten!L$27,Bewertung_Stammdaten!K$27,IF(AY11&lt;Bewertung_Stammdaten!L$28,Bewertung_Stammdaten!K$28,IF(AY11&lt;Bewertung_Stammdaten!L$29,Bewertung_Stammdaten!K$29,IF(AY11&lt;Bewertung_Stammdaten!L$30,Bewertung_Stammdaten!K$30,IF(AY11&lt;Bewertung_Stammdaten!L$31,Bewertung_Stammdaten!K$31,IF(AY11&lt;Bewertung_Stammdaten!L$32,Bewertung_Stammdaten!K$32,Bewertung_Stammdaten!K$33)))))))))</f>
        <v>3</v>
      </c>
      <c r="BC11" s="42">
        <f>IF(AZ11&lt;Bewertung_Stammdaten!N$24,Bewertung_Stammdaten!M$24,IF(AZ11&lt;Bewertung_Stammdaten!N$25,Bewertung_Stammdaten!M$25,IF(AZ11&lt;Bewertung_Stammdaten!N$26,Bewertung_Stammdaten!M$26,IF(AZ11&lt;Bewertung_Stammdaten!N$27,Bewertung_Stammdaten!M$27,IF(AZ11&lt;Bewertung_Stammdaten!N$28,Bewertung_Stammdaten!M$28,IF(AZ11&lt;Bewertung_Stammdaten!N$29,Bewertung_Stammdaten!M$29,IF(AZ11&lt;Bewertung_Stammdaten!N$30,Bewertung_Stammdaten!M$30,IF(AZ11&lt;Bewertung_Stammdaten!N$31,Bewertung_Stammdaten!M$31,IF(AZ11&lt;Bewertung_Stammdaten!N$32,Bewertung_Stammdaten!M$32,Bewertung_Stammdaten!M$33)))))))))</f>
        <v>1</v>
      </c>
      <c r="BD11" s="44"/>
      <c r="BE11" s="12">
        <f ca="1">VLOOKUP(A11,Ausschüttungsquote!A3:X68,23,FALSE)</f>
        <v>0.34398877818035423</v>
      </c>
      <c r="BF11" s="12">
        <f>VLOOKUP(A11,Ausschüttungsquote!A3:X68,19,FALSE)</f>
        <v>0.33951568027453699</v>
      </c>
      <c r="BG11" s="12">
        <f ca="1">VLOOKUP(A11,Ausschüttungsquote!A3:X68,24,FALSE)</f>
        <v>1.3174937611718729E-2</v>
      </c>
      <c r="BH11" s="33">
        <f ca="1">IF(BE11&lt;Bewertung_Stammdaten!H$11,Bewertung_Stammdaten!G$11,IF(BE11&lt;Bewertung_Stammdaten!H$12,Bewertung_Stammdaten!G$12,IF(BE11&lt;Bewertung_Stammdaten!H$13,Bewertung_Stammdaten!G$13,IF(BE11&lt;Bewertung_Stammdaten!H$14,Bewertung_Stammdaten!G$14,IF(BE11&lt;Bewertung_Stammdaten!H$15,Bewertung_Stammdaten!G$15,IF(BE11&lt;Bewertung_Stammdaten!H$16,Bewertung_Stammdaten!G$16,IF(BE11&lt;Bewertung_Stammdaten!H$17,Bewertung_Stammdaten!G$17,IF(BE11&lt;Bewertung_Stammdaten!H$18,Bewertung_Stammdaten!G$18,IF(BE11&lt;Bewertung_Stammdaten!H$19,Bewertung_Stammdaten!G$19,Bewertung_Stammdaten!G$20)))))))))</f>
        <v>10</v>
      </c>
      <c r="BI11" s="42">
        <f>IF(BF11&lt;Bewertung_Stammdaten!B$24,Bewertung_Stammdaten!A$24,IF(BF11&lt;Bewertung_Stammdaten!B$25,Bewertung_Stammdaten!A$25,IF(BF11&lt;Bewertung_Stammdaten!B$26,Bewertung_Stammdaten!A$26,IF(BF11&lt;Bewertung_Stammdaten!B$27,Bewertung_Stammdaten!A$27,IF(BF11&lt;Bewertung_Stammdaten!B$28,Bewertung_Stammdaten!A$28,IF(BF11&lt;Bewertung_Stammdaten!B$29,Bewertung_Stammdaten!A$29,IF(BF11&lt;Bewertung_Stammdaten!B$30,Bewertung_Stammdaten!A$30,IF(BF11&lt;Bewertung_Stammdaten!B$31,Bewertung_Stammdaten!A$31,IF(BF11&lt;Bewertung_Stammdaten!B$32,Bewertung_Stammdaten!A$32,Bewertung_Stammdaten!A$33)))))))))</f>
        <v>10</v>
      </c>
      <c r="BJ11" s="33">
        <f ca="1">IF(BG11&lt;Bewertung_Stammdaten!J$11,Bewertung_Stammdaten!I$11,IF(BG11&lt;Bewertung_Stammdaten!J$12,Bewertung_Stammdaten!I$12,IF(BG11&lt;Bewertung_Stammdaten!J$13,Bewertung_Stammdaten!I$13,IF(BG11&lt;Bewertung_Stammdaten!J$14,Bewertung_Stammdaten!I$14,IF(BG11&lt;Bewertung_Stammdaten!J$15,Bewertung_Stammdaten!I$15,IF(BG11&lt;Bewertung_Stammdaten!J$16,Bewertung_Stammdaten!I$16,IF(BG11&lt;Bewertung_Stammdaten!J$17,Bewertung_Stammdaten!I$17,IF(BG11&lt;Bewertung_Stammdaten!J$18,Bewertung_Stammdaten!I$18,IF(BG11&lt;Bewertung_Stammdaten!J$19,Bewertung_Stammdaten!I$19,Bewertung_Stammdaten!I$20)))))))))</f>
        <v>5</v>
      </c>
    </row>
    <row r="12" spans="1:62" x14ac:dyDescent="0.25">
      <c r="A12" s="39" t="s">
        <v>18</v>
      </c>
      <c r="B12" s="39" t="s">
        <v>19</v>
      </c>
      <c r="C12" s="33">
        <f t="shared" ca="1" si="8"/>
        <v>139.5</v>
      </c>
      <c r="D12" s="44"/>
      <c r="E12" s="11">
        <f ca="1">VLOOKUP(A12,KGV!A3:R68,17,FALSE)</f>
        <v>13.924467321043812</v>
      </c>
      <c r="F12" s="11">
        <f>VLOOKUP(A12,KGV!A3:R68,16,FALSE)</f>
        <v>14.542897327707454</v>
      </c>
      <c r="G12" s="12">
        <f ca="1">VLOOKUP(A12,KGV!A3:R68,18,FALSE)</f>
        <v>-4.2524539142925533E-2</v>
      </c>
      <c r="H12" s="16">
        <f t="shared" ca="1" si="0"/>
        <v>26.60814052437085</v>
      </c>
      <c r="I12" s="12">
        <f t="shared" ca="1" si="1"/>
        <v>0.82963132619223146</v>
      </c>
      <c r="J12" s="33">
        <f ca="1">IF(G12&lt;Bewertung_Stammdaten!B$11,Bewertung_Stammdaten!A$11,IF(G12&lt;Bewertung_Stammdaten!B$12,Bewertung_Stammdaten!A$12,IF(G12&lt;Bewertung_Stammdaten!B$13,Bewertung_Stammdaten!A$13,IF(G12&lt;Bewertung_Stammdaten!B$14,Bewertung_Stammdaten!A$14,IF(G12&lt;Bewertung_Stammdaten!B$15,Bewertung_Stammdaten!A$15,IF(G12&lt;Bewertung_Stammdaten!B$16,Bewertung_Stammdaten!A$16,IF(G12&lt;Bewertung_Stammdaten!B$17,Bewertung_Stammdaten!A$17,IF(G12&lt;Bewertung_Stammdaten!B$18,Bewertung_Stammdaten!A$18,IF(G12&lt;Bewertung_Stammdaten!B$19,Bewertung_Stammdaten!A$19,Bewertung_Stammdaten!A$20)))))))))</f>
        <v>21</v>
      </c>
      <c r="K12" s="33">
        <f ca="1">IF(I12&lt;Bewertung_Stammdaten!N$11,Bewertung_Stammdaten!M$11,IF(I12&lt;Bewertung_Stammdaten!N$12,Bewertung_Stammdaten!M$12,IF(I12&lt;Bewertung_Stammdaten!N$13,Bewertung_Stammdaten!M$13,IF(I12&lt;Bewertung_Stammdaten!N$14,Bewertung_Stammdaten!M$14,IF(I12&lt;Bewertung_Stammdaten!N$15,Bewertung_Stammdaten!M$15,IF(I12&lt;Bewertung_Stammdaten!N$16,Bewertung_Stammdaten!M$16,IF(I12&lt;Bewertung_Stammdaten!N$17,Bewertung_Stammdaten!M$17,IF(I12&lt;Bewertung_Stammdaten!N$18,Bewertung_Stammdaten!M$18,IF(I12&lt;Bewertung_Stammdaten!N$19,Bewertung_Stammdaten!M$19,Bewertung_Stammdaten!M$20)))))))))</f>
        <v>1.5</v>
      </c>
      <c r="L12" s="44"/>
      <c r="M12" s="11">
        <f ca="1">VLOOKUP(A12,Buchwert_je_Aktie!A3:AK68,23,FALSE)</f>
        <v>40.448888888888888</v>
      </c>
      <c r="N12" s="11">
        <f>VLOOKUP(A12,Buchwert_je_Aktie!A3:AK68,19,FALSE)</f>
        <v>34.656923076923071</v>
      </c>
      <c r="O12" s="12">
        <f ca="1">VLOOKUP(A12,Buchwert_je_Aktie!A3:AK68,24,FALSE)</f>
        <v>0.16712290929896478</v>
      </c>
      <c r="P12" s="12">
        <f>VLOOKUP(A12,Buchwert_je_Aktie!A3:AK68,37,FALSE)</f>
        <v>-8.5149082568807377E-2</v>
      </c>
      <c r="Q12" s="16">
        <f t="shared" ca="1" si="2"/>
        <v>37.004703109072373</v>
      </c>
      <c r="R12" s="12">
        <f t="shared" ca="1" si="3"/>
        <v>6.7743464327120639E-2</v>
      </c>
      <c r="S12" s="53">
        <f ca="1">IF(O12&lt;Bewertung_Stammdaten!D$24,Bewertung_Stammdaten!C$24,IF(O12&lt;Bewertung_Stammdaten!D$25,Bewertung_Stammdaten!C$25,IF(O12&lt;Bewertung_Stammdaten!D$26,Bewertung_Stammdaten!C$26,IF(O12&lt;Bewertung_Stammdaten!D$27,Bewertung_Stammdaten!C$27,IF(O12&lt;Bewertung_Stammdaten!D$28,Bewertung_Stammdaten!C$28,IF(O12&lt;Bewertung_Stammdaten!D$29,Bewertung_Stammdaten!C$29,IF(O12&lt;Bewertung_Stammdaten!D$30,Bewertung_Stammdaten!C$30,IF(O12&lt;Bewertung_Stammdaten!D$31,Bewertung_Stammdaten!C$31,IF(O12&lt;Bewertung_Stammdaten!D$32,Bewertung_Stammdaten!C$32,Bewertung_Stammdaten!C$33)))))))))</f>
        <v>6</v>
      </c>
      <c r="T12" s="53">
        <f>IF(P12&lt;Bewertung_Stammdaten!F$24,Bewertung_Stammdaten!E$24,IF(P12&lt;Bewertung_Stammdaten!F$25,Bewertung_Stammdaten!E$25,IF(P12&lt;Bewertung_Stammdaten!F$26,Bewertung_Stammdaten!E$26,IF(P12&lt;Bewertung_Stammdaten!F$27,Bewertung_Stammdaten!E$27,IF(P12&lt;Bewertung_Stammdaten!F$28,Bewertung_Stammdaten!E$28,IF(P12&lt;Bewertung_Stammdaten!F$29,Bewertung_Stammdaten!E$29,IF(P12&lt;Bewertung_Stammdaten!F$30,Bewertung_Stammdaten!E$30,IF(P12&lt;Bewertung_Stammdaten!F$31,Bewertung_Stammdaten!E$31,IF(P12&lt;Bewertung_Stammdaten!F$32,Bewertung_Stammdaten!E$32,Bewertung_Stammdaten!E$33)))))))))</f>
        <v>9</v>
      </c>
      <c r="U12" s="53">
        <f ca="1">IF(R12&lt;Bewertung_Stammdaten!H$24,Bewertung_Stammdaten!G$24,IF(R12&lt;Bewertung_Stammdaten!H$25,Bewertung_Stammdaten!G$25,IF(R12&lt;Bewertung_Stammdaten!H$26,Bewertung_Stammdaten!G$26,IF(R12&lt;Bewertung_Stammdaten!H$27,Bewertung_Stammdaten!G$27,IF(R12&lt;Bewertung_Stammdaten!H$28,Bewertung_Stammdaten!G$28,IF(R12&lt;Bewertung_Stammdaten!H$29,Bewertung_Stammdaten!G$29,IF(R12&lt;Bewertung_Stammdaten!H$30,Bewertung_Stammdaten!G$30,IF(R12&lt;Bewertung_Stammdaten!H$31,Bewertung_Stammdaten!G$31,IF(R12&lt;Bewertung_Stammdaten!H$32,Bewertung_Stammdaten!G$32,Bewertung_Stammdaten!G$33)))))))))</f>
        <v>3</v>
      </c>
      <c r="V12" s="44"/>
      <c r="W12" s="14">
        <f ca="1">VLOOKUP(A12,Ergebnis_je_Aktie_verwässert!A3:AK68,23,FALSE)</f>
        <v>7.4257777777777783</v>
      </c>
      <c r="X12" s="14">
        <f>VLOOKUP(A12,Ergebnis_je_Aktie_verwässert!A3:AK68,19,FALSE)</f>
        <v>4.9615384615384617</v>
      </c>
      <c r="Y12" s="12">
        <f ca="1">VLOOKUP(A12,Ergebnis_je_Aktie_verwässert!A3:AK68,24,FALSE)</f>
        <v>0.49666838931955226</v>
      </c>
      <c r="Z12" s="41">
        <f>VLOOKUP(A12,Ergebnis_je_Aktie_verwässert!A3:AK68,37,FALSE)</f>
        <v>-0.47668393782383423</v>
      </c>
      <c r="AA12" s="16">
        <f t="shared" ca="1" si="4"/>
        <v>3.8860287852619457</v>
      </c>
      <c r="AB12" s="12">
        <f t="shared" ca="1" si="5"/>
        <v>-0.21676939211774737</v>
      </c>
      <c r="AC12" s="33">
        <f ca="1">IF(Y12&lt;Bewertung_Stammdaten!L$11,Bewertung_Stammdaten!K$11,IF(Y12&lt;Bewertung_Stammdaten!L$12,Bewertung_Stammdaten!K$12,IF(Y12&lt;Bewertung_Stammdaten!L$13,Bewertung_Stammdaten!K$13,IF(Y12&lt;Bewertung_Stammdaten!L$14,Bewertung_Stammdaten!K$14,IF(Y12&lt;Bewertung_Stammdaten!L$15,Bewertung_Stammdaten!K$15,IF(Y12&lt;Bewertung_Stammdaten!L$16,Bewertung_Stammdaten!K$16,IF(Y12&lt;Bewertung_Stammdaten!L$17,Bewertung_Stammdaten!K$17,IF(Y12&lt;Bewertung_Stammdaten!L$18,Bewertung_Stammdaten!K$18,IF(Y12&lt;Bewertung_Stammdaten!L$19,Bewertung_Stammdaten!K$19,Bewertung_Stammdaten!K$20)))))))))</f>
        <v>14</v>
      </c>
      <c r="AD12" s="33">
        <f>IF(Z12&lt;Bewertung_Stammdaten!R$11,Bewertung_Stammdaten!Q$11,IF(Z12&lt;Bewertung_Stammdaten!R$12,Bewertung_Stammdaten!Q$12,IF(Z12&lt;Bewertung_Stammdaten!R$13,Bewertung_Stammdaten!Q$13,IF(Z12&lt;Bewertung_Stammdaten!R$14,Bewertung_Stammdaten!Q$14,IF(Z12&lt;Bewertung_Stammdaten!R$15,Bewertung_Stammdaten!Q$15,IF(Z12&lt;Bewertung_Stammdaten!R$16,Bewertung_Stammdaten!Q$16,IF(Z12&lt;Bewertung_Stammdaten!R$17,Bewertung_Stammdaten!Q$17,IF(Z12&lt;Bewertung_Stammdaten!R$18,Bewertung_Stammdaten!Q$18,IF(Z12&lt;Bewertung_Stammdaten!R$19,Bewertung_Stammdaten!Q$19,Bewertung_Stammdaten!Q$20)))))))))</f>
        <v>3</v>
      </c>
      <c r="AE12" s="33">
        <f ca="1">IF(AB12&lt;Bewertung_Stammdaten!P$11,Bewertung_Stammdaten!O$11,IF(AB12&lt;Bewertung_Stammdaten!P$12,Bewertung_Stammdaten!O$12,IF(AB12&lt;Bewertung_Stammdaten!P$13,Bewertung_Stammdaten!O$13,IF(AB12&lt;Bewertung_Stammdaten!P$14,Bewertung_Stammdaten!O$14,IF(AB12&lt;Bewertung_Stammdaten!P$15,Bewertung_Stammdaten!O$15,IF(AB12&lt;Bewertung_Stammdaten!P$16,Bewertung_Stammdaten!O$16,IF(AB12&lt;Bewertung_Stammdaten!P$17,Bewertung_Stammdaten!O$17,IF(AB12&lt;Bewertung_Stammdaten!P$18,Bewertung_Stammdaten!O$18,IF(AB12&lt;Bewertung_Stammdaten!P$19,Bewertung_Stammdaten!O$19,Bewertung_Stammdaten!O$20)))))))))</f>
        <v>2</v>
      </c>
      <c r="AF12" s="44"/>
      <c r="AG12" s="14">
        <f ca="1">VLOOKUP(A12,Dividende_je_Aktie!A3:AM68,24,FALSE)</f>
        <v>3.5920000000000001</v>
      </c>
      <c r="AH12" s="14">
        <f>VLOOKUP(A12,Dividende_je_Aktie!A3:AM68,20,FALSE)</f>
        <v>2.5050000000000003</v>
      </c>
      <c r="AI12" s="12">
        <f ca="1">VLOOKUP(A12,Dividende_je_Aktie!A3:AM68,25,FALSE)</f>
        <v>0.43393213572854283</v>
      </c>
      <c r="AJ12" s="41">
        <f>VLOOKUP(A12,Dividende_je_Aktie!A3:AM68,39,FALSE)</f>
        <v>0</v>
      </c>
      <c r="AK12" s="16">
        <f t="shared" ca="1" si="6"/>
        <v>3.5920000000000001</v>
      </c>
      <c r="AL12" s="12">
        <f t="shared" ca="1" si="7"/>
        <v>0.43393213572854283</v>
      </c>
      <c r="AM12" s="33">
        <f ca="1">IF(AI12&lt;Bewertung_Stammdaten!P$24,Bewertung_Stammdaten!O$24,IF(AI12&lt;Bewertung_Stammdaten!P$25,Bewertung_Stammdaten!O$25,IF(AI12&lt;Bewertung_Stammdaten!P$26,Bewertung_Stammdaten!O$26,IF(AI12&lt;Bewertung_Stammdaten!P$27,Bewertung_Stammdaten!O$27,IF(AI12&lt;Bewertung_Stammdaten!P$28,Bewertung_Stammdaten!O$28,IF(AI12&lt;Bewertung_Stammdaten!P$29,Bewertung_Stammdaten!O$29,IF(AI12&lt;Bewertung_Stammdaten!P$30,Bewertung_Stammdaten!O$30,IF(AI12&lt;Bewertung_Stammdaten!P$31,Bewertung_Stammdaten!O$31,IF(AI12&lt;Bewertung_Stammdaten!P$32,Bewertung_Stammdaten!O$32,Bewertung_Stammdaten!O$33)))))))))</f>
        <v>14</v>
      </c>
      <c r="AN12" s="33">
        <f>IF(AJ12&lt;Bewertung_Stammdaten!R$24,Bewertung_Stammdaten!Q$24,IF(AJ12&lt;Bewertung_Stammdaten!R$25,Bewertung_Stammdaten!Q$25,IF(AJ12&lt;Bewertung_Stammdaten!R$26,Bewertung_Stammdaten!Q$26,IF(AJ12&lt;Bewertung_Stammdaten!R$27,Bewertung_Stammdaten!Q$27,IF(AJ12&lt;Bewertung_Stammdaten!R$28,Bewertung_Stammdaten!Q$28,IF(AJ12&lt;Bewertung_Stammdaten!R$29,Bewertung_Stammdaten!Q$29,IF(AJ12&lt;Bewertung_Stammdaten!R$30,Bewertung_Stammdaten!Q$30,IF(AJ12&lt;Bewertung_Stammdaten!R$31,Bewertung_Stammdaten!Q$31,IF(AJ12&lt;Bewertung_Stammdaten!R$32,Bewertung_Stammdaten!Q$32,Bewertung_Stammdaten!Q$33)))))))))</f>
        <v>8</v>
      </c>
      <c r="AO12" s="33">
        <f ca="1">IF(AL12&lt;Bewertung_Stammdaten!T$24,Bewertung_Stammdaten!S$24,IF(AL12&lt;Bewertung_Stammdaten!T$25,Bewertung_Stammdaten!S$25,IF(AL12&lt;Bewertung_Stammdaten!T$26,Bewertung_Stammdaten!S$26,IF(AL12&lt;Bewertung_Stammdaten!T$27,Bewertung_Stammdaten!S$27,IF(AL12&lt;Bewertung_Stammdaten!T$28,Bewertung_Stammdaten!S$28,IF(AL12&lt;Bewertung_Stammdaten!T$29,Bewertung_Stammdaten!S$29,IF(AL12&lt;Bewertung_Stammdaten!T$30,Bewertung_Stammdaten!S$30,IF(AL12&lt;Bewertung_Stammdaten!T$31,Bewertung_Stammdaten!S$31,IF(AL12&lt;Bewertung_Stammdaten!T$32,Bewertung_Stammdaten!S$32,Bewertung_Stammdaten!S$33)))))))))</f>
        <v>8</v>
      </c>
      <c r="AP12" s="44"/>
      <c r="AQ12" s="12">
        <f ca="1">VLOOKUP(A12,Dividendenrendite!A3:R68,17,FALSE)</f>
        <v>3.4738878143133464E-2</v>
      </c>
      <c r="AR12" s="12">
        <f>VLOOKUP(A12,Dividendenrendite!A3:R68,16,FALSE)</f>
        <v>2.9639398442487804E-2</v>
      </c>
      <c r="AS12" s="12">
        <f ca="1">VLOOKUP(A12,Dividendenrendite!A3:R68,18,FALSE)</f>
        <v>0.17205071521747217</v>
      </c>
      <c r="AT12" s="33">
        <f ca="1">IF(AQ12&lt;Bewertung_Stammdaten!D$11,Bewertung_Stammdaten!C$11,IF(AQ12&lt;Bewertung_Stammdaten!D$12,Bewertung_Stammdaten!C$12,IF(AQ12&lt;Bewertung_Stammdaten!D$13,Bewertung_Stammdaten!C$13,IF(AQ12&lt;Bewertung_Stammdaten!D$14,Bewertung_Stammdaten!C$14,IF(AQ12&lt;Bewertung_Stammdaten!D$15,Bewertung_Stammdaten!C$15,IF(AQ12&lt;Bewertung_Stammdaten!D$16,Bewertung_Stammdaten!C$16,IF(AQ12&lt;Bewertung_Stammdaten!D$17,Bewertung_Stammdaten!C$17,IF(AQ12&lt;Bewertung_Stammdaten!D$18,Bewertung_Stammdaten!C$18,IF(AQ12&lt;Bewertung_Stammdaten!D$19,Bewertung_Stammdaten!C$19,Bewertung_Stammdaten!C$20)))))))))</f>
        <v>10.5</v>
      </c>
      <c r="AU12" s="33">
        <f>IF(AR12&lt;Bewertung_Stammdaten!T$11,Bewertung_Stammdaten!S$11,IF(AR12&lt;Bewertung_Stammdaten!T$12,Bewertung_Stammdaten!S$12,IF(AR12&lt;Bewertung_Stammdaten!T$13,Bewertung_Stammdaten!S$13,IF(AR12&lt;Bewertung_Stammdaten!T$14,Bewertung_Stammdaten!S$14,IF(AR12&lt;Bewertung_Stammdaten!T$15,Bewertung_Stammdaten!S$15,IF(AR12&lt;Bewertung_Stammdaten!T$16,Bewertung_Stammdaten!S$16,IF(AR12&lt;Bewertung_Stammdaten!T$17,Bewertung_Stammdaten!S$17,IF(AR12&lt;Bewertung_Stammdaten!T$18,Bewertung_Stammdaten!S$18,IF(AR12&lt;Bewertung_Stammdaten!T$19,Bewertung_Stammdaten!S$19,Bewertung_Stammdaten!S$20)))))))))</f>
        <v>6</v>
      </c>
      <c r="AV12" s="33">
        <f ca="1">IF(AS12&lt;Bewertung_Stammdaten!F$11,Bewertung_Stammdaten!E$11,IF(AS12&lt;Bewertung_Stammdaten!F$12,Bewertung_Stammdaten!E$12,IF(AS12&lt;Bewertung_Stammdaten!F$13,Bewertung_Stammdaten!E$13,IF(AS12&lt;Bewertung_Stammdaten!F$14,Bewertung_Stammdaten!E$14,IF(AS12&lt;Bewertung_Stammdaten!F$15,Bewertung_Stammdaten!E$15,IF(AS12&lt;Bewertung_Stammdaten!F$16,Bewertung_Stammdaten!E$16,IF(AS12&lt;Bewertung_Stammdaten!F$17,Bewertung_Stammdaten!E$17,IF(AS12&lt;Bewertung_Stammdaten!F$18,Bewertung_Stammdaten!E$18,IF(AS12&lt;Bewertung_Stammdaten!F$19,Bewertung_Stammdaten!E$19,Bewertung_Stammdaten!E$20)))))))))</f>
        <v>4.5</v>
      </c>
      <c r="AW12" s="44"/>
      <c r="AX12" s="12">
        <f>VLOOKUP(A12,Aktien_im_Umlauf_splitbereinigt!A3:Z68,26,FALSE)</f>
        <v>0</v>
      </c>
      <c r="AY12" s="12">
        <f>VLOOKUP(A12,Aktien_im_Umlauf_splitbereinigt!A3:Y68,24,FALSE)</f>
        <v>-1.1419716938405723E-3</v>
      </c>
      <c r="AZ12" s="12">
        <f>VLOOKUP(A12,Aktien_im_Umlauf_splitbereinigt!A3:Y68,25,FALSE)</f>
        <v>-1</v>
      </c>
      <c r="BA12" s="42">
        <f>IF(AX12&lt;Bewertung_Stammdaten!J$24,Bewertung_Stammdaten!I$24,IF(AX12&lt;Bewertung_Stammdaten!J$25,Bewertung_Stammdaten!I$25,IF(AX12&lt;Bewertung_Stammdaten!J$26,Bewertung_Stammdaten!I$26,IF(AX12&lt;Bewertung_Stammdaten!J$27,Bewertung_Stammdaten!I$27,IF(AX12&lt;Bewertung_Stammdaten!J$28,Bewertung_Stammdaten!I$28,IF(AX12&lt;Bewertung_Stammdaten!J$29,Bewertung_Stammdaten!I$29,IF(AX12&lt;Bewertung_Stammdaten!J$30,Bewertung_Stammdaten!I$30,IF(AX12&lt;Bewertung_Stammdaten!J$31,Bewertung_Stammdaten!I$31,IF(AX12&lt;Bewertung_Stammdaten!J$32,Bewertung_Stammdaten!I$32,Bewertung_Stammdaten!I$33)))))))))</f>
        <v>2</v>
      </c>
      <c r="BB12" s="42">
        <f>IF(AY12&lt;Bewertung_Stammdaten!L$24,Bewertung_Stammdaten!K$24,IF(AY12&lt;Bewertung_Stammdaten!L$25,Bewertung_Stammdaten!K$25,IF(AY12&lt;Bewertung_Stammdaten!L$26,Bewertung_Stammdaten!K$26,IF(AY12&lt;Bewertung_Stammdaten!L$27,Bewertung_Stammdaten!K$27,IF(AY12&lt;Bewertung_Stammdaten!L$28,Bewertung_Stammdaten!K$28,IF(AY12&lt;Bewertung_Stammdaten!L$29,Bewertung_Stammdaten!K$29,IF(AY12&lt;Bewertung_Stammdaten!L$30,Bewertung_Stammdaten!K$30,IF(AY12&lt;Bewertung_Stammdaten!L$31,Bewertung_Stammdaten!K$31,IF(AY12&lt;Bewertung_Stammdaten!L$32,Bewertung_Stammdaten!K$32,Bewertung_Stammdaten!K$33)))))))))</f>
        <v>3</v>
      </c>
      <c r="BC12" s="42">
        <f>IF(AZ12&lt;Bewertung_Stammdaten!N$24,Bewertung_Stammdaten!M$24,IF(AZ12&lt;Bewertung_Stammdaten!N$25,Bewertung_Stammdaten!M$25,IF(AZ12&lt;Bewertung_Stammdaten!N$26,Bewertung_Stammdaten!M$26,IF(AZ12&lt;Bewertung_Stammdaten!N$27,Bewertung_Stammdaten!M$27,IF(AZ12&lt;Bewertung_Stammdaten!N$28,Bewertung_Stammdaten!M$28,IF(AZ12&lt;Bewertung_Stammdaten!N$29,Bewertung_Stammdaten!M$29,IF(AZ12&lt;Bewertung_Stammdaten!N$30,Bewertung_Stammdaten!M$30,IF(AZ12&lt;Bewertung_Stammdaten!N$31,Bewertung_Stammdaten!M$31,IF(AZ12&lt;Bewertung_Stammdaten!N$32,Bewertung_Stammdaten!M$32,Bewertung_Stammdaten!M$33)))))))))</f>
        <v>1</v>
      </c>
      <c r="BD12" s="44"/>
      <c r="BE12" s="12">
        <f ca="1">VLOOKUP(A12,Ausschüttungsquote!A3:X68,23,FALSE)</f>
        <v>0.48493211817272325</v>
      </c>
      <c r="BF12" s="12">
        <f>VLOOKUP(A12,Ausschüttungsquote!A3:X68,19,FALSE)</f>
        <v>0.54360354531145838</v>
      </c>
      <c r="BG12" s="12">
        <f ca="1">VLOOKUP(A12,Ausschüttungsquote!A3:X68,24,FALSE)</f>
        <v>-0.10793054542188329</v>
      </c>
      <c r="BH12" s="33">
        <f ca="1">IF(BE12&lt;Bewertung_Stammdaten!H$11,Bewertung_Stammdaten!G$11,IF(BE12&lt;Bewertung_Stammdaten!H$12,Bewertung_Stammdaten!G$12,IF(BE12&lt;Bewertung_Stammdaten!H$13,Bewertung_Stammdaten!G$13,IF(BE12&lt;Bewertung_Stammdaten!H$14,Bewertung_Stammdaten!G$14,IF(BE12&lt;Bewertung_Stammdaten!H$15,Bewertung_Stammdaten!G$15,IF(BE12&lt;Bewertung_Stammdaten!H$16,Bewertung_Stammdaten!G$16,IF(BE12&lt;Bewertung_Stammdaten!H$17,Bewertung_Stammdaten!G$17,IF(BE12&lt;Bewertung_Stammdaten!H$18,Bewertung_Stammdaten!G$18,IF(BE12&lt;Bewertung_Stammdaten!H$19,Bewertung_Stammdaten!G$19,Bewertung_Stammdaten!G$20)))))))))</f>
        <v>8</v>
      </c>
      <c r="BI12" s="42">
        <f>IF(BF12&lt;Bewertung_Stammdaten!B$24,Bewertung_Stammdaten!A$24,IF(BF12&lt;Bewertung_Stammdaten!B$25,Bewertung_Stammdaten!A$25,IF(BF12&lt;Bewertung_Stammdaten!B$26,Bewertung_Stammdaten!A$26,IF(BF12&lt;Bewertung_Stammdaten!B$27,Bewertung_Stammdaten!A$27,IF(BF12&lt;Bewertung_Stammdaten!B$28,Bewertung_Stammdaten!A$28,IF(BF12&lt;Bewertung_Stammdaten!B$29,Bewertung_Stammdaten!A$29,IF(BF12&lt;Bewertung_Stammdaten!B$30,Bewertung_Stammdaten!A$30,IF(BF12&lt;Bewertung_Stammdaten!B$31,Bewertung_Stammdaten!A$31,IF(BF12&lt;Bewertung_Stammdaten!B$32,Bewertung_Stammdaten!A$32,Bewertung_Stammdaten!A$33)))))))))</f>
        <v>7</v>
      </c>
      <c r="BJ12" s="33">
        <f ca="1">IF(BG12&lt;Bewertung_Stammdaten!J$11,Bewertung_Stammdaten!I$11,IF(BG12&lt;Bewertung_Stammdaten!J$12,Bewertung_Stammdaten!I$12,IF(BG12&lt;Bewertung_Stammdaten!J$13,Bewertung_Stammdaten!I$13,IF(BG12&lt;Bewertung_Stammdaten!J$14,Bewertung_Stammdaten!I$14,IF(BG12&lt;Bewertung_Stammdaten!J$15,Bewertung_Stammdaten!I$15,IF(BG12&lt;Bewertung_Stammdaten!J$16,Bewertung_Stammdaten!I$16,IF(BG12&lt;Bewertung_Stammdaten!J$17,Bewertung_Stammdaten!I$17,IF(BG12&lt;Bewertung_Stammdaten!J$18,Bewertung_Stammdaten!I$18,IF(BG12&lt;Bewertung_Stammdaten!J$19,Bewertung_Stammdaten!I$19,Bewertung_Stammdaten!I$20)))))))))</f>
        <v>8</v>
      </c>
    </row>
    <row r="13" spans="1:62" x14ac:dyDescent="0.25">
      <c r="A13" s="39" t="s">
        <v>20</v>
      </c>
      <c r="B13" s="39" t="s">
        <v>21</v>
      </c>
      <c r="C13" s="33">
        <f t="shared" ca="1" si="8"/>
        <v>99.5</v>
      </c>
      <c r="D13" s="44"/>
      <c r="E13" s="11">
        <f ca="1">VLOOKUP(A13,KGV!A3:R68,17,FALSE)</f>
        <v>11.091078398351593</v>
      </c>
      <c r="F13" s="11">
        <f>VLOOKUP(A13,KGV!A3:R68,16,FALSE)</f>
        <v>8.7109199016981762</v>
      </c>
      <c r="G13" s="12">
        <f ca="1">VLOOKUP(A13,KGV!A3:R68,18,FALSE)</f>
        <v>0.27323847808420432</v>
      </c>
      <c r="H13" s="16">
        <f t="shared" ca="1" si="0"/>
        <v>99</v>
      </c>
      <c r="I13" s="12">
        <f t="shared" ca="1" si="1"/>
        <v>10.365045381797179</v>
      </c>
      <c r="J13" s="33">
        <f ca="1">IF(G13&lt;Bewertung_Stammdaten!B$11,Bewertung_Stammdaten!A$11,IF(G13&lt;Bewertung_Stammdaten!B$12,Bewertung_Stammdaten!A$12,IF(G13&lt;Bewertung_Stammdaten!B$13,Bewertung_Stammdaten!A$13,IF(G13&lt;Bewertung_Stammdaten!B$14,Bewertung_Stammdaten!A$14,IF(G13&lt;Bewertung_Stammdaten!B$15,Bewertung_Stammdaten!A$15,IF(G13&lt;Bewertung_Stammdaten!B$16,Bewertung_Stammdaten!A$16,IF(G13&lt;Bewertung_Stammdaten!B$17,Bewertung_Stammdaten!A$17,IF(G13&lt;Bewertung_Stammdaten!B$18,Bewertung_Stammdaten!A$18,IF(G13&lt;Bewertung_Stammdaten!B$19,Bewertung_Stammdaten!A$19,Bewertung_Stammdaten!A$20)))))))))</f>
        <v>3</v>
      </c>
      <c r="K13" s="33">
        <f ca="1">IF(I13&lt;Bewertung_Stammdaten!N$11,Bewertung_Stammdaten!M$11,IF(I13&lt;Bewertung_Stammdaten!N$12,Bewertung_Stammdaten!M$12,IF(I13&lt;Bewertung_Stammdaten!N$13,Bewertung_Stammdaten!M$13,IF(I13&lt;Bewertung_Stammdaten!N$14,Bewertung_Stammdaten!M$14,IF(I13&lt;Bewertung_Stammdaten!N$15,Bewertung_Stammdaten!M$15,IF(I13&lt;Bewertung_Stammdaten!N$16,Bewertung_Stammdaten!M$16,IF(I13&lt;Bewertung_Stammdaten!N$17,Bewertung_Stammdaten!M$17,IF(I13&lt;Bewertung_Stammdaten!N$18,Bewertung_Stammdaten!M$18,IF(I13&lt;Bewertung_Stammdaten!N$19,Bewertung_Stammdaten!M$19,Bewertung_Stammdaten!M$20)))))))))</f>
        <v>1.5</v>
      </c>
      <c r="L13" s="44"/>
      <c r="M13" s="11">
        <f ca="1">VLOOKUP(A13,Buchwert_je_Aktie!A3:AK68,23,FALSE)</f>
        <v>135.01388888888889</v>
      </c>
      <c r="N13" s="11">
        <f>VLOOKUP(A13,Buchwert_je_Aktie!A3:AK68,19,FALSE)</f>
        <v>112.19153846153844</v>
      </c>
      <c r="O13" s="12">
        <f ca="1">VLOOKUP(A13,Buchwert_je_Aktie!A3:AK68,24,FALSE)</f>
        <v>0.20342309892803923</v>
      </c>
      <c r="P13" s="12">
        <f>VLOOKUP(A13,Buchwert_je_Aktie!A3:AK68,37,FALSE)</f>
        <v>-0.29904779862355046</v>
      </c>
      <c r="Q13" s="16">
        <f t="shared" ca="1" si="2"/>
        <v>94.638282633062019</v>
      </c>
      <c r="R13" s="12">
        <f t="shared" ca="1" si="3"/>
        <v>-0.15645792961912219</v>
      </c>
      <c r="S13" s="53">
        <f ca="1">IF(O13&lt;Bewertung_Stammdaten!D$24,Bewertung_Stammdaten!C$24,IF(O13&lt;Bewertung_Stammdaten!D$25,Bewertung_Stammdaten!C$25,IF(O13&lt;Bewertung_Stammdaten!D$26,Bewertung_Stammdaten!C$26,IF(O13&lt;Bewertung_Stammdaten!D$27,Bewertung_Stammdaten!C$27,IF(O13&lt;Bewertung_Stammdaten!D$28,Bewertung_Stammdaten!C$28,IF(O13&lt;Bewertung_Stammdaten!D$29,Bewertung_Stammdaten!C$29,IF(O13&lt;Bewertung_Stammdaten!D$30,Bewertung_Stammdaten!C$30,IF(O13&lt;Bewertung_Stammdaten!D$31,Bewertung_Stammdaten!C$31,IF(O13&lt;Bewertung_Stammdaten!D$32,Bewertung_Stammdaten!C$32,Bewertung_Stammdaten!C$33)))))))))</f>
        <v>7.5</v>
      </c>
      <c r="T13" s="53">
        <f>IF(P13&lt;Bewertung_Stammdaten!F$24,Bewertung_Stammdaten!E$24,IF(P13&lt;Bewertung_Stammdaten!F$25,Bewertung_Stammdaten!E$25,IF(P13&lt;Bewertung_Stammdaten!F$26,Bewertung_Stammdaten!E$26,IF(P13&lt;Bewertung_Stammdaten!F$27,Bewertung_Stammdaten!E$27,IF(P13&lt;Bewertung_Stammdaten!F$28,Bewertung_Stammdaten!E$28,IF(P13&lt;Bewertung_Stammdaten!F$29,Bewertung_Stammdaten!E$29,IF(P13&lt;Bewertung_Stammdaten!F$30,Bewertung_Stammdaten!E$30,IF(P13&lt;Bewertung_Stammdaten!F$31,Bewertung_Stammdaten!E$31,IF(P13&lt;Bewertung_Stammdaten!F$32,Bewertung_Stammdaten!E$32,Bewertung_Stammdaten!E$33)))))))))</f>
        <v>3</v>
      </c>
      <c r="U13" s="53">
        <f ca="1">IF(R13&lt;Bewertung_Stammdaten!H$24,Bewertung_Stammdaten!G$24,IF(R13&lt;Bewertung_Stammdaten!H$25,Bewertung_Stammdaten!G$25,IF(R13&lt;Bewertung_Stammdaten!H$26,Bewertung_Stammdaten!G$26,IF(R13&lt;Bewertung_Stammdaten!H$27,Bewertung_Stammdaten!G$27,IF(R13&lt;Bewertung_Stammdaten!H$28,Bewertung_Stammdaten!G$28,IF(R13&lt;Bewertung_Stammdaten!H$29,Bewertung_Stammdaten!G$29,IF(R13&lt;Bewertung_Stammdaten!H$30,Bewertung_Stammdaten!G$30,IF(R13&lt;Bewertung_Stammdaten!H$31,Bewertung_Stammdaten!G$31,IF(R13&lt;Bewertung_Stammdaten!H$32,Bewertung_Stammdaten!G$32,Bewertung_Stammdaten!G$33)))))))))</f>
        <v>1</v>
      </c>
      <c r="V13" s="44"/>
      <c r="W13" s="14">
        <f ca="1">VLOOKUP(A13,Ergebnis_je_Aktie_verwässert!A3:AK68,23,FALSE)</f>
        <v>14.020277777777778</v>
      </c>
      <c r="X13" s="14">
        <f>VLOOKUP(A13,Ergebnis_je_Aktie_verwässert!A3:AK68,19,FALSE)</f>
        <v>11.291538461538464</v>
      </c>
      <c r="Y13" s="12">
        <f ca="1">VLOOKUP(A13,Ergebnis_je_Aktie_verwässert!A3:AK68,24,FALSE)</f>
        <v>0.24166231426603368</v>
      </c>
      <c r="Z13" s="41">
        <f>VLOOKUP(A13,Ergebnis_je_Aktie_verwässert!A3:AK68,37,FALSE)</f>
        <v>-1.3088650479954826</v>
      </c>
      <c r="AA13" s="16">
        <f t="shared" ca="1" si="4"/>
        <v>-4.3303737687433319</v>
      </c>
      <c r="AB13" s="12">
        <f t="shared" ca="1" si="5"/>
        <v>-1.3835060902899605</v>
      </c>
      <c r="AC13" s="33">
        <f ca="1">IF(Y13&lt;Bewertung_Stammdaten!L$11,Bewertung_Stammdaten!K$11,IF(Y13&lt;Bewertung_Stammdaten!L$12,Bewertung_Stammdaten!K$12,IF(Y13&lt;Bewertung_Stammdaten!L$13,Bewertung_Stammdaten!K$13,IF(Y13&lt;Bewertung_Stammdaten!L$14,Bewertung_Stammdaten!K$14,IF(Y13&lt;Bewertung_Stammdaten!L$15,Bewertung_Stammdaten!K$15,IF(Y13&lt;Bewertung_Stammdaten!L$16,Bewertung_Stammdaten!K$16,IF(Y13&lt;Bewertung_Stammdaten!L$17,Bewertung_Stammdaten!K$17,IF(Y13&lt;Bewertung_Stammdaten!L$18,Bewertung_Stammdaten!K$18,IF(Y13&lt;Bewertung_Stammdaten!L$19,Bewertung_Stammdaten!K$19,Bewertung_Stammdaten!K$20)))))))))</f>
        <v>10</v>
      </c>
      <c r="AD13" s="33">
        <f>IF(Z13&lt;Bewertung_Stammdaten!R$11,Bewertung_Stammdaten!Q$11,IF(Z13&lt;Bewertung_Stammdaten!R$12,Bewertung_Stammdaten!Q$12,IF(Z13&lt;Bewertung_Stammdaten!R$13,Bewertung_Stammdaten!Q$13,IF(Z13&lt;Bewertung_Stammdaten!R$14,Bewertung_Stammdaten!Q$14,IF(Z13&lt;Bewertung_Stammdaten!R$15,Bewertung_Stammdaten!Q$15,IF(Z13&lt;Bewertung_Stammdaten!R$16,Bewertung_Stammdaten!Q$16,IF(Z13&lt;Bewertung_Stammdaten!R$17,Bewertung_Stammdaten!Q$17,IF(Z13&lt;Bewertung_Stammdaten!R$18,Bewertung_Stammdaten!Q$18,IF(Z13&lt;Bewertung_Stammdaten!R$19,Bewertung_Stammdaten!Q$19,Bewertung_Stammdaten!Q$20)))))))))</f>
        <v>1</v>
      </c>
      <c r="AE13" s="33">
        <f ca="1">IF(AB13&lt;Bewertung_Stammdaten!P$11,Bewertung_Stammdaten!O$11,IF(AB13&lt;Bewertung_Stammdaten!P$12,Bewertung_Stammdaten!O$12,IF(AB13&lt;Bewertung_Stammdaten!P$13,Bewertung_Stammdaten!O$13,IF(AB13&lt;Bewertung_Stammdaten!P$14,Bewertung_Stammdaten!O$14,IF(AB13&lt;Bewertung_Stammdaten!P$15,Bewertung_Stammdaten!O$15,IF(AB13&lt;Bewertung_Stammdaten!P$16,Bewertung_Stammdaten!O$16,IF(AB13&lt;Bewertung_Stammdaten!P$17,Bewertung_Stammdaten!O$17,IF(AB13&lt;Bewertung_Stammdaten!P$18,Bewertung_Stammdaten!O$18,IF(AB13&lt;Bewertung_Stammdaten!P$19,Bewertung_Stammdaten!O$19,Bewertung_Stammdaten!O$20)))))))))</f>
        <v>1</v>
      </c>
      <c r="AF13" s="44"/>
      <c r="AG13" s="14">
        <f ca="1">VLOOKUP(A13,Dividende_je_Aktie!A3:AM68,24,FALSE)</f>
        <v>6.9981111111111121</v>
      </c>
      <c r="AH13" s="14">
        <f>VLOOKUP(A13,Dividende_je_Aktie!A3:AM68,20,FALSE)</f>
        <v>4.7849999999999993</v>
      </c>
      <c r="AI13" s="12">
        <f ca="1">VLOOKUP(A13,Dividende_je_Aktie!A3:AM68,25,FALSE)</f>
        <v>0.46251015906188364</v>
      </c>
      <c r="AJ13" s="41">
        <f>VLOOKUP(A13,Dividende_je_Aktie!A3:AM68,39,FALSE)</f>
        <v>-0.36363636363636365</v>
      </c>
      <c r="AK13" s="16">
        <f t="shared" ca="1" si="6"/>
        <v>4.4533434343434353</v>
      </c>
      <c r="AL13" s="12">
        <f t="shared" ca="1" si="7"/>
        <v>-6.9311716960619441E-2</v>
      </c>
      <c r="AM13" s="33">
        <f ca="1">IF(AI13&lt;Bewertung_Stammdaten!P$24,Bewertung_Stammdaten!O$24,IF(AI13&lt;Bewertung_Stammdaten!P$25,Bewertung_Stammdaten!O$25,IF(AI13&lt;Bewertung_Stammdaten!P$26,Bewertung_Stammdaten!O$26,IF(AI13&lt;Bewertung_Stammdaten!P$27,Bewertung_Stammdaten!O$27,IF(AI13&lt;Bewertung_Stammdaten!P$28,Bewertung_Stammdaten!O$28,IF(AI13&lt;Bewertung_Stammdaten!P$29,Bewertung_Stammdaten!O$29,IF(AI13&lt;Bewertung_Stammdaten!P$30,Bewertung_Stammdaten!O$30,IF(AI13&lt;Bewertung_Stammdaten!P$31,Bewertung_Stammdaten!O$31,IF(AI13&lt;Bewertung_Stammdaten!P$32,Bewertung_Stammdaten!O$32,Bewertung_Stammdaten!O$33)))))))))</f>
        <v>14</v>
      </c>
      <c r="AN13" s="33">
        <f>IF(AJ13&lt;Bewertung_Stammdaten!R$24,Bewertung_Stammdaten!Q$24,IF(AJ13&lt;Bewertung_Stammdaten!R$25,Bewertung_Stammdaten!Q$25,IF(AJ13&lt;Bewertung_Stammdaten!R$26,Bewertung_Stammdaten!Q$26,IF(AJ13&lt;Bewertung_Stammdaten!R$27,Bewertung_Stammdaten!Q$27,IF(AJ13&lt;Bewertung_Stammdaten!R$28,Bewertung_Stammdaten!Q$28,IF(AJ13&lt;Bewertung_Stammdaten!R$29,Bewertung_Stammdaten!Q$29,IF(AJ13&lt;Bewertung_Stammdaten!R$30,Bewertung_Stammdaten!Q$30,IF(AJ13&lt;Bewertung_Stammdaten!R$31,Bewertung_Stammdaten!Q$31,IF(AJ13&lt;Bewertung_Stammdaten!R$32,Bewertung_Stammdaten!Q$32,Bewertung_Stammdaten!Q$33)))))))))</f>
        <v>4</v>
      </c>
      <c r="AO13" s="33">
        <f ca="1">IF(AL13&lt;Bewertung_Stammdaten!T$24,Bewertung_Stammdaten!S$24,IF(AL13&lt;Bewertung_Stammdaten!T$25,Bewertung_Stammdaten!S$25,IF(AL13&lt;Bewertung_Stammdaten!T$26,Bewertung_Stammdaten!S$26,IF(AL13&lt;Bewertung_Stammdaten!T$27,Bewertung_Stammdaten!S$27,IF(AL13&lt;Bewertung_Stammdaten!T$28,Bewertung_Stammdaten!S$28,IF(AL13&lt;Bewertung_Stammdaten!T$29,Bewertung_Stammdaten!S$29,IF(AL13&lt;Bewertung_Stammdaten!T$30,Bewertung_Stammdaten!S$30,IF(AL13&lt;Bewertung_Stammdaten!T$31,Bewertung_Stammdaten!S$31,IF(AL13&lt;Bewertung_Stammdaten!T$32,Bewertung_Stammdaten!S$32,Bewertung_Stammdaten!S$33)))))))))</f>
        <v>3</v>
      </c>
      <c r="AP13" s="44"/>
      <c r="AQ13" s="12">
        <f ca="1">VLOOKUP(A13,Dividendenrendite!A3:R68,17,FALSE)</f>
        <v>4.5003929974991072E-2</v>
      </c>
      <c r="AR13" s="12">
        <f>VLOOKUP(A13,Dividendenrendite!A3:R68,16,FALSE)</f>
        <v>4.0317078928945059E-2</v>
      </c>
      <c r="AS13" s="12">
        <f ca="1">VLOOKUP(A13,Dividendenrendite!A3:R68,18,FALSE)</f>
        <v>0.11624976735805026</v>
      </c>
      <c r="AT13" s="33">
        <f ca="1">IF(AQ13&lt;Bewertung_Stammdaten!D$11,Bewertung_Stammdaten!C$11,IF(AQ13&lt;Bewertung_Stammdaten!D$12,Bewertung_Stammdaten!C$12,IF(AQ13&lt;Bewertung_Stammdaten!D$13,Bewertung_Stammdaten!C$13,IF(AQ13&lt;Bewertung_Stammdaten!D$14,Bewertung_Stammdaten!C$14,IF(AQ13&lt;Bewertung_Stammdaten!D$15,Bewertung_Stammdaten!C$15,IF(AQ13&lt;Bewertung_Stammdaten!D$16,Bewertung_Stammdaten!C$16,IF(AQ13&lt;Bewertung_Stammdaten!D$17,Bewertung_Stammdaten!C$17,IF(AQ13&lt;Bewertung_Stammdaten!D$18,Bewertung_Stammdaten!C$18,IF(AQ13&lt;Bewertung_Stammdaten!D$19,Bewertung_Stammdaten!C$19,Bewertung_Stammdaten!C$20)))))))))</f>
        <v>15</v>
      </c>
      <c r="AU13" s="33">
        <f>IF(AR13&lt;Bewertung_Stammdaten!T$11,Bewertung_Stammdaten!S$11,IF(AR13&lt;Bewertung_Stammdaten!T$12,Bewertung_Stammdaten!S$12,IF(AR13&lt;Bewertung_Stammdaten!T$13,Bewertung_Stammdaten!S$13,IF(AR13&lt;Bewertung_Stammdaten!T$14,Bewertung_Stammdaten!S$14,IF(AR13&lt;Bewertung_Stammdaten!T$15,Bewertung_Stammdaten!S$15,IF(AR13&lt;Bewertung_Stammdaten!T$16,Bewertung_Stammdaten!S$16,IF(AR13&lt;Bewertung_Stammdaten!T$17,Bewertung_Stammdaten!S$17,IF(AR13&lt;Bewertung_Stammdaten!T$18,Bewertung_Stammdaten!S$18,IF(AR13&lt;Bewertung_Stammdaten!T$19,Bewertung_Stammdaten!S$19,Bewertung_Stammdaten!S$20)))))))))</f>
        <v>9</v>
      </c>
      <c r="AV13" s="33">
        <f ca="1">IF(AS13&lt;Bewertung_Stammdaten!F$11,Bewertung_Stammdaten!E$11,IF(AS13&lt;Bewertung_Stammdaten!F$12,Bewertung_Stammdaten!E$12,IF(AS13&lt;Bewertung_Stammdaten!F$13,Bewertung_Stammdaten!E$13,IF(AS13&lt;Bewertung_Stammdaten!F$14,Bewertung_Stammdaten!E$14,IF(AS13&lt;Bewertung_Stammdaten!F$15,Bewertung_Stammdaten!E$15,IF(AS13&lt;Bewertung_Stammdaten!F$16,Bewertung_Stammdaten!E$16,IF(AS13&lt;Bewertung_Stammdaten!F$17,Bewertung_Stammdaten!E$17,IF(AS13&lt;Bewertung_Stammdaten!F$18,Bewertung_Stammdaten!E$18,IF(AS13&lt;Bewertung_Stammdaten!F$19,Bewertung_Stammdaten!E$19,Bewertung_Stammdaten!E$20)))))))))</f>
        <v>4</v>
      </c>
      <c r="AW13" s="44"/>
      <c r="AX13" s="12">
        <f>VLOOKUP(A13,Aktien_im_Umlauf_splitbereinigt!A3:Z68,26,FALSE)</f>
        <v>1.0952902519167917E-3</v>
      </c>
      <c r="AY13" s="12">
        <f>VLOOKUP(A13,Aktien_im_Umlauf_splitbereinigt!A3:Y68,24,FALSE)</f>
        <v>1.3466371515281727E-2</v>
      </c>
      <c r="AZ13" s="12">
        <f>VLOOKUP(A13,Aktien_im_Umlauf_splitbereinigt!A3:Y68,25,FALSE)</f>
        <v>-99.999989999999997</v>
      </c>
      <c r="BA13" s="42">
        <f>IF(AX13&lt;Bewertung_Stammdaten!J$24,Bewertung_Stammdaten!I$24,IF(AX13&lt;Bewertung_Stammdaten!J$25,Bewertung_Stammdaten!I$25,IF(AX13&lt;Bewertung_Stammdaten!J$26,Bewertung_Stammdaten!I$26,IF(AX13&lt;Bewertung_Stammdaten!J$27,Bewertung_Stammdaten!I$27,IF(AX13&lt;Bewertung_Stammdaten!J$28,Bewertung_Stammdaten!I$28,IF(AX13&lt;Bewertung_Stammdaten!J$29,Bewertung_Stammdaten!I$29,IF(AX13&lt;Bewertung_Stammdaten!J$30,Bewertung_Stammdaten!I$30,IF(AX13&lt;Bewertung_Stammdaten!J$31,Bewertung_Stammdaten!I$31,IF(AX13&lt;Bewertung_Stammdaten!J$32,Bewertung_Stammdaten!I$32,Bewertung_Stammdaten!I$33)))))))))</f>
        <v>2</v>
      </c>
      <c r="BB13" s="42">
        <f>IF(AY13&lt;Bewertung_Stammdaten!L$24,Bewertung_Stammdaten!K$24,IF(AY13&lt;Bewertung_Stammdaten!L$25,Bewertung_Stammdaten!K$25,IF(AY13&lt;Bewertung_Stammdaten!L$26,Bewertung_Stammdaten!K$26,IF(AY13&lt;Bewertung_Stammdaten!L$27,Bewertung_Stammdaten!K$27,IF(AY13&lt;Bewertung_Stammdaten!L$28,Bewertung_Stammdaten!K$28,IF(AY13&lt;Bewertung_Stammdaten!L$29,Bewertung_Stammdaten!K$29,IF(AY13&lt;Bewertung_Stammdaten!L$30,Bewertung_Stammdaten!K$30,IF(AY13&lt;Bewertung_Stammdaten!L$31,Bewertung_Stammdaten!K$31,IF(AY13&lt;Bewertung_Stammdaten!L$32,Bewertung_Stammdaten!K$32,Bewertung_Stammdaten!K$33)))))))))</f>
        <v>1</v>
      </c>
      <c r="BC13" s="42">
        <f>IF(AZ13&lt;Bewertung_Stammdaten!N$24,Bewertung_Stammdaten!M$24,IF(AZ13&lt;Bewertung_Stammdaten!N$25,Bewertung_Stammdaten!M$25,IF(AZ13&lt;Bewertung_Stammdaten!N$26,Bewertung_Stammdaten!M$26,IF(AZ13&lt;Bewertung_Stammdaten!N$27,Bewertung_Stammdaten!M$27,IF(AZ13&lt;Bewertung_Stammdaten!N$28,Bewertung_Stammdaten!M$28,IF(AZ13&lt;Bewertung_Stammdaten!N$29,Bewertung_Stammdaten!M$29,IF(AZ13&lt;Bewertung_Stammdaten!N$30,Bewertung_Stammdaten!M$30,IF(AZ13&lt;Bewertung_Stammdaten!N$31,Bewertung_Stammdaten!M$31,IF(AZ13&lt;Bewertung_Stammdaten!N$32,Bewertung_Stammdaten!M$32,Bewertung_Stammdaten!M$33)))))))))</f>
        <v>0.5</v>
      </c>
      <c r="BD13" s="44"/>
      <c r="BE13" s="12">
        <f ca="1">VLOOKUP(A13,Ausschüttungsquote!A3:X68,23,FALSE)</f>
        <v>0.49914292750197009</v>
      </c>
      <c r="BF13" s="12">
        <f>VLOOKUP(A13,Ausschüttungsquote!A3:X68,19,FALSE)</f>
        <v>1.1647556946058175</v>
      </c>
      <c r="BG13" s="12">
        <f ca="1">VLOOKUP(A13,Ausschüttungsquote!A3:X68,24,FALSE)</f>
        <v>-0.57146126881921577</v>
      </c>
      <c r="BH13" s="33">
        <f ca="1">IF(BE13&lt;Bewertung_Stammdaten!H$11,Bewertung_Stammdaten!G$11,IF(BE13&lt;Bewertung_Stammdaten!H$12,Bewertung_Stammdaten!G$12,IF(BE13&lt;Bewertung_Stammdaten!H$13,Bewertung_Stammdaten!G$13,IF(BE13&lt;Bewertung_Stammdaten!H$14,Bewertung_Stammdaten!G$14,IF(BE13&lt;Bewertung_Stammdaten!H$15,Bewertung_Stammdaten!G$15,IF(BE13&lt;Bewertung_Stammdaten!H$16,Bewertung_Stammdaten!G$16,IF(BE13&lt;Bewertung_Stammdaten!H$17,Bewertung_Stammdaten!G$17,IF(BE13&lt;Bewertung_Stammdaten!H$18,Bewertung_Stammdaten!G$18,IF(BE13&lt;Bewertung_Stammdaten!H$19,Bewertung_Stammdaten!G$19,Bewertung_Stammdaten!G$20)))))))))</f>
        <v>8</v>
      </c>
      <c r="BI13" s="42">
        <f>IF(BF13&lt;Bewertung_Stammdaten!B$24,Bewertung_Stammdaten!A$24,IF(BF13&lt;Bewertung_Stammdaten!B$25,Bewertung_Stammdaten!A$25,IF(BF13&lt;Bewertung_Stammdaten!B$26,Bewertung_Stammdaten!A$26,IF(BF13&lt;Bewertung_Stammdaten!B$27,Bewertung_Stammdaten!A$27,IF(BF13&lt;Bewertung_Stammdaten!B$28,Bewertung_Stammdaten!A$28,IF(BF13&lt;Bewertung_Stammdaten!B$29,Bewertung_Stammdaten!A$29,IF(BF13&lt;Bewertung_Stammdaten!B$30,Bewertung_Stammdaten!A$30,IF(BF13&lt;Bewertung_Stammdaten!B$31,Bewertung_Stammdaten!A$31,IF(BF13&lt;Bewertung_Stammdaten!B$32,Bewertung_Stammdaten!A$32,Bewertung_Stammdaten!A$33)))))))))</f>
        <v>1</v>
      </c>
      <c r="BJ13" s="33">
        <f ca="1">IF(BG13&lt;Bewertung_Stammdaten!J$11,Bewertung_Stammdaten!I$11,IF(BG13&lt;Bewertung_Stammdaten!J$12,Bewertung_Stammdaten!I$12,IF(BG13&lt;Bewertung_Stammdaten!J$13,Bewertung_Stammdaten!I$13,IF(BG13&lt;Bewertung_Stammdaten!J$14,Bewertung_Stammdaten!I$14,IF(BG13&lt;Bewertung_Stammdaten!J$15,Bewertung_Stammdaten!I$15,IF(BG13&lt;Bewertung_Stammdaten!J$16,Bewertung_Stammdaten!I$16,IF(BG13&lt;Bewertung_Stammdaten!J$17,Bewertung_Stammdaten!I$17,IF(BG13&lt;Bewertung_Stammdaten!J$18,Bewertung_Stammdaten!I$18,IF(BG13&lt;Bewertung_Stammdaten!J$19,Bewertung_Stammdaten!I$19,Bewertung_Stammdaten!I$20)))))))))</f>
        <v>10</v>
      </c>
    </row>
    <row r="14" spans="1:62" x14ac:dyDescent="0.25">
      <c r="A14" s="39" t="s">
        <v>22</v>
      </c>
      <c r="B14" s="39" t="s">
        <v>23</v>
      </c>
      <c r="C14" s="33">
        <f t="shared" ca="1" si="8"/>
        <v>126</v>
      </c>
      <c r="D14" s="44"/>
      <c r="E14" s="11">
        <f ca="1">VLOOKUP(A14,KGV!A3:R68,17,FALSE)</f>
        <v>11.381918129035405</v>
      </c>
      <c r="F14" s="11">
        <f>VLOOKUP(A14,KGV!A3:R68,16,FALSE)</f>
        <v>8.5714285714285712</v>
      </c>
      <c r="G14" s="12">
        <f ca="1">VLOOKUP(A14,KGV!A3:R68,18,FALSE)</f>
        <v>0.32789044838746406</v>
      </c>
      <c r="H14" s="16">
        <f t="shared" ca="1" si="0"/>
        <v>37.727880904873693</v>
      </c>
      <c r="I14" s="12">
        <f t="shared" ca="1" si="1"/>
        <v>3.4015861055685974</v>
      </c>
      <c r="J14" s="33">
        <f ca="1">IF(G14&lt;Bewertung_Stammdaten!B$11,Bewertung_Stammdaten!A$11,IF(G14&lt;Bewertung_Stammdaten!B$12,Bewertung_Stammdaten!A$12,IF(G14&lt;Bewertung_Stammdaten!B$13,Bewertung_Stammdaten!A$13,IF(G14&lt;Bewertung_Stammdaten!B$14,Bewertung_Stammdaten!A$14,IF(G14&lt;Bewertung_Stammdaten!B$15,Bewertung_Stammdaten!A$15,IF(G14&lt;Bewertung_Stammdaten!B$16,Bewertung_Stammdaten!A$16,IF(G14&lt;Bewertung_Stammdaten!B$17,Bewertung_Stammdaten!A$17,IF(G14&lt;Bewertung_Stammdaten!B$18,Bewertung_Stammdaten!A$18,IF(G14&lt;Bewertung_Stammdaten!B$19,Bewertung_Stammdaten!A$19,Bewertung_Stammdaten!A$20)))))))))</f>
        <v>3</v>
      </c>
      <c r="K14" s="33">
        <f ca="1">IF(I14&lt;Bewertung_Stammdaten!N$11,Bewertung_Stammdaten!M$11,IF(I14&lt;Bewertung_Stammdaten!N$12,Bewertung_Stammdaten!M$12,IF(I14&lt;Bewertung_Stammdaten!N$13,Bewertung_Stammdaten!M$13,IF(I14&lt;Bewertung_Stammdaten!N$14,Bewertung_Stammdaten!M$14,IF(I14&lt;Bewertung_Stammdaten!N$15,Bewertung_Stammdaten!M$15,IF(I14&lt;Bewertung_Stammdaten!N$16,Bewertung_Stammdaten!M$16,IF(I14&lt;Bewertung_Stammdaten!N$17,Bewertung_Stammdaten!M$17,IF(I14&lt;Bewertung_Stammdaten!N$18,Bewertung_Stammdaten!M$18,IF(I14&lt;Bewertung_Stammdaten!N$19,Bewertung_Stammdaten!M$19,Bewertung_Stammdaten!M$20)))))))))</f>
        <v>1.5</v>
      </c>
      <c r="L14" s="44"/>
      <c r="M14" s="11">
        <f ca="1">VLOOKUP(A14,Buchwert_je_Aktie!A3:AK68,23,FALSE)</f>
        <v>182.62222222222221</v>
      </c>
      <c r="N14" s="11">
        <f>VLOOKUP(A14,Buchwert_je_Aktie!A3:AK68,19,FALSE)</f>
        <v>141.44307692307689</v>
      </c>
      <c r="O14" s="12">
        <f ca="1">VLOOKUP(A14,Buchwert_je_Aktie!A3:AK68,24,FALSE)</f>
        <v>0.29113581374887931</v>
      </c>
      <c r="P14" s="12">
        <f>VLOOKUP(A14,Buchwert_je_Aktie!A3:AK68,37,FALSE)</f>
        <v>-0.11307081114118578</v>
      </c>
      <c r="Q14" s="16">
        <f t="shared" ca="1" si="2"/>
        <v>161.97297942314967</v>
      </c>
      <c r="R14" s="12">
        <f t="shared" ca="1" si="3"/>
        <v>0.14514603999485853</v>
      </c>
      <c r="S14" s="53">
        <f ca="1">IF(O14&lt;Bewertung_Stammdaten!D$24,Bewertung_Stammdaten!C$24,IF(O14&lt;Bewertung_Stammdaten!D$25,Bewertung_Stammdaten!C$25,IF(O14&lt;Bewertung_Stammdaten!D$26,Bewertung_Stammdaten!C$26,IF(O14&lt;Bewertung_Stammdaten!D$27,Bewertung_Stammdaten!C$27,IF(O14&lt;Bewertung_Stammdaten!D$28,Bewertung_Stammdaten!C$28,IF(O14&lt;Bewertung_Stammdaten!D$29,Bewertung_Stammdaten!C$29,IF(O14&lt;Bewertung_Stammdaten!D$30,Bewertung_Stammdaten!C$30,IF(O14&lt;Bewertung_Stammdaten!D$31,Bewertung_Stammdaten!C$31,IF(O14&lt;Bewertung_Stammdaten!D$32,Bewertung_Stammdaten!C$32,Bewertung_Stammdaten!C$33)))))))))</f>
        <v>7.5</v>
      </c>
      <c r="T14" s="53">
        <f>IF(P14&lt;Bewertung_Stammdaten!F$24,Bewertung_Stammdaten!E$24,IF(P14&lt;Bewertung_Stammdaten!F$25,Bewertung_Stammdaten!E$25,IF(P14&lt;Bewertung_Stammdaten!F$26,Bewertung_Stammdaten!E$26,IF(P14&lt;Bewertung_Stammdaten!F$27,Bewertung_Stammdaten!E$27,IF(P14&lt;Bewertung_Stammdaten!F$28,Bewertung_Stammdaten!E$28,IF(P14&lt;Bewertung_Stammdaten!F$29,Bewertung_Stammdaten!E$29,IF(P14&lt;Bewertung_Stammdaten!F$30,Bewertung_Stammdaten!E$30,IF(P14&lt;Bewertung_Stammdaten!F$31,Bewertung_Stammdaten!E$31,IF(P14&lt;Bewertung_Stammdaten!F$32,Bewertung_Stammdaten!E$32,Bewertung_Stammdaten!E$33)))))))))</f>
        <v>7.5</v>
      </c>
      <c r="U14" s="53">
        <f ca="1">IF(R14&lt;Bewertung_Stammdaten!H$24,Bewertung_Stammdaten!G$24,IF(R14&lt;Bewertung_Stammdaten!H$25,Bewertung_Stammdaten!G$25,IF(R14&lt;Bewertung_Stammdaten!H$26,Bewertung_Stammdaten!G$26,IF(R14&lt;Bewertung_Stammdaten!H$27,Bewertung_Stammdaten!G$27,IF(R14&lt;Bewertung_Stammdaten!H$28,Bewertung_Stammdaten!G$28,IF(R14&lt;Bewertung_Stammdaten!H$29,Bewertung_Stammdaten!G$29,IF(R14&lt;Bewertung_Stammdaten!H$30,Bewertung_Stammdaten!G$30,IF(R14&lt;Bewertung_Stammdaten!H$31,Bewertung_Stammdaten!G$31,IF(R14&lt;Bewertung_Stammdaten!H$32,Bewertung_Stammdaten!G$32,Bewertung_Stammdaten!G$33)))))))))</f>
        <v>4</v>
      </c>
      <c r="V14" s="44"/>
      <c r="W14" s="14">
        <f ca="1">VLOOKUP(A14,Ergebnis_je_Aktie_verwässert!A3:AK68,23,FALSE)</f>
        <v>17.079722222222223</v>
      </c>
      <c r="X14" s="14">
        <f>VLOOKUP(A14,Ergebnis_je_Aktie_verwässert!A3:AK68,19,FALSE)</f>
        <v>14.472307692307691</v>
      </c>
      <c r="Y14" s="12">
        <f ca="1">VLOOKUP(A14,Ergebnis_je_Aktie_verwässert!A3:AK68,24,FALSE)</f>
        <v>0.18016577489576346</v>
      </c>
      <c r="Z14" s="41">
        <f>VLOOKUP(A14,Ergebnis_je_Aktie_verwässert!A3:AK68,37,FALSE)</f>
        <v>-0.69831546707503822</v>
      </c>
      <c r="AA14" s="16">
        <f t="shared" ca="1" si="4"/>
        <v>5.1526880210992019</v>
      </c>
      <c r="AB14" s="12">
        <f t="shared" ca="1" si="5"/>
        <v>-0.64396223942654607</v>
      </c>
      <c r="AC14" s="33">
        <f ca="1">IF(Y14&lt;Bewertung_Stammdaten!L$11,Bewertung_Stammdaten!K$11,IF(Y14&lt;Bewertung_Stammdaten!L$12,Bewertung_Stammdaten!K$12,IF(Y14&lt;Bewertung_Stammdaten!L$13,Bewertung_Stammdaten!K$13,IF(Y14&lt;Bewertung_Stammdaten!L$14,Bewertung_Stammdaten!K$14,IF(Y14&lt;Bewertung_Stammdaten!L$15,Bewertung_Stammdaten!K$15,IF(Y14&lt;Bewertung_Stammdaten!L$16,Bewertung_Stammdaten!K$16,IF(Y14&lt;Bewertung_Stammdaten!L$17,Bewertung_Stammdaten!K$17,IF(Y14&lt;Bewertung_Stammdaten!L$18,Bewertung_Stammdaten!K$18,IF(Y14&lt;Bewertung_Stammdaten!L$19,Bewertung_Stammdaten!K$19,Bewertung_Stammdaten!K$20)))))))))</f>
        <v>8</v>
      </c>
      <c r="AD14" s="33">
        <f>IF(Z14&lt;Bewertung_Stammdaten!R$11,Bewertung_Stammdaten!Q$11,IF(Z14&lt;Bewertung_Stammdaten!R$12,Bewertung_Stammdaten!Q$12,IF(Z14&lt;Bewertung_Stammdaten!R$13,Bewertung_Stammdaten!Q$13,IF(Z14&lt;Bewertung_Stammdaten!R$14,Bewertung_Stammdaten!Q$14,IF(Z14&lt;Bewertung_Stammdaten!R$15,Bewertung_Stammdaten!Q$15,IF(Z14&lt;Bewertung_Stammdaten!R$16,Bewertung_Stammdaten!Q$16,IF(Z14&lt;Bewertung_Stammdaten!R$17,Bewertung_Stammdaten!Q$17,IF(Z14&lt;Bewertung_Stammdaten!R$18,Bewertung_Stammdaten!Q$18,IF(Z14&lt;Bewertung_Stammdaten!R$19,Bewertung_Stammdaten!Q$19,Bewertung_Stammdaten!Q$20)))))))))</f>
        <v>1</v>
      </c>
      <c r="AE14" s="33">
        <f ca="1">IF(AB14&lt;Bewertung_Stammdaten!P$11,Bewertung_Stammdaten!O$11,IF(AB14&lt;Bewertung_Stammdaten!P$12,Bewertung_Stammdaten!O$12,IF(AB14&lt;Bewertung_Stammdaten!P$13,Bewertung_Stammdaten!O$13,IF(AB14&lt;Bewertung_Stammdaten!P$14,Bewertung_Stammdaten!O$14,IF(AB14&lt;Bewertung_Stammdaten!P$15,Bewertung_Stammdaten!O$15,IF(AB14&lt;Bewertung_Stammdaten!P$16,Bewertung_Stammdaten!O$16,IF(AB14&lt;Bewertung_Stammdaten!P$17,Bewertung_Stammdaten!O$17,IF(AB14&lt;Bewertung_Stammdaten!P$18,Bewertung_Stammdaten!O$18,IF(AB14&lt;Bewertung_Stammdaten!P$19,Bewertung_Stammdaten!O$19,Bewertung_Stammdaten!O$20)))))))))</f>
        <v>1</v>
      </c>
      <c r="AF14" s="44"/>
      <c r="AG14" s="14">
        <f ca="1">VLOOKUP(A14,Dividende_je_Aktie!A3:AM68,24,FALSE)</f>
        <v>7.9106944444444443</v>
      </c>
      <c r="AH14" s="14">
        <f>VLOOKUP(A14,Dividende_je_Aktie!A3:AM68,20,FALSE)</f>
        <v>5.992857142857142</v>
      </c>
      <c r="AI14" s="12">
        <f ca="1">VLOOKUP(A14,Dividende_je_Aktie!A3:AM68,25,FALSE)</f>
        <v>0.32002052708250583</v>
      </c>
      <c r="AJ14" s="41">
        <f>VLOOKUP(A14,Dividende_je_Aktie!A3:AM68,39,FALSE)</f>
        <v>-0.12700369913686804</v>
      </c>
      <c r="AK14" s="16">
        <f t="shared" ca="1" si="6"/>
        <v>6.9060069872585288</v>
      </c>
      <c r="AL14" s="12">
        <f t="shared" ca="1" si="7"/>
        <v>0.15237303720642936</v>
      </c>
      <c r="AM14" s="33">
        <f ca="1">IF(AI14&lt;Bewertung_Stammdaten!P$24,Bewertung_Stammdaten!O$24,IF(AI14&lt;Bewertung_Stammdaten!P$25,Bewertung_Stammdaten!O$25,IF(AI14&lt;Bewertung_Stammdaten!P$26,Bewertung_Stammdaten!O$26,IF(AI14&lt;Bewertung_Stammdaten!P$27,Bewertung_Stammdaten!O$27,IF(AI14&lt;Bewertung_Stammdaten!P$28,Bewertung_Stammdaten!O$28,IF(AI14&lt;Bewertung_Stammdaten!P$29,Bewertung_Stammdaten!O$29,IF(AI14&lt;Bewertung_Stammdaten!P$30,Bewertung_Stammdaten!O$30,IF(AI14&lt;Bewertung_Stammdaten!P$31,Bewertung_Stammdaten!O$31,IF(AI14&lt;Bewertung_Stammdaten!P$32,Bewertung_Stammdaten!O$32,Bewertung_Stammdaten!O$33)))))))))</f>
        <v>12</v>
      </c>
      <c r="AN14" s="33">
        <f>IF(AJ14&lt;Bewertung_Stammdaten!R$24,Bewertung_Stammdaten!Q$24,IF(AJ14&lt;Bewertung_Stammdaten!R$25,Bewertung_Stammdaten!Q$25,IF(AJ14&lt;Bewertung_Stammdaten!R$26,Bewertung_Stammdaten!Q$26,IF(AJ14&lt;Bewertung_Stammdaten!R$27,Bewertung_Stammdaten!Q$27,IF(AJ14&lt;Bewertung_Stammdaten!R$28,Bewertung_Stammdaten!Q$28,IF(AJ14&lt;Bewertung_Stammdaten!R$29,Bewertung_Stammdaten!Q$29,IF(AJ14&lt;Bewertung_Stammdaten!R$30,Bewertung_Stammdaten!Q$30,IF(AJ14&lt;Bewertung_Stammdaten!R$31,Bewertung_Stammdaten!Q$31,IF(AJ14&lt;Bewertung_Stammdaten!R$32,Bewertung_Stammdaten!Q$32,Bewertung_Stammdaten!Q$33)))))))))</f>
        <v>6</v>
      </c>
      <c r="AO14" s="33">
        <f ca="1">IF(AL14&lt;Bewertung_Stammdaten!T$24,Bewertung_Stammdaten!S$24,IF(AL14&lt;Bewertung_Stammdaten!T$25,Bewertung_Stammdaten!S$25,IF(AL14&lt;Bewertung_Stammdaten!T$26,Bewertung_Stammdaten!S$26,IF(AL14&lt;Bewertung_Stammdaten!T$27,Bewertung_Stammdaten!S$27,IF(AL14&lt;Bewertung_Stammdaten!T$28,Bewertung_Stammdaten!S$28,IF(AL14&lt;Bewertung_Stammdaten!T$29,Bewertung_Stammdaten!S$29,IF(AL14&lt;Bewertung_Stammdaten!T$30,Bewertung_Stammdaten!S$30,IF(AL14&lt;Bewertung_Stammdaten!T$31,Bewertung_Stammdaten!S$31,IF(AL14&lt;Bewertung_Stammdaten!T$32,Bewertung_Stammdaten!S$32,Bewertung_Stammdaten!S$33)))))))))</f>
        <v>6</v>
      </c>
      <c r="AP14" s="44"/>
      <c r="AQ14" s="12">
        <f ca="1">VLOOKUP(A14,Dividendenrendite!A3:R68,17,FALSE)</f>
        <v>4.0692872656607225E-2</v>
      </c>
      <c r="AR14" s="12">
        <f>VLOOKUP(A14,Dividendenrendite!A3:R68,16,FALSE)</f>
        <v>4.4171757453120859E-2</v>
      </c>
      <c r="AS14" s="12">
        <f ca="1">VLOOKUP(A14,Dividendenrendite!A3:R68,18,FALSE)</f>
        <v>-7.8758125035114257E-2</v>
      </c>
      <c r="AT14" s="33">
        <f ca="1">IF(AQ14&lt;Bewertung_Stammdaten!D$11,Bewertung_Stammdaten!C$11,IF(AQ14&lt;Bewertung_Stammdaten!D$12,Bewertung_Stammdaten!C$12,IF(AQ14&lt;Bewertung_Stammdaten!D$13,Bewertung_Stammdaten!C$13,IF(AQ14&lt;Bewertung_Stammdaten!D$14,Bewertung_Stammdaten!C$14,IF(AQ14&lt;Bewertung_Stammdaten!D$15,Bewertung_Stammdaten!C$15,IF(AQ14&lt;Bewertung_Stammdaten!D$16,Bewertung_Stammdaten!C$16,IF(AQ14&lt;Bewertung_Stammdaten!D$17,Bewertung_Stammdaten!C$17,IF(AQ14&lt;Bewertung_Stammdaten!D$18,Bewertung_Stammdaten!C$18,IF(AQ14&lt;Bewertung_Stammdaten!D$19,Bewertung_Stammdaten!C$19,Bewertung_Stammdaten!C$20)))))))))</f>
        <v>13.5</v>
      </c>
      <c r="AU14" s="33">
        <f>IF(AR14&lt;Bewertung_Stammdaten!T$11,Bewertung_Stammdaten!S$11,IF(AR14&lt;Bewertung_Stammdaten!T$12,Bewertung_Stammdaten!S$12,IF(AR14&lt;Bewertung_Stammdaten!T$13,Bewertung_Stammdaten!S$13,IF(AR14&lt;Bewertung_Stammdaten!T$14,Bewertung_Stammdaten!S$14,IF(AR14&lt;Bewertung_Stammdaten!T$15,Bewertung_Stammdaten!S$15,IF(AR14&lt;Bewertung_Stammdaten!T$16,Bewertung_Stammdaten!S$16,IF(AR14&lt;Bewertung_Stammdaten!T$17,Bewertung_Stammdaten!S$17,IF(AR14&lt;Bewertung_Stammdaten!T$18,Bewertung_Stammdaten!S$18,IF(AR14&lt;Bewertung_Stammdaten!T$19,Bewertung_Stammdaten!S$19,Bewertung_Stammdaten!S$20)))))))))</f>
        <v>9</v>
      </c>
      <c r="AV14" s="33">
        <f ca="1">IF(AS14&lt;Bewertung_Stammdaten!F$11,Bewertung_Stammdaten!E$11,IF(AS14&lt;Bewertung_Stammdaten!F$12,Bewertung_Stammdaten!E$12,IF(AS14&lt;Bewertung_Stammdaten!F$13,Bewertung_Stammdaten!E$13,IF(AS14&lt;Bewertung_Stammdaten!F$14,Bewertung_Stammdaten!E$14,IF(AS14&lt;Bewertung_Stammdaten!F$15,Bewertung_Stammdaten!E$15,IF(AS14&lt;Bewertung_Stammdaten!F$16,Bewertung_Stammdaten!E$16,IF(AS14&lt;Bewertung_Stammdaten!F$17,Bewertung_Stammdaten!E$17,IF(AS14&lt;Bewertung_Stammdaten!F$18,Bewertung_Stammdaten!E$18,IF(AS14&lt;Bewertung_Stammdaten!F$19,Bewertung_Stammdaten!E$19,Bewertung_Stammdaten!E$20)))))))))</f>
        <v>2</v>
      </c>
      <c r="AW14" s="44"/>
      <c r="AX14" s="12">
        <f>VLOOKUP(A14,Aktien_im_Umlauf_splitbereinigt!A3:Z68,26,FALSE)</f>
        <v>-3.5686405709824953E-2</v>
      </c>
      <c r="AY14" s="12">
        <f>VLOOKUP(A14,Aktien_im_Umlauf_splitbereinigt!A3:Y68,24,FALSE)</f>
        <v>-3.0743904868583732E-2</v>
      </c>
      <c r="AZ14" s="12">
        <f>VLOOKUP(A14,Aktien_im_Umlauf_splitbereinigt!A3:Y68,25,FALSE)</f>
        <v>0.16076360053702277</v>
      </c>
      <c r="BA14" s="42">
        <f>IF(AX14&lt;Bewertung_Stammdaten!J$24,Bewertung_Stammdaten!I$24,IF(AX14&lt;Bewertung_Stammdaten!J$25,Bewertung_Stammdaten!I$25,IF(AX14&lt;Bewertung_Stammdaten!J$26,Bewertung_Stammdaten!I$26,IF(AX14&lt;Bewertung_Stammdaten!J$27,Bewertung_Stammdaten!I$27,IF(AX14&lt;Bewertung_Stammdaten!J$28,Bewertung_Stammdaten!I$28,IF(AX14&lt;Bewertung_Stammdaten!J$29,Bewertung_Stammdaten!I$29,IF(AX14&lt;Bewertung_Stammdaten!J$30,Bewertung_Stammdaten!I$30,IF(AX14&lt;Bewertung_Stammdaten!J$31,Bewertung_Stammdaten!I$31,IF(AX14&lt;Bewertung_Stammdaten!J$32,Bewertung_Stammdaten!I$32,Bewertung_Stammdaten!I$33)))))))))</f>
        <v>10</v>
      </c>
      <c r="BB14" s="42">
        <f>IF(AY14&lt;Bewertung_Stammdaten!L$24,Bewertung_Stammdaten!K$24,IF(AY14&lt;Bewertung_Stammdaten!L$25,Bewertung_Stammdaten!K$25,IF(AY14&lt;Bewertung_Stammdaten!L$26,Bewertung_Stammdaten!K$26,IF(AY14&lt;Bewertung_Stammdaten!L$27,Bewertung_Stammdaten!K$27,IF(AY14&lt;Bewertung_Stammdaten!L$28,Bewertung_Stammdaten!K$28,IF(AY14&lt;Bewertung_Stammdaten!L$29,Bewertung_Stammdaten!K$29,IF(AY14&lt;Bewertung_Stammdaten!L$30,Bewertung_Stammdaten!K$30,IF(AY14&lt;Bewertung_Stammdaten!L$31,Bewertung_Stammdaten!K$31,IF(AY14&lt;Bewertung_Stammdaten!L$32,Bewertung_Stammdaten!K$32,Bewertung_Stammdaten!K$33)))))))))</f>
        <v>9</v>
      </c>
      <c r="BC14" s="42">
        <f>IF(AZ14&lt;Bewertung_Stammdaten!N$24,Bewertung_Stammdaten!M$24,IF(AZ14&lt;Bewertung_Stammdaten!N$25,Bewertung_Stammdaten!M$25,IF(AZ14&lt;Bewertung_Stammdaten!N$26,Bewertung_Stammdaten!M$26,IF(AZ14&lt;Bewertung_Stammdaten!N$27,Bewertung_Stammdaten!M$27,IF(AZ14&lt;Bewertung_Stammdaten!N$28,Bewertung_Stammdaten!M$28,IF(AZ14&lt;Bewertung_Stammdaten!N$29,Bewertung_Stammdaten!M$29,IF(AZ14&lt;Bewertung_Stammdaten!N$30,Bewertung_Stammdaten!M$30,IF(AZ14&lt;Bewertung_Stammdaten!N$31,Bewertung_Stammdaten!M$31,IF(AZ14&lt;Bewertung_Stammdaten!N$32,Bewertung_Stammdaten!M$32,Bewertung_Stammdaten!M$33)))))))))</f>
        <v>3</v>
      </c>
      <c r="BD14" s="44"/>
      <c r="BE14" s="12">
        <f ca="1">VLOOKUP(A14,Ausschüttungsquote!A3:X68,23,FALSE)</f>
        <v>0.46317942323128081</v>
      </c>
      <c r="BF14" s="12">
        <f>VLOOKUP(A14,Ausschüttungsquote!A3:X68,19,FALSE)</f>
        <v>0.51301736303720458</v>
      </c>
      <c r="BG14" s="12">
        <f ca="1">VLOOKUP(A14,Ausschüttungsquote!A3:X68,24,FALSE)</f>
        <v>-9.7146692094141618E-2</v>
      </c>
      <c r="BH14" s="33">
        <f ca="1">IF(BE14&lt;Bewertung_Stammdaten!H$11,Bewertung_Stammdaten!G$11,IF(BE14&lt;Bewertung_Stammdaten!H$12,Bewertung_Stammdaten!G$12,IF(BE14&lt;Bewertung_Stammdaten!H$13,Bewertung_Stammdaten!G$13,IF(BE14&lt;Bewertung_Stammdaten!H$14,Bewertung_Stammdaten!G$14,IF(BE14&lt;Bewertung_Stammdaten!H$15,Bewertung_Stammdaten!G$15,IF(BE14&lt;Bewertung_Stammdaten!H$16,Bewertung_Stammdaten!G$16,IF(BE14&lt;Bewertung_Stammdaten!H$17,Bewertung_Stammdaten!G$17,IF(BE14&lt;Bewertung_Stammdaten!H$18,Bewertung_Stammdaten!G$18,IF(BE14&lt;Bewertung_Stammdaten!H$19,Bewertung_Stammdaten!G$19,Bewertung_Stammdaten!G$20)))))))))</f>
        <v>8</v>
      </c>
      <c r="BI14" s="42">
        <f>IF(BF14&lt;Bewertung_Stammdaten!B$24,Bewertung_Stammdaten!A$24,IF(BF14&lt;Bewertung_Stammdaten!B$25,Bewertung_Stammdaten!A$25,IF(BF14&lt;Bewertung_Stammdaten!B$26,Bewertung_Stammdaten!A$26,IF(BF14&lt;Bewertung_Stammdaten!B$27,Bewertung_Stammdaten!A$27,IF(BF14&lt;Bewertung_Stammdaten!B$28,Bewertung_Stammdaten!A$28,IF(BF14&lt;Bewertung_Stammdaten!B$29,Bewertung_Stammdaten!A$29,IF(BF14&lt;Bewertung_Stammdaten!B$30,Bewertung_Stammdaten!A$30,IF(BF14&lt;Bewertung_Stammdaten!B$31,Bewertung_Stammdaten!A$31,IF(BF14&lt;Bewertung_Stammdaten!B$32,Bewertung_Stammdaten!A$32,Bewertung_Stammdaten!A$33)))))))))</f>
        <v>7</v>
      </c>
      <c r="BJ14" s="33">
        <f ca="1">IF(BG14&lt;Bewertung_Stammdaten!J$11,Bewertung_Stammdaten!I$11,IF(BG14&lt;Bewertung_Stammdaten!J$12,Bewertung_Stammdaten!I$12,IF(BG14&lt;Bewertung_Stammdaten!J$13,Bewertung_Stammdaten!I$13,IF(BG14&lt;Bewertung_Stammdaten!J$14,Bewertung_Stammdaten!I$14,IF(BG14&lt;Bewertung_Stammdaten!J$15,Bewertung_Stammdaten!I$15,IF(BG14&lt;Bewertung_Stammdaten!J$16,Bewertung_Stammdaten!I$16,IF(BG14&lt;Bewertung_Stammdaten!J$17,Bewertung_Stammdaten!I$17,IF(BG14&lt;Bewertung_Stammdaten!J$18,Bewertung_Stammdaten!I$18,IF(BG14&lt;Bewertung_Stammdaten!J$19,Bewertung_Stammdaten!I$19,Bewertung_Stammdaten!I$20)))))))))</f>
        <v>7</v>
      </c>
    </row>
    <row r="15" spans="1:62" x14ac:dyDescent="0.25">
      <c r="A15" s="39" t="s">
        <v>24</v>
      </c>
      <c r="B15" s="39" t="s">
        <v>25</v>
      </c>
      <c r="C15" s="33">
        <f t="shared" ca="1" si="8"/>
        <v>107</v>
      </c>
      <c r="D15" s="44"/>
      <c r="E15" s="11">
        <f ca="1">VLOOKUP(A15,KGV!A3:R68,17,FALSE)</f>
        <v>17.258328435032645</v>
      </c>
      <c r="F15" s="11">
        <f>VLOOKUP(A15,KGV!A3:R68,16,FALSE)</f>
        <v>13.500948766603418</v>
      </c>
      <c r="G15" s="12">
        <f ca="1">VLOOKUP(A15,KGV!A3:R68,18,FALSE)</f>
        <v>0.27830486089419559</v>
      </c>
      <c r="H15" s="16">
        <f t="shared" ca="1" si="0"/>
        <v>35.076992208865057</v>
      </c>
      <c r="I15" s="12">
        <f t="shared" ca="1" si="1"/>
        <v>1.5981131263628785</v>
      </c>
      <c r="J15" s="33">
        <f ca="1">IF(G15&lt;Bewertung_Stammdaten!B$11,Bewertung_Stammdaten!A$11,IF(G15&lt;Bewertung_Stammdaten!B$12,Bewertung_Stammdaten!A$12,IF(G15&lt;Bewertung_Stammdaten!B$13,Bewertung_Stammdaten!A$13,IF(G15&lt;Bewertung_Stammdaten!B$14,Bewertung_Stammdaten!A$14,IF(G15&lt;Bewertung_Stammdaten!B$15,Bewertung_Stammdaten!A$15,IF(G15&lt;Bewertung_Stammdaten!B$16,Bewertung_Stammdaten!A$16,IF(G15&lt;Bewertung_Stammdaten!B$17,Bewertung_Stammdaten!A$17,IF(G15&lt;Bewertung_Stammdaten!B$18,Bewertung_Stammdaten!A$18,IF(G15&lt;Bewertung_Stammdaten!B$19,Bewertung_Stammdaten!A$19,Bewertung_Stammdaten!A$20)))))))))</f>
        <v>3</v>
      </c>
      <c r="K15" s="33">
        <f ca="1">IF(I15&lt;Bewertung_Stammdaten!N$11,Bewertung_Stammdaten!M$11,IF(I15&lt;Bewertung_Stammdaten!N$12,Bewertung_Stammdaten!M$12,IF(I15&lt;Bewertung_Stammdaten!N$13,Bewertung_Stammdaten!M$13,IF(I15&lt;Bewertung_Stammdaten!N$14,Bewertung_Stammdaten!M$14,IF(I15&lt;Bewertung_Stammdaten!N$15,Bewertung_Stammdaten!M$15,IF(I15&lt;Bewertung_Stammdaten!N$16,Bewertung_Stammdaten!M$16,IF(I15&lt;Bewertung_Stammdaten!N$17,Bewertung_Stammdaten!M$17,IF(I15&lt;Bewertung_Stammdaten!N$18,Bewertung_Stammdaten!M$18,IF(I15&lt;Bewertung_Stammdaten!N$19,Bewertung_Stammdaten!M$19,Bewertung_Stammdaten!M$20)))))))))</f>
        <v>1.5</v>
      </c>
      <c r="L15" s="44"/>
      <c r="M15" s="11">
        <f ca="1">VLOOKUP(A15,Buchwert_je_Aktie!A3:AK68,23,FALSE)</f>
        <v>32.566388888888895</v>
      </c>
      <c r="N15" s="11">
        <f>VLOOKUP(A15,Buchwert_je_Aktie!A3:AK68,19,FALSE)</f>
        <v>26.247692307692301</v>
      </c>
      <c r="O15" s="12">
        <f ca="1">VLOOKUP(A15,Buchwert_je_Aktie!A3:AK68,24,FALSE)</f>
        <v>0.24073341408931404</v>
      </c>
      <c r="P15" s="12">
        <f>VLOOKUP(A15,Buchwert_je_Aktie!A3:AK68,37,FALSE)</f>
        <v>-2.9985721085197592E-2</v>
      </c>
      <c r="Q15" s="16">
        <f t="shared" ca="1" si="2"/>
        <v>31.589862234914595</v>
      </c>
      <c r="R15" s="12">
        <f t="shared" ca="1" si="3"/>
        <v>0.20352912799334688</v>
      </c>
      <c r="S15" s="53">
        <f ca="1">IF(O15&lt;Bewertung_Stammdaten!D$24,Bewertung_Stammdaten!C$24,IF(O15&lt;Bewertung_Stammdaten!D$25,Bewertung_Stammdaten!C$25,IF(O15&lt;Bewertung_Stammdaten!D$26,Bewertung_Stammdaten!C$26,IF(O15&lt;Bewertung_Stammdaten!D$27,Bewertung_Stammdaten!C$27,IF(O15&lt;Bewertung_Stammdaten!D$28,Bewertung_Stammdaten!C$28,IF(O15&lt;Bewertung_Stammdaten!D$29,Bewertung_Stammdaten!C$29,IF(O15&lt;Bewertung_Stammdaten!D$30,Bewertung_Stammdaten!C$30,IF(O15&lt;Bewertung_Stammdaten!D$31,Bewertung_Stammdaten!C$31,IF(O15&lt;Bewertung_Stammdaten!D$32,Bewertung_Stammdaten!C$32,Bewertung_Stammdaten!C$33)))))))))</f>
        <v>7.5</v>
      </c>
      <c r="T15" s="53">
        <f>IF(P15&lt;Bewertung_Stammdaten!F$24,Bewertung_Stammdaten!E$24,IF(P15&lt;Bewertung_Stammdaten!F$25,Bewertung_Stammdaten!E$25,IF(P15&lt;Bewertung_Stammdaten!F$26,Bewertung_Stammdaten!E$26,IF(P15&lt;Bewertung_Stammdaten!F$27,Bewertung_Stammdaten!E$27,IF(P15&lt;Bewertung_Stammdaten!F$28,Bewertung_Stammdaten!E$28,IF(P15&lt;Bewertung_Stammdaten!F$29,Bewertung_Stammdaten!E$29,IF(P15&lt;Bewertung_Stammdaten!F$30,Bewertung_Stammdaten!E$30,IF(P15&lt;Bewertung_Stammdaten!F$31,Bewertung_Stammdaten!E$31,IF(P15&lt;Bewertung_Stammdaten!F$32,Bewertung_Stammdaten!E$32,Bewertung_Stammdaten!E$33)))))))))</f>
        <v>10.5</v>
      </c>
      <c r="U15" s="53">
        <f ca="1">IF(R15&lt;Bewertung_Stammdaten!H$24,Bewertung_Stammdaten!G$24,IF(R15&lt;Bewertung_Stammdaten!H$25,Bewertung_Stammdaten!G$25,IF(R15&lt;Bewertung_Stammdaten!H$26,Bewertung_Stammdaten!G$26,IF(R15&lt;Bewertung_Stammdaten!H$27,Bewertung_Stammdaten!G$27,IF(R15&lt;Bewertung_Stammdaten!H$28,Bewertung_Stammdaten!G$28,IF(R15&lt;Bewertung_Stammdaten!H$29,Bewertung_Stammdaten!G$29,IF(R15&lt;Bewertung_Stammdaten!H$30,Bewertung_Stammdaten!G$30,IF(R15&lt;Bewertung_Stammdaten!H$31,Bewertung_Stammdaten!G$31,IF(R15&lt;Bewertung_Stammdaten!H$32,Bewertung_Stammdaten!G$32,Bewertung_Stammdaten!G$33)))))))))</f>
        <v>5</v>
      </c>
      <c r="V15" s="44"/>
      <c r="W15" s="14">
        <f ca="1">VLOOKUP(A15,Ergebnis_je_Aktie_verwässert!A3:AK68,23,FALSE)</f>
        <v>5.2455833333333342</v>
      </c>
      <c r="X15" s="14">
        <f>VLOOKUP(A15,Ergebnis_je_Aktie_verwässert!A3:AK68,19,FALSE)</f>
        <v>4.6046153846153839</v>
      </c>
      <c r="Y15" s="12">
        <f ca="1">VLOOKUP(A15,Ergebnis_je_Aktie_verwässert!A3:AK68,24,FALSE)</f>
        <v>0.13920119166945133</v>
      </c>
      <c r="Z15" s="41">
        <f>VLOOKUP(A15,Ergebnis_je_Aktie_verwässert!A3:AK68,37,FALSE)</f>
        <v>-0.50798722044728439</v>
      </c>
      <c r="AA15" s="16">
        <f t="shared" ca="1" si="4"/>
        <v>2.5808940362087327</v>
      </c>
      <c r="AB15" s="12">
        <f t="shared" ca="1" si="5"/>
        <v>-0.43949845521694741</v>
      </c>
      <c r="AC15" s="33">
        <f ca="1">IF(Y15&lt;Bewertung_Stammdaten!L$11,Bewertung_Stammdaten!K$11,IF(Y15&lt;Bewertung_Stammdaten!L$12,Bewertung_Stammdaten!K$12,IF(Y15&lt;Bewertung_Stammdaten!L$13,Bewertung_Stammdaten!K$13,IF(Y15&lt;Bewertung_Stammdaten!L$14,Bewertung_Stammdaten!K$14,IF(Y15&lt;Bewertung_Stammdaten!L$15,Bewertung_Stammdaten!K$15,IF(Y15&lt;Bewertung_Stammdaten!L$16,Bewertung_Stammdaten!K$16,IF(Y15&lt;Bewertung_Stammdaten!L$17,Bewertung_Stammdaten!K$17,IF(Y15&lt;Bewertung_Stammdaten!L$18,Bewertung_Stammdaten!K$18,IF(Y15&lt;Bewertung_Stammdaten!L$19,Bewertung_Stammdaten!K$19,Bewertung_Stammdaten!K$20)))))))))</f>
        <v>8</v>
      </c>
      <c r="AD15" s="33">
        <f>IF(Z15&lt;Bewertung_Stammdaten!R$11,Bewertung_Stammdaten!Q$11,IF(Z15&lt;Bewertung_Stammdaten!R$12,Bewertung_Stammdaten!Q$12,IF(Z15&lt;Bewertung_Stammdaten!R$13,Bewertung_Stammdaten!Q$13,IF(Z15&lt;Bewertung_Stammdaten!R$14,Bewertung_Stammdaten!Q$14,IF(Z15&lt;Bewertung_Stammdaten!R$15,Bewertung_Stammdaten!Q$15,IF(Z15&lt;Bewertung_Stammdaten!R$16,Bewertung_Stammdaten!Q$16,IF(Z15&lt;Bewertung_Stammdaten!R$17,Bewertung_Stammdaten!Q$17,IF(Z15&lt;Bewertung_Stammdaten!R$18,Bewertung_Stammdaten!Q$18,IF(Z15&lt;Bewertung_Stammdaten!R$19,Bewertung_Stammdaten!Q$19,Bewertung_Stammdaten!Q$20)))))))))</f>
        <v>2</v>
      </c>
      <c r="AE15" s="33">
        <f ca="1">IF(AB15&lt;Bewertung_Stammdaten!P$11,Bewertung_Stammdaten!O$11,IF(AB15&lt;Bewertung_Stammdaten!P$12,Bewertung_Stammdaten!O$12,IF(AB15&lt;Bewertung_Stammdaten!P$13,Bewertung_Stammdaten!O$13,IF(AB15&lt;Bewertung_Stammdaten!P$14,Bewertung_Stammdaten!O$14,IF(AB15&lt;Bewertung_Stammdaten!P$15,Bewertung_Stammdaten!O$15,IF(AB15&lt;Bewertung_Stammdaten!P$16,Bewertung_Stammdaten!O$16,IF(AB15&lt;Bewertung_Stammdaten!P$17,Bewertung_Stammdaten!O$17,IF(AB15&lt;Bewertung_Stammdaten!P$18,Bewertung_Stammdaten!O$18,IF(AB15&lt;Bewertung_Stammdaten!P$19,Bewertung_Stammdaten!O$19,Bewertung_Stammdaten!O$20)))))))))</f>
        <v>1</v>
      </c>
      <c r="AF15" s="44"/>
      <c r="AG15" s="14">
        <f ca="1">VLOOKUP(A15,Dividende_je_Aktie!A3:AM68,24,FALSE)</f>
        <v>2.942444444444444</v>
      </c>
      <c r="AH15" s="14">
        <f>VLOOKUP(A15,Dividende_je_Aktie!A3:AM68,20,FALSE)</f>
        <v>2.2092857142857141</v>
      </c>
      <c r="AI15" s="12">
        <f ca="1">VLOOKUP(A15,Dividende_je_Aktie!A3:AM68,25,FALSE)</f>
        <v>0.33185328878830322</v>
      </c>
      <c r="AJ15" s="41">
        <f>VLOOKUP(A15,Dividende_je_Aktie!A3:AM68,39,FALSE)</f>
        <v>-0.12820512820512819</v>
      </c>
      <c r="AK15" s="16">
        <f t="shared" ca="1" si="6"/>
        <v>2.5652079772079768</v>
      </c>
      <c r="AL15" s="12">
        <f t="shared" ca="1" si="7"/>
        <v>0.16110286714877708</v>
      </c>
      <c r="AM15" s="33">
        <f ca="1">IF(AI15&lt;Bewertung_Stammdaten!P$24,Bewertung_Stammdaten!O$24,IF(AI15&lt;Bewertung_Stammdaten!P$25,Bewertung_Stammdaten!O$25,IF(AI15&lt;Bewertung_Stammdaten!P$26,Bewertung_Stammdaten!O$26,IF(AI15&lt;Bewertung_Stammdaten!P$27,Bewertung_Stammdaten!O$27,IF(AI15&lt;Bewertung_Stammdaten!P$28,Bewertung_Stammdaten!O$28,IF(AI15&lt;Bewertung_Stammdaten!P$29,Bewertung_Stammdaten!O$29,IF(AI15&lt;Bewertung_Stammdaten!P$30,Bewertung_Stammdaten!O$30,IF(AI15&lt;Bewertung_Stammdaten!P$31,Bewertung_Stammdaten!O$31,IF(AI15&lt;Bewertung_Stammdaten!P$32,Bewertung_Stammdaten!O$32,Bewertung_Stammdaten!O$33)))))))))</f>
        <v>12</v>
      </c>
      <c r="AN15" s="33">
        <f>IF(AJ15&lt;Bewertung_Stammdaten!R$24,Bewertung_Stammdaten!Q$24,IF(AJ15&lt;Bewertung_Stammdaten!R$25,Bewertung_Stammdaten!Q$25,IF(AJ15&lt;Bewertung_Stammdaten!R$26,Bewertung_Stammdaten!Q$26,IF(AJ15&lt;Bewertung_Stammdaten!R$27,Bewertung_Stammdaten!Q$27,IF(AJ15&lt;Bewertung_Stammdaten!R$28,Bewertung_Stammdaten!Q$28,IF(AJ15&lt;Bewertung_Stammdaten!R$29,Bewertung_Stammdaten!Q$29,IF(AJ15&lt;Bewertung_Stammdaten!R$30,Bewertung_Stammdaten!Q$30,IF(AJ15&lt;Bewertung_Stammdaten!R$31,Bewertung_Stammdaten!Q$31,IF(AJ15&lt;Bewertung_Stammdaten!R$32,Bewertung_Stammdaten!Q$32,Bewertung_Stammdaten!Q$33)))))))))</f>
        <v>6</v>
      </c>
      <c r="AO15" s="33">
        <f ca="1">IF(AL15&lt;Bewertung_Stammdaten!T$24,Bewertung_Stammdaten!S$24,IF(AL15&lt;Bewertung_Stammdaten!T$25,Bewertung_Stammdaten!S$25,IF(AL15&lt;Bewertung_Stammdaten!T$26,Bewertung_Stammdaten!S$26,IF(AL15&lt;Bewertung_Stammdaten!T$27,Bewertung_Stammdaten!S$27,IF(AL15&lt;Bewertung_Stammdaten!T$28,Bewertung_Stammdaten!S$28,IF(AL15&lt;Bewertung_Stammdaten!T$29,Bewertung_Stammdaten!S$29,IF(AL15&lt;Bewertung_Stammdaten!T$30,Bewertung_Stammdaten!S$30,IF(AL15&lt;Bewertung_Stammdaten!T$31,Bewertung_Stammdaten!S$31,IF(AL15&lt;Bewertung_Stammdaten!T$32,Bewertung_Stammdaten!S$32,Bewertung_Stammdaten!S$33)))))))))</f>
        <v>6</v>
      </c>
      <c r="AP15" s="44"/>
      <c r="AQ15" s="12">
        <f ca="1">VLOOKUP(A15,Dividendenrendite!A3:R68,17,FALSE)</f>
        <v>3.2502423996956194E-2</v>
      </c>
      <c r="AR15" s="12">
        <f>VLOOKUP(A15,Dividendenrendite!A3:R68,16,FALSE)</f>
        <v>3.940401429814145E-2</v>
      </c>
      <c r="AS15" s="12">
        <f ca="1">VLOOKUP(A15,Dividendenrendite!A3:R68,18,FALSE)</f>
        <v>-0.17514942129920963</v>
      </c>
      <c r="AT15" s="33">
        <f ca="1">IF(AQ15&lt;Bewertung_Stammdaten!D$11,Bewertung_Stammdaten!C$11,IF(AQ15&lt;Bewertung_Stammdaten!D$12,Bewertung_Stammdaten!C$12,IF(AQ15&lt;Bewertung_Stammdaten!D$13,Bewertung_Stammdaten!C$13,IF(AQ15&lt;Bewertung_Stammdaten!D$14,Bewertung_Stammdaten!C$14,IF(AQ15&lt;Bewertung_Stammdaten!D$15,Bewertung_Stammdaten!C$15,IF(AQ15&lt;Bewertung_Stammdaten!D$16,Bewertung_Stammdaten!C$16,IF(AQ15&lt;Bewertung_Stammdaten!D$17,Bewertung_Stammdaten!C$17,IF(AQ15&lt;Bewertung_Stammdaten!D$18,Bewertung_Stammdaten!C$18,IF(AQ15&lt;Bewertung_Stammdaten!D$19,Bewertung_Stammdaten!C$19,Bewertung_Stammdaten!C$20)))))))))</f>
        <v>10.5</v>
      </c>
      <c r="AU15" s="33">
        <f>IF(AR15&lt;Bewertung_Stammdaten!T$11,Bewertung_Stammdaten!S$11,IF(AR15&lt;Bewertung_Stammdaten!T$12,Bewertung_Stammdaten!S$12,IF(AR15&lt;Bewertung_Stammdaten!T$13,Bewertung_Stammdaten!S$13,IF(AR15&lt;Bewertung_Stammdaten!T$14,Bewertung_Stammdaten!S$14,IF(AR15&lt;Bewertung_Stammdaten!T$15,Bewertung_Stammdaten!S$15,IF(AR15&lt;Bewertung_Stammdaten!T$16,Bewertung_Stammdaten!S$16,IF(AR15&lt;Bewertung_Stammdaten!T$17,Bewertung_Stammdaten!S$17,IF(AR15&lt;Bewertung_Stammdaten!T$18,Bewertung_Stammdaten!S$18,IF(AR15&lt;Bewertung_Stammdaten!T$19,Bewertung_Stammdaten!S$19,Bewertung_Stammdaten!S$20)))))))))</f>
        <v>8</v>
      </c>
      <c r="AV15" s="33">
        <f ca="1">IF(AS15&lt;Bewertung_Stammdaten!F$11,Bewertung_Stammdaten!E$11,IF(AS15&lt;Bewertung_Stammdaten!F$12,Bewertung_Stammdaten!E$12,IF(AS15&lt;Bewertung_Stammdaten!F$13,Bewertung_Stammdaten!E$13,IF(AS15&lt;Bewertung_Stammdaten!F$14,Bewertung_Stammdaten!E$14,IF(AS15&lt;Bewertung_Stammdaten!F$15,Bewertung_Stammdaten!E$15,IF(AS15&lt;Bewertung_Stammdaten!F$16,Bewertung_Stammdaten!E$16,IF(AS15&lt;Bewertung_Stammdaten!F$17,Bewertung_Stammdaten!E$17,IF(AS15&lt;Bewertung_Stammdaten!F$18,Bewertung_Stammdaten!E$18,IF(AS15&lt;Bewertung_Stammdaten!F$19,Bewertung_Stammdaten!E$19,Bewertung_Stammdaten!E$20)))))))))</f>
        <v>1</v>
      </c>
      <c r="AW15" s="44"/>
      <c r="AX15" s="12">
        <f>VLOOKUP(A15,Aktien_im_Umlauf_splitbereinigt!A3:Z68,26,FALSE)</f>
        <v>0</v>
      </c>
      <c r="AY15" s="12">
        <f>VLOOKUP(A15,Aktien_im_Umlauf_splitbereinigt!A3:Y68,24,FALSE)</f>
        <v>-1.2379930925287268E-2</v>
      </c>
      <c r="AZ15" s="12">
        <f>VLOOKUP(A15,Aktien_im_Umlauf_splitbereinigt!A3:Y68,25,FALSE)</f>
        <v>-1</v>
      </c>
      <c r="BA15" s="42">
        <f>IF(AX15&lt;Bewertung_Stammdaten!J$24,Bewertung_Stammdaten!I$24,IF(AX15&lt;Bewertung_Stammdaten!J$25,Bewertung_Stammdaten!I$25,IF(AX15&lt;Bewertung_Stammdaten!J$26,Bewertung_Stammdaten!I$26,IF(AX15&lt;Bewertung_Stammdaten!J$27,Bewertung_Stammdaten!I$27,IF(AX15&lt;Bewertung_Stammdaten!J$28,Bewertung_Stammdaten!I$28,IF(AX15&lt;Bewertung_Stammdaten!J$29,Bewertung_Stammdaten!I$29,IF(AX15&lt;Bewertung_Stammdaten!J$30,Bewertung_Stammdaten!I$30,IF(AX15&lt;Bewertung_Stammdaten!J$31,Bewertung_Stammdaten!I$31,IF(AX15&lt;Bewertung_Stammdaten!J$32,Bewertung_Stammdaten!I$32,Bewertung_Stammdaten!I$33)))))))))</f>
        <v>2</v>
      </c>
      <c r="BB15" s="42">
        <f>IF(AY15&lt;Bewertung_Stammdaten!L$24,Bewertung_Stammdaten!K$24,IF(AY15&lt;Bewertung_Stammdaten!L$25,Bewertung_Stammdaten!K$25,IF(AY15&lt;Bewertung_Stammdaten!L$26,Bewertung_Stammdaten!K$26,IF(AY15&lt;Bewertung_Stammdaten!L$27,Bewertung_Stammdaten!K$27,IF(AY15&lt;Bewertung_Stammdaten!L$28,Bewertung_Stammdaten!K$28,IF(AY15&lt;Bewertung_Stammdaten!L$29,Bewertung_Stammdaten!K$29,IF(AY15&lt;Bewertung_Stammdaten!L$30,Bewertung_Stammdaten!K$30,IF(AY15&lt;Bewertung_Stammdaten!L$31,Bewertung_Stammdaten!K$31,IF(AY15&lt;Bewertung_Stammdaten!L$32,Bewertung_Stammdaten!K$32,Bewertung_Stammdaten!K$33)))))))))</f>
        <v>5</v>
      </c>
      <c r="BC15" s="42">
        <f>IF(AZ15&lt;Bewertung_Stammdaten!N$24,Bewertung_Stammdaten!M$24,IF(AZ15&lt;Bewertung_Stammdaten!N$25,Bewertung_Stammdaten!M$25,IF(AZ15&lt;Bewertung_Stammdaten!N$26,Bewertung_Stammdaten!M$26,IF(AZ15&lt;Bewertung_Stammdaten!N$27,Bewertung_Stammdaten!M$27,IF(AZ15&lt;Bewertung_Stammdaten!N$28,Bewertung_Stammdaten!M$28,IF(AZ15&lt;Bewertung_Stammdaten!N$29,Bewertung_Stammdaten!M$29,IF(AZ15&lt;Bewertung_Stammdaten!N$30,Bewertung_Stammdaten!M$30,IF(AZ15&lt;Bewertung_Stammdaten!N$31,Bewertung_Stammdaten!M$31,IF(AZ15&lt;Bewertung_Stammdaten!N$32,Bewertung_Stammdaten!M$32,Bewertung_Stammdaten!M$33)))))))))</f>
        <v>1</v>
      </c>
      <c r="BD15" s="44"/>
      <c r="BE15" s="12">
        <f ca="1">VLOOKUP(A15,Ausschüttungsquote!A3:X68,23,FALSE)</f>
        <v>0.56144087069525672</v>
      </c>
      <c r="BF15" s="12">
        <f>VLOOKUP(A15,Ausschüttungsquote!A3:X68,19,FALSE)</f>
        <v>0.53442393326164683</v>
      </c>
      <c r="BG15" s="12">
        <f ca="1">VLOOKUP(A15,Ausschüttungsquote!A3:X68,24,FALSE)</f>
        <v>5.0553382347086506E-2</v>
      </c>
      <c r="BH15" s="33">
        <f ca="1">IF(BE15&lt;Bewertung_Stammdaten!H$11,Bewertung_Stammdaten!G$11,IF(BE15&lt;Bewertung_Stammdaten!H$12,Bewertung_Stammdaten!G$12,IF(BE15&lt;Bewertung_Stammdaten!H$13,Bewertung_Stammdaten!G$13,IF(BE15&lt;Bewertung_Stammdaten!H$14,Bewertung_Stammdaten!G$14,IF(BE15&lt;Bewertung_Stammdaten!H$15,Bewertung_Stammdaten!G$15,IF(BE15&lt;Bewertung_Stammdaten!H$16,Bewertung_Stammdaten!G$16,IF(BE15&lt;Bewertung_Stammdaten!H$17,Bewertung_Stammdaten!G$17,IF(BE15&lt;Bewertung_Stammdaten!H$18,Bewertung_Stammdaten!G$18,IF(BE15&lt;Bewertung_Stammdaten!H$19,Bewertung_Stammdaten!G$19,Bewertung_Stammdaten!G$20)))))))))</f>
        <v>6</v>
      </c>
      <c r="BI15" s="42">
        <f>IF(BF15&lt;Bewertung_Stammdaten!B$24,Bewertung_Stammdaten!A$24,IF(BF15&lt;Bewertung_Stammdaten!B$25,Bewertung_Stammdaten!A$25,IF(BF15&lt;Bewertung_Stammdaten!B$26,Bewertung_Stammdaten!A$26,IF(BF15&lt;Bewertung_Stammdaten!B$27,Bewertung_Stammdaten!A$27,IF(BF15&lt;Bewertung_Stammdaten!B$28,Bewertung_Stammdaten!A$28,IF(BF15&lt;Bewertung_Stammdaten!B$29,Bewertung_Stammdaten!A$29,IF(BF15&lt;Bewertung_Stammdaten!B$30,Bewertung_Stammdaten!A$30,IF(BF15&lt;Bewertung_Stammdaten!B$31,Bewertung_Stammdaten!A$31,IF(BF15&lt;Bewertung_Stammdaten!B$32,Bewertung_Stammdaten!A$32,Bewertung_Stammdaten!A$33)))))))))</f>
        <v>7</v>
      </c>
      <c r="BJ15" s="33">
        <f ca="1">IF(BG15&lt;Bewertung_Stammdaten!J$11,Bewertung_Stammdaten!I$11,IF(BG15&lt;Bewertung_Stammdaten!J$12,Bewertung_Stammdaten!I$12,IF(BG15&lt;Bewertung_Stammdaten!J$13,Bewertung_Stammdaten!I$13,IF(BG15&lt;Bewertung_Stammdaten!J$14,Bewertung_Stammdaten!I$14,IF(BG15&lt;Bewertung_Stammdaten!J$15,Bewertung_Stammdaten!I$15,IF(BG15&lt;Bewertung_Stammdaten!J$16,Bewertung_Stammdaten!I$16,IF(BG15&lt;Bewertung_Stammdaten!J$17,Bewertung_Stammdaten!I$17,IF(BG15&lt;Bewertung_Stammdaten!J$18,Bewertung_Stammdaten!I$18,IF(BG15&lt;Bewertung_Stammdaten!J$19,Bewertung_Stammdaten!I$19,Bewertung_Stammdaten!I$20)))))))))</f>
        <v>4</v>
      </c>
    </row>
    <row r="16" spans="1:62" x14ac:dyDescent="0.25">
      <c r="A16" s="39" t="s">
        <v>26</v>
      </c>
      <c r="B16" s="39" t="s">
        <v>27</v>
      </c>
      <c r="C16" s="33">
        <f t="shared" ca="1" si="8"/>
        <v>116</v>
      </c>
      <c r="D16" s="44"/>
      <c r="E16" s="11">
        <f ca="1">VLOOKUP(A16,KGV!A3:R68,17,FALSE)</f>
        <v>26.274530002575325</v>
      </c>
      <c r="F16" s="11">
        <f>VLOOKUP(A16,KGV!A3:R68,16,FALSE)</f>
        <v>19.95774647887324</v>
      </c>
      <c r="G16" s="12">
        <f ca="1">VLOOKUP(A16,KGV!A3:R68,18,FALSE)</f>
        <v>0.31650785475148058</v>
      </c>
      <c r="H16" s="16">
        <f t="shared" ca="1" si="0"/>
        <v>44.97442072512893</v>
      </c>
      <c r="I16" s="12">
        <f t="shared" ca="1" si="1"/>
        <v>1.25348191353857</v>
      </c>
      <c r="J16" s="33">
        <f ca="1">IF(G16&lt;Bewertung_Stammdaten!B$11,Bewertung_Stammdaten!A$11,IF(G16&lt;Bewertung_Stammdaten!B$12,Bewertung_Stammdaten!A$12,IF(G16&lt;Bewertung_Stammdaten!B$13,Bewertung_Stammdaten!A$13,IF(G16&lt;Bewertung_Stammdaten!B$14,Bewertung_Stammdaten!A$14,IF(G16&lt;Bewertung_Stammdaten!B$15,Bewertung_Stammdaten!A$15,IF(G16&lt;Bewertung_Stammdaten!B$16,Bewertung_Stammdaten!A$16,IF(G16&lt;Bewertung_Stammdaten!B$17,Bewertung_Stammdaten!A$17,IF(G16&lt;Bewertung_Stammdaten!B$18,Bewertung_Stammdaten!A$18,IF(G16&lt;Bewertung_Stammdaten!B$19,Bewertung_Stammdaten!A$19,Bewertung_Stammdaten!A$20)))))))))</f>
        <v>3</v>
      </c>
      <c r="K16" s="33">
        <f ca="1">IF(I16&lt;Bewertung_Stammdaten!N$11,Bewertung_Stammdaten!M$11,IF(I16&lt;Bewertung_Stammdaten!N$12,Bewertung_Stammdaten!M$12,IF(I16&lt;Bewertung_Stammdaten!N$13,Bewertung_Stammdaten!M$13,IF(I16&lt;Bewertung_Stammdaten!N$14,Bewertung_Stammdaten!M$14,IF(I16&lt;Bewertung_Stammdaten!N$15,Bewertung_Stammdaten!M$15,IF(I16&lt;Bewertung_Stammdaten!N$16,Bewertung_Stammdaten!M$16,IF(I16&lt;Bewertung_Stammdaten!N$17,Bewertung_Stammdaten!M$17,IF(I16&lt;Bewertung_Stammdaten!N$18,Bewertung_Stammdaten!M$18,IF(I16&lt;Bewertung_Stammdaten!N$19,Bewertung_Stammdaten!M$19,Bewertung_Stammdaten!M$20)))))))))</f>
        <v>1.5</v>
      </c>
      <c r="L16" s="44"/>
      <c r="M16" s="11">
        <f ca="1">VLOOKUP(A16,Buchwert_je_Aktie!A3:AK68,23,FALSE)</f>
        <v>28.930000000000003</v>
      </c>
      <c r="N16" s="11">
        <f>VLOOKUP(A16,Buchwert_je_Aktie!A3:AK68,19,FALSE)</f>
        <v>25.238181818181818</v>
      </c>
      <c r="O16" s="12">
        <f ca="1">VLOOKUP(A16,Buchwert_je_Aktie!A3:AK68,24,FALSE)</f>
        <v>0.14627908652114407</v>
      </c>
      <c r="P16" s="12">
        <f>VLOOKUP(A16,Buchwert_je_Aktie!A3:AK68,37,FALSE)</f>
        <v>-3.6480686695279041E-2</v>
      </c>
      <c r="Q16" s="16">
        <f t="shared" ca="1" si="2"/>
        <v>27.87461373390558</v>
      </c>
      <c r="R16" s="12">
        <f t="shared" ca="1" si="3"/>
        <v>0.10446203830041556</v>
      </c>
      <c r="S16" s="53">
        <f ca="1">IF(O16&lt;Bewertung_Stammdaten!D$24,Bewertung_Stammdaten!C$24,IF(O16&lt;Bewertung_Stammdaten!D$25,Bewertung_Stammdaten!C$25,IF(O16&lt;Bewertung_Stammdaten!D$26,Bewertung_Stammdaten!C$26,IF(O16&lt;Bewertung_Stammdaten!D$27,Bewertung_Stammdaten!C$27,IF(O16&lt;Bewertung_Stammdaten!D$28,Bewertung_Stammdaten!C$28,IF(O16&lt;Bewertung_Stammdaten!D$29,Bewertung_Stammdaten!C$29,IF(O16&lt;Bewertung_Stammdaten!D$30,Bewertung_Stammdaten!C$30,IF(O16&lt;Bewertung_Stammdaten!D$31,Bewertung_Stammdaten!C$31,IF(O16&lt;Bewertung_Stammdaten!D$32,Bewertung_Stammdaten!C$32,Bewertung_Stammdaten!C$33)))))))))</f>
        <v>6</v>
      </c>
      <c r="T16" s="53">
        <f>IF(P16&lt;Bewertung_Stammdaten!F$24,Bewertung_Stammdaten!E$24,IF(P16&lt;Bewertung_Stammdaten!F$25,Bewertung_Stammdaten!E$25,IF(P16&lt;Bewertung_Stammdaten!F$26,Bewertung_Stammdaten!E$26,IF(P16&lt;Bewertung_Stammdaten!F$27,Bewertung_Stammdaten!E$27,IF(P16&lt;Bewertung_Stammdaten!F$28,Bewertung_Stammdaten!E$28,IF(P16&lt;Bewertung_Stammdaten!F$29,Bewertung_Stammdaten!E$29,IF(P16&lt;Bewertung_Stammdaten!F$30,Bewertung_Stammdaten!E$30,IF(P16&lt;Bewertung_Stammdaten!F$31,Bewertung_Stammdaten!E$31,IF(P16&lt;Bewertung_Stammdaten!F$32,Bewertung_Stammdaten!E$32,Bewertung_Stammdaten!E$33)))))))))</f>
        <v>10.5</v>
      </c>
      <c r="U16" s="53">
        <f ca="1">IF(R16&lt;Bewertung_Stammdaten!H$24,Bewertung_Stammdaten!G$24,IF(R16&lt;Bewertung_Stammdaten!H$25,Bewertung_Stammdaten!G$25,IF(R16&lt;Bewertung_Stammdaten!H$26,Bewertung_Stammdaten!G$26,IF(R16&lt;Bewertung_Stammdaten!H$27,Bewertung_Stammdaten!G$27,IF(R16&lt;Bewertung_Stammdaten!H$28,Bewertung_Stammdaten!G$28,IF(R16&lt;Bewertung_Stammdaten!H$29,Bewertung_Stammdaten!G$29,IF(R16&lt;Bewertung_Stammdaten!H$30,Bewertung_Stammdaten!G$30,IF(R16&lt;Bewertung_Stammdaten!H$31,Bewertung_Stammdaten!G$31,IF(R16&lt;Bewertung_Stammdaten!H$32,Bewertung_Stammdaten!G$32,Bewertung_Stammdaten!G$33)))))))))</f>
        <v>4</v>
      </c>
      <c r="V16" s="44"/>
      <c r="W16" s="14">
        <f ca="1">VLOOKUP(A16,Ergebnis_je_Aktie_verwässert!A3:AK68,23,FALSE)</f>
        <v>5.3930555555555557</v>
      </c>
      <c r="X16" s="14">
        <f>VLOOKUP(A16,Ergebnis_je_Aktie_verwässert!A3:AK68,19,FALSE)</f>
        <v>3.5530769230769228</v>
      </c>
      <c r="Y16" s="12">
        <f ca="1">VLOOKUP(A16,Ergebnis_je_Aktie_verwässert!A3:AK68,24,FALSE)</f>
        <v>0.51785499506867794</v>
      </c>
      <c r="Z16" s="41">
        <f>VLOOKUP(A16,Ergebnis_je_Aktie_verwässert!A3:AK68,37,FALSE)</f>
        <v>-0.41578947368421049</v>
      </c>
      <c r="AA16" s="16">
        <f t="shared" ca="1" si="4"/>
        <v>3.1506798245614038</v>
      </c>
      <c r="AB16" s="12">
        <f t="shared" ca="1" si="5"/>
        <v>-0.11325313445987761</v>
      </c>
      <c r="AC16" s="33">
        <f ca="1">IF(Y16&lt;Bewertung_Stammdaten!L$11,Bewertung_Stammdaten!K$11,IF(Y16&lt;Bewertung_Stammdaten!L$12,Bewertung_Stammdaten!K$12,IF(Y16&lt;Bewertung_Stammdaten!L$13,Bewertung_Stammdaten!K$13,IF(Y16&lt;Bewertung_Stammdaten!L$14,Bewertung_Stammdaten!K$14,IF(Y16&lt;Bewertung_Stammdaten!L$15,Bewertung_Stammdaten!K$15,IF(Y16&lt;Bewertung_Stammdaten!L$16,Bewertung_Stammdaten!K$16,IF(Y16&lt;Bewertung_Stammdaten!L$17,Bewertung_Stammdaten!K$17,IF(Y16&lt;Bewertung_Stammdaten!L$18,Bewertung_Stammdaten!K$18,IF(Y16&lt;Bewertung_Stammdaten!L$19,Bewertung_Stammdaten!K$19,Bewertung_Stammdaten!K$20)))))))))</f>
        <v>16</v>
      </c>
      <c r="AD16" s="33">
        <f>IF(Z16&lt;Bewertung_Stammdaten!R$11,Bewertung_Stammdaten!Q$11,IF(Z16&lt;Bewertung_Stammdaten!R$12,Bewertung_Stammdaten!Q$12,IF(Z16&lt;Bewertung_Stammdaten!R$13,Bewertung_Stammdaten!Q$13,IF(Z16&lt;Bewertung_Stammdaten!R$14,Bewertung_Stammdaten!Q$14,IF(Z16&lt;Bewertung_Stammdaten!R$15,Bewertung_Stammdaten!Q$15,IF(Z16&lt;Bewertung_Stammdaten!R$16,Bewertung_Stammdaten!Q$16,IF(Z16&lt;Bewertung_Stammdaten!R$17,Bewertung_Stammdaten!Q$17,IF(Z16&lt;Bewertung_Stammdaten!R$18,Bewertung_Stammdaten!Q$18,IF(Z16&lt;Bewertung_Stammdaten!R$19,Bewertung_Stammdaten!Q$19,Bewertung_Stammdaten!Q$20)))))))))</f>
        <v>3</v>
      </c>
      <c r="AE16" s="33">
        <f ca="1">IF(AB16&lt;Bewertung_Stammdaten!P$11,Bewertung_Stammdaten!O$11,IF(AB16&lt;Bewertung_Stammdaten!P$12,Bewertung_Stammdaten!O$12,IF(AB16&lt;Bewertung_Stammdaten!P$13,Bewertung_Stammdaten!O$13,IF(AB16&lt;Bewertung_Stammdaten!P$14,Bewertung_Stammdaten!O$14,IF(AB16&lt;Bewertung_Stammdaten!P$15,Bewertung_Stammdaten!O$15,IF(AB16&lt;Bewertung_Stammdaten!P$16,Bewertung_Stammdaten!O$16,IF(AB16&lt;Bewertung_Stammdaten!P$17,Bewertung_Stammdaten!O$17,IF(AB16&lt;Bewertung_Stammdaten!P$18,Bewertung_Stammdaten!O$18,IF(AB16&lt;Bewertung_Stammdaten!P$19,Bewertung_Stammdaten!O$19,Bewertung_Stammdaten!O$20)))))))))</f>
        <v>3</v>
      </c>
      <c r="AF16" s="44"/>
      <c r="AG16" s="14">
        <f ca="1">VLOOKUP(A16,Dividende_je_Aktie!A3:AM68,24,FALSE)</f>
        <v>2.5447500000000001</v>
      </c>
      <c r="AH16" s="14">
        <f>VLOOKUP(A16,Dividende_je_Aktie!A3:AM68,20,FALSE)</f>
        <v>1.74</v>
      </c>
      <c r="AI16" s="12">
        <f ca="1">VLOOKUP(A16,Dividende_je_Aktie!A3:AM68,25,FALSE)</f>
        <v>0.46250000000000013</v>
      </c>
      <c r="AJ16" s="41">
        <f>VLOOKUP(A16,Dividende_je_Aktie!A3:AM68,39,FALSE)</f>
        <v>0</v>
      </c>
      <c r="AK16" s="16">
        <f t="shared" ca="1" si="6"/>
        <v>2.5447500000000001</v>
      </c>
      <c r="AL16" s="12">
        <f t="shared" ca="1" si="7"/>
        <v>0.46250000000000013</v>
      </c>
      <c r="AM16" s="33">
        <f ca="1">IF(AI16&lt;Bewertung_Stammdaten!P$24,Bewertung_Stammdaten!O$24,IF(AI16&lt;Bewertung_Stammdaten!P$25,Bewertung_Stammdaten!O$25,IF(AI16&lt;Bewertung_Stammdaten!P$26,Bewertung_Stammdaten!O$26,IF(AI16&lt;Bewertung_Stammdaten!P$27,Bewertung_Stammdaten!O$27,IF(AI16&lt;Bewertung_Stammdaten!P$28,Bewertung_Stammdaten!O$28,IF(AI16&lt;Bewertung_Stammdaten!P$29,Bewertung_Stammdaten!O$29,IF(AI16&lt;Bewertung_Stammdaten!P$30,Bewertung_Stammdaten!O$30,IF(AI16&lt;Bewertung_Stammdaten!P$31,Bewertung_Stammdaten!O$31,IF(AI16&lt;Bewertung_Stammdaten!P$32,Bewertung_Stammdaten!O$32,Bewertung_Stammdaten!O$33)))))))))</f>
        <v>14</v>
      </c>
      <c r="AN16" s="33">
        <f>IF(AJ16&lt;Bewertung_Stammdaten!R$24,Bewertung_Stammdaten!Q$24,IF(AJ16&lt;Bewertung_Stammdaten!R$25,Bewertung_Stammdaten!Q$25,IF(AJ16&lt;Bewertung_Stammdaten!R$26,Bewertung_Stammdaten!Q$26,IF(AJ16&lt;Bewertung_Stammdaten!R$27,Bewertung_Stammdaten!Q$27,IF(AJ16&lt;Bewertung_Stammdaten!R$28,Bewertung_Stammdaten!Q$28,IF(AJ16&lt;Bewertung_Stammdaten!R$29,Bewertung_Stammdaten!Q$29,IF(AJ16&lt;Bewertung_Stammdaten!R$30,Bewertung_Stammdaten!Q$30,IF(AJ16&lt;Bewertung_Stammdaten!R$31,Bewertung_Stammdaten!Q$31,IF(AJ16&lt;Bewertung_Stammdaten!R$32,Bewertung_Stammdaten!Q$32,Bewertung_Stammdaten!Q$33)))))))))</f>
        <v>8</v>
      </c>
      <c r="AO16" s="33">
        <f ca="1">IF(AL16&lt;Bewertung_Stammdaten!T$24,Bewertung_Stammdaten!S$24,IF(AL16&lt;Bewertung_Stammdaten!T$25,Bewertung_Stammdaten!S$25,IF(AL16&lt;Bewertung_Stammdaten!T$26,Bewertung_Stammdaten!S$26,IF(AL16&lt;Bewertung_Stammdaten!T$27,Bewertung_Stammdaten!S$27,IF(AL16&lt;Bewertung_Stammdaten!T$28,Bewertung_Stammdaten!S$28,IF(AL16&lt;Bewertung_Stammdaten!T$29,Bewertung_Stammdaten!S$29,IF(AL16&lt;Bewertung_Stammdaten!T$30,Bewertung_Stammdaten!S$30,IF(AL16&lt;Bewertung_Stammdaten!T$31,Bewertung_Stammdaten!S$31,IF(AL16&lt;Bewertung_Stammdaten!T$32,Bewertung_Stammdaten!S$32,Bewertung_Stammdaten!S$33)))))))))</f>
        <v>9</v>
      </c>
      <c r="AP16" s="44"/>
      <c r="AQ16" s="12">
        <f ca="1">VLOOKUP(A16,Dividendenrendite!A3:R68,17,FALSE)</f>
        <v>1.7958715596330277E-2</v>
      </c>
      <c r="AR16" s="12">
        <f>VLOOKUP(A16,Dividendenrendite!A3:R68,16,FALSE)</f>
        <v>2.4491044197005655E-2</v>
      </c>
      <c r="AS16" s="12">
        <f ca="1">VLOOKUP(A16,Dividendenrendite!A3:R68,18,FALSE)</f>
        <v>-0.26672315594751317</v>
      </c>
      <c r="AT16" s="33">
        <f ca="1">IF(AQ16&lt;Bewertung_Stammdaten!D$11,Bewertung_Stammdaten!C$11,IF(AQ16&lt;Bewertung_Stammdaten!D$12,Bewertung_Stammdaten!C$12,IF(AQ16&lt;Bewertung_Stammdaten!D$13,Bewertung_Stammdaten!C$13,IF(AQ16&lt;Bewertung_Stammdaten!D$14,Bewertung_Stammdaten!C$14,IF(AQ16&lt;Bewertung_Stammdaten!D$15,Bewertung_Stammdaten!C$15,IF(AQ16&lt;Bewertung_Stammdaten!D$16,Bewertung_Stammdaten!C$16,IF(AQ16&lt;Bewertung_Stammdaten!D$17,Bewertung_Stammdaten!C$17,IF(AQ16&lt;Bewertung_Stammdaten!D$18,Bewertung_Stammdaten!C$18,IF(AQ16&lt;Bewertung_Stammdaten!D$19,Bewertung_Stammdaten!C$19,Bewertung_Stammdaten!C$20)))))))))</f>
        <v>6</v>
      </c>
      <c r="AU16" s="33">
        <f>IF(AR16&lt;Bewertung_Stammdaten!T$11,Bewertung_Stammdaten!S$11,IF(AR16&lt;Bewertung_Stammdaten!T$12,Bewertung_Stammdaten!S$12,IF(AR16&lt;Bewertung_Stammdaten!T$13,Bewertung_Stammdaten!S$13,IF(AR16&lt;Bewertung_Stammdaten!T$14,Bewertung_Stammdaten!S$14,IF(AR16&lt;Bewertung_Stammdaten!T$15,Bewertung_Stammdaten!S$15,IF(AR16&lt;Bewertung_Stammdaten!T$16,Bewertung_Stammdaten!S$16,IF(AR16&lt;Bewertung_Stammdaten!T$17,Bewertung_Stammdaten!S$17,IF(AR16&lt;Bewertung_Stammdaten!T$18,Bewertung_Stammdaten!S$18,IF(AR16&lt;Bewertung_Stammdaten!T$19,Bewertung_Stammdaten!S$19,Bewertung_Stammdaten!S$20)))))))))</f>
        <v>5</v>
      </c>
      <c r="AV16" s="33">
        <f ca="1">IF(AS16&lt;Bewertung_Stammdaten!F$11,Bewertung_Stammdaten!E$11,IF(AS16&lt;Bewertung_Stammdaten!F$12,Bewertung_Stammdaten!E$12,IF(AS16&lt;Bewertung_Stammdaten!F$13,Bewertung_Stammdaten!E$13,IF(AS16&lt;Bewertung_Stammdaten!F$14,Bewertung_Stammdaten!E$14,IF(AS16&lt;Bewertung_Stammdaten!F$15,Bewertung_Stammdaten!E$15,IF(AS16&lt;Bewertung_Stammdaten!F$16,Bewertung_Stammdaten!E$16,IF(AS16&lt;Bewertung_Stammdaten!F$17,Bewertung_Stammdaten!E$17,IF(AS16&lt;Bewertung_Stammdaten!F$18,Bewertung_Stammdaten!E$18,IF(AS16&lt;Bewertung_Stammdaten!F$19,Bewertung_Stammdaten!E$19,Bewertung_Stammdaten!E$20)))))))))</f>
        <v>0.5</v>
      </c>
      <c r="AW16" s="44"/>
      <c r="AX16" s="12">
        <f>VLOOKUP(A16,Aktien_im_Umlauf_splitbereinigt!A3:Z68,26,FALSE)</f>
        <v>0</v>
      </c>
      <c r="AY16" s="12">
        <f>VLOOKUP(A16,Aktien_im_Umlauf_splitbereinigt!A3:Y68,24,FALSE)</f>
        <v>1.4280187522424029E-2</v>
      </c>
      <c r="AZ16" s="12">
        <f>VLOOKUP(A16,Aktien_im_Umlauf_splitbereinigt!A3:Y68,25,FALSE)</f>
        <v>-99.999989999999997</v>
      </c>
      <c r="BA16" s="42">
        <f>IF(AX16&lt;Bewertung_Stammdaten!J$24,Bewertung_Stammdaten!I$24,IF(AX16&lt;Bewertung_Stammdaten!J$25,Bewertung_Stammdaten!I$25,IF(AX16&lt;Bewertung_Stammdaten!J$26,Bewertung_Stammdaten!I$26,IF(AX16&lt;Bewertung_Stammdaten!J$27,Bewertung_Stammdaten!I$27,IF(AX16&lt;Bewertung_Stammdaten!J$28,Bewertung_Stammdaten!I$28,IF(AX16&lt;Bewertung_Stammdaten!J$29,Bewertung_Stammdaten!I$29,IF(AX16&lt;Bewertung_Stammdaten!J$30,Bewertung_Stammdaten!I$30,IF(AX16&lt;Bewertung_Stammdaten!J$31,Bewertung_Stammdaten!I$31,IF(AX16&lt;Bewertung_Stammdaten!J$32,Bewertung_Stammdaten!I$32,Bewertung_Stammdaten!I$33)))))))))</f>
        <v>2</v>
      </c>
      <c r="BB16" s="42">
        <f>IF(AY16&lt;Bewertung_Stammdaten!L$24,Bewertung_Stammdaten!K$24,IF(AY16&lt;Bewertung_Stammdaten!L$25,Bewertung_Stammdaten!K$25,IF(AY16&lt;Bewertung_Stammdaten!L$26,Bewertung_Stammdaten!K$26,IF(AY16&lt;Bewertung_Stammdaten!L$27,Bewertung_Stammdaten!K$27,IF(AY16&lt;Bewertung_Stammdaten!L$28,Bewertung_Stammdaten!K$28,IF(AY16&lt;Bewertung_Stammdaten!L$29,Bewertung_Stammdaten!K$29,IF(AY16&lt;Bewertung_Stammdaten!L$30,Bewertung_Stammdaten!K$30,IF(AY16&lt;Bewertung_Stammdaten!L$31,Bewertung_Stammdaten!K$31,IF(AY16&lt;Bewertung_Stammdaten!L$32,Bewertung_Stammdaten!K$32,Bewertung_Stammdaten!K$33)))))))))</f>
        <v>1</v>
      </c>
      <c r="BC16" s="42">
        <f>IF(AZ16&lt;Bewertung_Stammdaten!N$24,Bewertung_Stammdaten!M$24,IF(AZ16&lt;Bewertung_Stammdaten!N$25,Bewertung_Stammdaten!M$25,IF(AZ16&lt;Bewertung_Stammdaten!N$26,Bewertung_Stammdaten!M$26,IF(AZ16&lt;Bewertung_Stammdaten!N$27,Bewertung_Stammdaten!M$27,IF(AZ16&lt;Bewertung_Stammdaten!N$28,Bewertung_Stammdaten!M$28,IF(AZ16&lt;Bewertung_Stammdaten!N$29,Bewertung_Stammdaten!M$29,IF(AZ16&lt;Bewertung_Stammdaten!N$30,Bewertung_Stammdaten!M$30,IF(AZ16&lt;Bewertung_Stammdaten!N$31,Bewertung_Stammdaten!M$31,IF(AZ16&lt;Bewertung_Stammdaten!N$32,Bewertung_Stammdaten!M$32,Bewertung_Stammdaten!M$33)))))))))</f>
        <v>0.5</v>
      </c>
      <c r="BD16" s="44"/>
      <c r="BE16" s="12">
        <f ca="1">VLOOKUP(A16,Ausschüttungsquote!A3:X68,23,FALSE)</f>
        <v>0.4732229913920844</v>
      </c>
      <c r="BF16" s="12">
        <f>VLOOKUP(A16,Ausschüttungsquote!A3:X68,19,FALSE)</f>
        <v>0.56024082673170372</v>
      </c>
      <c r="BG16" s="12">
        <f ca="1">VLOOKUP(A16,Ausschüttungsquote!A3:X68,24,FALSE)</f>
        <v>-0.15532219571939854</v>
      </c>
      <c r="BH16" s="33">
        <f ca="1">IF(BE16&lt;Bewertung_Stammdaten!H$11,Bewertung_Stammdaten!G$11,IF(BE16&lt;Bewertung_Stammdaten!H$12,Bewertung_Stammdaten!G$12,IF(BE16&lt;Bewertung_Stammdaten!H$13,Bewertung_Stammdaten!G$13,IF(BE16&lt;Bewertung_Stammdaten!H$14,Bewertung_Stammdaten!G$14,IF(BE16&lt;Bewertung_Stammdaten!H$15,Bewertung_Stammdaten!G$15,IF(BE16&lt;Bewertung_Stammdaten!H$16,Bewertung_Stammdaten!G$16,IF(BE16&lt;Bewertung_Stammdaten!H$17,Bewertung_Stammdaten!G$17,IF(BE16&lt;Bewertung_Stammdaten!H$18,Bewertung_Stammdaten!G$18,IF(BE16&lt;Bewertung_Stammdaten!H$19,Bewertung_Stammdaten!G$19,Bewertung_Stammdaten!G$20)))))))))</f>
        <v>8</v>
      </c>
      <c r="BI16" s="42">
        <f>IF(BF16&lt;Bewertung_Stammdaten!B$24,Bewertung_Stammdaten!A$24,IF(BF16&lt;Bewertung_Stammdaten!B$25,Bewertung_Stammdaten!A$25,IF(BF16&lt;Bewertung_Stammdaten!B$26,Bewertung_Stammdaten!A$26,IF(BF16&lt;Bewertung_Stammdaten!B$27,Bewertung_Stammdaten!A$27,IF(BF16&lt;Bewertung_Stammdaten!B$28,Bewertung_Stammdaten!A$28,IF(BF16&lt;Bewertung_Stammdaten!B$29,Bewertung_Stammdaten!A$29,IF(BF16&lt;Bewertung_Stammdaten!B$30,Bewertung_Stammdaten!A$30,IF(BF16&lt;Bewertung_Stammdaten!B$31,Bewertung_Stammdaten!A$31,IF(BF16&lt;Bewertung_Stammdaten!B$32,Bewertung_Stammdaten!A$32,Bewertung_Stammdaten!A$33)))))))))</f>
        <v>6</v>
      </c>
      <c r="BJ16" s="33">
        <f ca="1">IF(BG16&lt;Bewertung_Stammdaten!J$11,Bewertung_Stammdaten!I$11,IF(BG16&lt;Bewertung_Stammdaten!J$12,Bewertung_Stammdaten!I$12,IF(BG16&lt;Bewertung_Stammdaten!J$13,Bewertung_Stammdaten!I$13,IF(BG16&lt;Bewertung_Stammdaten!J$14,Bewertung_Stammdaten!I$14,IF(BG16&lt;Bewertung_Stammdaten!J$15,Bewertung_Stammdaten!I$15,IF(BG16&lt;Bewertung_Stammdaten!J$16,Bewertung_Stammdaten!I$16,IF(BG16&lt;Bewertung_Stammdaten!J$17,Bewertung_Stammdaten!I$17,IF(BG16&lt;Bewertung_Stammdaten!J$18,Bewertung_Stammdaten!I$18,IF(BG16&lt;Bewertung_Stammdaten!J$19,Bewertung_Stammdaten!I$19,Bewertung_Stammdaten!I$20)))))))))</f>
        <v>9</v>
      </c>
    </row>
    <row r="17" spans="1:62" x14ac:dyDescent="0.25">
      <c r="A17" s="39" t="s">
        <v>28</v>
      </c>
      <c r="B17" s="39" t="s">
        <v>29</v>
      </c>
      <c r="C17" s="33">
        <f t="shared" ca="1" si="8"/>
        <v>84.5</v>
      </c>
      <c r="D17" s="44"/>
      <c r="E17" s="11">
        <f ca="1">VLOOKUP(A17,KGV!A3:R68,17,FALSE)</f>
        <v>11.384524162466647</v>
      </c>
      <c r="F17" s="11">
        <f>VLOOKUP(A17,KGV!A3:R68,16,FALSE)</f>
        <v>11.167768595041322</v>
      </c>
      <c r="G17" s="12">
        <f ca="1">VLOOKUP(A17,KGV!A3:R68,18,FALSE)</f>
        <v>1.9409031050443559E-2</v>
      </c>
      <c r="H17" s="16">
        <f t="shared" ca="1" si="0"/>
        <v>31.04870226127267</v>
      </c>
      <c r="I17" s="12">
        <f t="shared" ca="1" si="1"/>
        <v>1.7802064483193911</v>
      </c>
      <c r="J17" s="33">
        <f ca="1">IF(G17&lt;Bewertung_Stammdaten!B$11,Bewertung_Stammdaten!A$11,IF(G17&lt;Bewertung_Stammdaten!B$12,Bewertung_Stammdaten!A$12,IF(G17&lt;Bewertung_Stammdaten!B$13,Bewertung_Stammdaten!A$13,IF(G17&lt;Bewertung_Stammdaten!B$14,Bewertung_Stammdaten!A$14,IF(G17&lt;Bewertung_Stammdaten!B$15,Bewertung_Stammdaten!A$15,IF(G17&lt;Bewertung_Stammdaten!B$16,Bewertung_Stammdaten!A$16,IF(G17&lt;Bewertung_Stammdaten!B$17,Bewertung_Stammdaten!A$17,IF(G17&lt;Bewertung_Stammdaten!B$18,Bewertung_Stammdaten!A$18,IF(G17&lt;Bewertung_Stammdaten!B$19,Bewertung_Stammdaten!A$19,Bewertung_Stammdaten!A$20)))))))))</f>
        <v>18</v>
      </c>
      <c r="K17" s="33">
        <f ca="1">IF(I17&lt;Bewertung_Stammdaten!N$11,Bewertung_Stammdaten!M$11,IF(I17&lt;Bewertung_Stammdaten!N$12,Bewertung_Stammdaten!M$12,IF(I17&lt;Bewertung_Stammdaten!N$13,Bewertung_Stammdaten!M$13,IF(I17&lt;Bewertung_Stammdaten!N$14,Bewertung_Stammdaten!M$14,IF(I17&lt;Bewertung_Stammdaten!N$15,Bewertung_Stammdaten!M$15,IF(I17&lt;Bewertung_Stammdaten!N$16,Bewertung_Stammdaten!M$16,IF(I17&lt;Bewertung_Stammdaten!N$17,Bewertung_Stammdaten!M$17,IF(I17&lt;Bewertung_Stammdaten!N$18,Bewertung_Stammdaten!M$18,IF(I17&lt;Bewertung_Stammdaten!N$19,Bewertung_Stammdaten!M$19,Bewertung_Stammdaten!M$20)))))))))</f>
        <v>1.5</v>
      </c>
      <c r="L17" s="44"/>
      <c r="M17" s="11">
        <f ca="1">VLOOKUP(A17,Buchwert_je_Aktie!A3:AK68,23,FALSE)</f>
        <v>6.8629999999999995</v>
      </c>
      <c r="N17" s="11">
        <f>VLOOKUP(A17,Buchwert_je_Aktie!A3:AK68,19,FALSE)</f>
        <v>7.4223076923076921</v>
      </c>
      <c r="O17" s="12">
        <f ca="1">VLOOKUP(A17,Buchwert_je_Aktie!A3:AK68,24,FALSE)</f>
        <v>-7.5354959063115401E-2</v>
      </c>
      <c r="P17" s="12">
        <f>VLOOKUP(A17,Buchwert_je_Aktie!A3:AK68,37,FALSE)</f>
        <v>-0.18459796149490371</v>
      </c>
      <c r="Q17" s="16">
        <f t="shared" ca="1" si="2"/>
        <v>5.5961041902604753</v>
      </c>
      <c r="R17" s="12">
        <f t="shared" ca="1" si="3"/>
        <v>-0.24604254872643605</v>
      </c>
      <c r="S17" s="53">
        <f ca="1">IF(O17&lt;Bewertung_Stammdaten!D$24,Bewertung_Stammdaten!C$24,IF(O17&lt;Bewertung_Stammdaten!D$25,Bewertung_Stammdaten!C$25,IF(O17&lt;Bewertung_Stammdaten!D$26,Bewertung_Stammdaten!C$26,IF(O17&lt;Bewertung_Stammdaten!D$27,Bewertung_Stammdaten!C$27,IF(O17&lt;Bewertung_Stammdaten!D$28,Bewertung_Stammdaten!C$28,IF(O17&lt;Bewertung_Stammdaten!D$29,Bewertung_Stammdaten!C$29,IF(O17&lt;Bewertung_Stammdaten!D$30,Bewertung_Stammdaten!C$30,IF(O17&lt;Bewertung_Stammdaten!D$31,Bewertung_Stammdaten!C$31,IF(O17&lt;Bewertung_Stammdaten!D$32,Bewertung_Stammdaten!C$32,Bewertung_Stammdaten!C$33)))))))))</f>
        <v>3</v>
      </c>
      <c r="T17" s="53">
        <f>IF(P17&lt;Bewertung_Stammdaten!F$24,Bewertung_Stammdaten!E$24,IF(P17&lt;Bewertung_Stammdaten!F$25,Bewertung_Stammdaten!E$25,IF(P17&lt;Bewertung_Stammdaten!F$26,Bewertung_Stammdaten!E$26,IF(P17&lt;Bewertung_Stammdaten!F$27,Bewertung_Stammdaten!E$27,IF(P17&lt;Bewertung_Stammdaten!F$28,Bewertung_Stammdaten!E$28,IF(P17&lt;Bewertung_Stammdaten!F$29,Bewertung_Stammdaten!E$29,IF(P17&lt;Bewertung_Stammdaten!F$30,Bewertung_Stammdaten!E$30,IF(P17&lt;Bewertung_Stammdaten!F$31,Bewertung_Stammdaten!E$31,IF(P17&lt;Bewertung_Stammdaten!F$32,Bewertung_Stammdaten!E$32,Bewertung_Stammdaten!E$33)))))))))</f>
        <v>6</v>
      </c>
      <c r="U17" s="53">
        <f ca="1">IF(R17&lt;Bewertung_Stammdaten!H$24,Bewertung_Stammdaten!G$24,IF(R17&lt;Bewertung_Stammdaten!H$25,Bewertung_Stammdaten!G$25,IF(R17&lt;Bewertung_Stammdaten!H$26,Bewertung_Stammdaten!G$26,IF(R17&lt;Bewertung_Stammdaten!H$27,Bewertung_Stammdaten!G$27,IF(R17&lt;Bewertung_Stammdaten!H$28,Bewertung_Stammdaten!G$28,IF(R17&lt;Bewertung_Stammdaten!H$29,Bewertung_Stammdaten!G$29,IF(R17&lt;Bewertung_Stammdaten!H$30,Bewertung_Stammdaten!G$30,IF(R17&lt;Bewertung_Stammdaten!H$31,Bewertung_Stammdaten!G$31,IF(R17&lt;Bewertung_Stammdaten!H$32,Bewertung_Stammdaten!G$32,Bewertung_Stammdaten!G$33)))))))))</f>
        <v>1</v>
      </c>
      <c r="V17" s="44"/>
      <c r="W17" s="14">
        <f ca="1">VLOOKUP(A17,Ergebnis_je_Aktie_verwässert!A3:AK68,23,FALSE)</f>
        <v>0.5621666666666667</v>
      </c>
      <c r="X17" s="14">
        <f>VLOOKUP(A17,Ergebnis_je_Aktie_verwässert!A3:AK68,19,FALSE)</f>
        <v>0.79538461538461536</v>
      </c>
      <c r="Y17" s="12">
        <f ca="1">VLOOKUP(A17,Ergebnis_je_Aktie_verwässert!A3:AK68,24,FALSE)</f>
        <v>-0.29321405544809798</v>
      </c>
      <c r="Z17" s="41">
        <f>VLOOKUP(A17,Ergebnis_je_Aktie_verwässert!A3:AK68,37,FALSE)</f>
        <v>-0.6333333333333333</v>
      </c>
      <c r="AA17" s="16">
        <f t="shared" ca="1" si="4"/>
        <v>0.2061277777777778</v>
      </c>
      <c r="AB17" s="12">
        <f t="shared" ca="1" si="5"/>
        <v>-0.74084515366430259</v>
      </c>
      <c r="AC17" s="33">
        <f ca="1">IF(Y17&lt;Bewertung_Stammdaten!L$11,Bewertung_Stammdaten!K$11,IF(Y17&lt;Bewertung_Stammdaten!L$12,Bewertung_Stammdaten!K$12,IF(Y17&lt;Bewertung_Stammdaten!L$13,Bewertung_Stammdaten!K$13,IF(Y17&lt;Bewertung_Stammdaten!L$14,Bewertung_Stammdaten!K$14,IF(Y17&lt;Bewertung_Stammdaten!L$15,Bewertung_Stammdaten!K$15,IF(Y17&lt;Bewertung_Stammdaten!L$16,Bewertung_Stammdaten!K$16,IF(Y17&lt;Bewertung_Stammdaten!L$17,Bewertung_Stammdaten!K$17,IF(Y17&lt;Bewertung_Stammdaten!L$18,Bewertung_Stammdaten!K$18,IF(Y17&lt;Bewertung_Stammdaten!L$19,Bewertung_Stammdaten!K$19,Bewertung_Stammdaten!K$20)))))))))</f>
        <v>2</v>
      </c>
      <c r="AD17" s="33">
        <f>IF(Z17&lt;Bewertung_Stammdaten!R$11,Bewertung_Stammdaten!Q$11,IF(Z17&lt;Bewertung_Stammdaten!R$12,Bewertung_Stammdaten!Q$12,IF(Z17&lt;Bewertung_Stammdaten!R$13,Bewertung_Stammdaten!Q$13,IF(Z17&lt;Bewertung_Stammdaten!R$14,Bewertung_Stammdaten!Q$14,IF(Z17&lt;Bewertung_Stammdaten!R$15,Bewertung_Stammdaten!Q$15,IF(Z17&lt;Bewertung_Stammdaten!R$16,Bewertung_Stammdaten!Q$16,IF(Z17&lt;Bewertung_Stammdaten!R$17,Bewertung_Stammdaten!Q$17,IF(Z17&lt;Bewertung_Stammdaten!R$18,Bewertung_Stammdaten!Q$18,IF(Z17&lt;Bewertung_Stammdaten!R$19,Bewertung_Stammdaten!Q$19,Bewertung_Stammdaten!Q$20)))))))))</f>
        <v>1</v>
      </c>
      <c r="AE17" s="33">
        <f ca="1">IF(AB17&lt;Bewertung_Stammdaten!P$11,Bewertung_Stammdaten!O$11,IF(AB17&lt;Bewertung_Stammdaten!P$12,Bewertung_Stammdaten!O$12,IF(AB17&lt;Bewertung_Stammdaten!P$13,Bewertung_Stammdaten!O$13,IF(AB17&lt;Bewertung_Stammdaten!P$14,Bewertung_Stammdaten!O$14,IF(AB17&lt;Bewertung_Stammdaten!P$15,Bewertung_Stammdaten!O$15,IF(AB17&lt;Bewertung_Stammdaten!P$16,Bewertung_Stammdaten!O$16,IF(AB17&lt;Bewertung_Stammdaten!P$17,Bewertung_Stammdaten!O$17,IF(AB17&lt;Bewertung_Stammdaten!P$18,Bewertung_Stammdaten!O$18,IF(AB17&lt;Bewertung_Stammdaten!P$19,Bewertung_Stammdaten!O$19,Bewertung_Stammdaten!O$20)))))))))</f>
        <v>1</v>
      </c>
      <c r="AF17" s="44"/>
      <c r="AG17" s="14">
        <f ca="1">VLOOKUP(A17,Dividende_je_Aktie!A3:AM68,24,FALSE)</f>
        <v>0.2260833333333333</v>
      </c>
      <c r="AH17" s="14">
        <f>VLOOKUP(A17,Dividende_je_Aktie!A3:AM68,20,FALSE)</f>
        <v>0.49142857142857149</v>
      </c>
      <c r="AI17" s="12">
        <f ca="1">VLOOKUP(A17,Dividende_je_Aktie!A3:AM68,25,FALSE)</f>
        <v>-0.5399467054263567</v>
      </c>
      <c r="AJ17" s="41">
        <f>VLOOKUP(A17,Dividende_je_Aktie!A3:AM68,39,FALSE)</f>
        <v>-0.45000000000000007</v>
      </c>
      <c r="AK17" s="16">
        <f t="shared" ca="1" si="6"/>
        <v>0.12434583333333331</v>
      </c>
      <c r="AL17" s="12">
        <f t="shared" ca="1" si="7"/>
        <v>-0.74697068798449617</v>
      </c>
      <c r="AM17" s="33">
        <f ca="1">IF(AI17&lt;Bewertung_Stammdaten!P$24,Bewertung_Stammdaten!O$24,IF(AI17&lt;Bewertung_Stammdaten!P$25,Bewertung_Stammdaten!O$25,IF(AI17&lt;Bewertung_Stammdaten!P$26,Bewertung_Stammdaten!O$26,IF(AI17&lt;Bewertung_Stammdaten!P$27,Bewertung_Stammdaten!O$27,IF(AI17&lt;Bewertung_Stammdaten!P$28,Bewertung_Stammdaten!O$28,IF(AI17&lt;Bewertung_Stammdaten!P$29,Bewertung_Stammdaten!O$29,IF(AI17&lt;Bewertung_Stammdaten!P$30,Bewertung_Stammdaten!O$30,IF(AI17&lt;Bewertung_Stammdaten!P$31,Bewertung_Stammdaten!O$31,IF(AI17&lt;Bewertung_Stammdaten!P$32,Bewertung_Stammdaten!O$32,Bewertung_Stammdaten!O$33)))))))))</f>
        <v>2</v>
      </c>
      <c r="AN17" s="33">
        <f>IF(AJ17&lt;Bewertung_Stammdaten!R$24,Bewertung_Stammdaten!Q$24,IF(AJ17&lt;Bewertung_Stammdaten!R$25,Bewertung_Stammdaten!Q$25,IF(AJ17&lt;Bewertung_Stammdaten!R$26,Bewertung_Stammdaten!Q$26,IF(AJ17&lt;Bewertung_Stammdaten!R$27,Bewertung_Stammdaten!Q$27,IF(AJ17&lt;Bewertung_Stammdaten!R$28,Bewertung_Stammdaten!Q$28,IF(AJ17&lt;Bewertung_Stammdaten!R$29,Bewertung_Stammdaten!Q$29,IF(AJ17&lt;Bewertung_Stammdaten!R$30,Bewertung_Stammdaten!Q$30,IF(AJ17&lt;Bewertung_Stammdaten!R$31,Bewertung_Stammdaten!Q$31,IF(AJ17&lt;Bewertung_Stammdaten!R$32,Bewertung_Stammdaten!Q$32,Bewertung_Stammdaten!Q$33)))))))))</f>
        <v>3</v>
      </c>
      <c r="AO17" s="33">
        <f ca="1">IF(AL17&lt;Bewertung_Stammdaten!T$24,Bewertung_Stammdaten!S$24,IF(AL17&lt;Bewertung_Stammdaten!T$25,Bewertung_Stammdaten!S$25,IF(AL17&lt;Bewertung_Stammdaten!T$26,Bewertung_Stammdaten!S$26,IF(AL17&lt;Bewertung_Stammdaten!T$27,Bewertung_Stammdaten!S$27,IF(AL17&lt;Bewertung_Stammdaten!T$28,Bewertung_Stammdaten!S$28,IF(AL17&lt;Bewertung_Stammdaten!T$29,Bewertung_Stammdaten!S$29,IF(AL17&lt;Bewertung_Stammdaten!T$30,Bewertung_Stammdaten!S$30,IF(AL17&lt;Bewertung_Stammdaten!T$31,Bewertung_Stammdaten!S$31,IF(AL17&lt;Bewertung_Stammdaten!T$32,Bewertung_Stammdaten!S$32,Bewertung_Stammdaten!S$33)))))))))</f>
        <v>1</v>
      </c>
      <c r="AP17" s="44"/>
      <c r="AQ17" s="12">
        <f ca="1">VLOOKUP(A17,Dividendenrendite!A3:R68,17,FALSE)</f>
        <v>3.5325520833333325E-2</v>
      </c>
      <c r="AR17" s="12">
        <f>VLOOKUP(A17,Dividendenrendite!A3:R68,16,FALSE)</f>
        <v>6.5516580897794635E-2</v>
      </c>
      <c r="AS17" s="12">
        <f ca="1">VLOOKUP(A17,Dividendenrendite!A3:R68,18,FALSE)</f>
        <v>-0.46081556227055154</v>
      </c>
      <c r="AT17" s="33">
        <f ca="1">IF(AQ17&lt;Bewertung_Stammdaten!D$11,Bewertung_Stammdaten!C$11,IF(AQ17&lt;Bewertung_Stammdaten!D$12,Bewertung_Stammdaten!C$12,IF(AQ17&lt;Bewertung_Stammdaten!D$13,Bewertung_Stammdaten!C$13,IF(AQ17&lt;Bewertung_Stammdaten!D$14,Bewertung_Stammdaten!C$14,IF(AQ17&lt;Bewertung_Stammdaten!D$15,Bewertung_Stammdaten!C$15,IF(AQ17&lt;Bewertung_Stammdaten!D$16,Bewertung_Stammdaten!C$16,IF(AQ17&lt;Bewertung_Stammdaten!D$17,Bewertung_Stammdaten!C$17,IF(AQ17&lt;Bewertung_Stammdaten!D$18,Bewertung_Stammdaten!C$18,IF(AQ17&lt;Bewertung_Stammdaten!D$19,Bewertung_Stammdaten!C$19,Bewertung_Stammdaten!C$20)))))))))</f>
        <v>12</v>
      </c>
      <c r="AU17" s="33">
        <f>IF(AR17&lt;Bewertung_Stammdaten!T$11,Bewertung_Stammdaten!S$11,IF(AR17&lt;Bewertung_Stammdaten!T$12,Bewertung_Stammdaten!S$12,IF(AR17&lt;Bewertung_Stammdaten!T$13,Bewertung_Stammdaten!S$13,IF(AR17&lt;Bewertung_Stammdaten!T$14,Bewertung_Stammdaten!S$14,IF(AR17&lt;Bewertung_Stammdaten!T$15,Bewertung_Stammdaten!S$15,IF(AR17&lt;Bewertung_Stammdaten!T$16,Bewertung_Stammdaten!S$16,IF(AR17&lt;Bewertung_Stammdaten!T$17,Bewertung_Stammdaten!S$17,IF(AR17&lt;Bewertung_Stammdaten!T$18,Bewertung_Stammdaten!S$18,IF(AR17&lt;Bewertung_Stammdaten!T$19,Bewertung_Stammdaten!S$19,Bewertung_Stammdaten!S$20)))))))))</f>
        <v>10</v>
      </c>
      <c r="AV17" s="33">
        <f ca="1">IF(AS17&lt;Bewertung_Stammdaten!F$11,Bewertung_Stammdaten!E$11,IF(AS17&lt;Bewertung_Stammdaten!F$12,Bewertung_Stammdaten!E$12,IF(AS17&lt;Bewertung_Stammdaten!F$13,Bewertung_Stammdaten!E$13,IF(AS17&lt;Bewertung_Stammdaten!F$14,Bewertung_Stammdaten!E$14,IF(AS17&lt;Bewertung_Stammdaten!F$15,Bewertung_Stammdaten!E$15,IF(AS17&lt;Bewertung_Stammdaten!F$16,Bewertung_Stammdaten!E$16,IF(AS17&lt;Bewertung_Stammdaten!F$17,Bewertung_Stammdaten!E$17,IF(AS17&lt;Bewertung_Stammdaten!F$18,Bewertung_Stammdaten!E$18,IF(AS17&lt;Bewertung_Stammdaten!F$19,Bewertung_Stammdaten!E$19,Bewertung_Stammdaten!E$20)))))))))</f>
        <v>0.5</v>
      </c>
      <c r="AW17" s="44"/>
      <c r="AX17" s="12">
        <f>VLOOKUP(A17,Aktien_im_Umlauf_splitbereinigt!A3:Z68,26,FALSE)</f>
        <v>0.11038559957645822</v>
      </c>
      <c r="AY17" s="12">
        <f>VLOOKUP(A17,Aktien_im_Umlauf_splitbereinigt!A3:Y68,24,FALSE)</f>
        <v>8.4029361428937646E-2</v>
      </c>
      <c r="AZ17" s="12">
        <f>VLOOKUP(A17,Aktien_im_Umlauf_splitbereinigt!A3:Y68,25,FALSE)</f>
        <v>-99.999989999999997</v>
      </c>
      <c r="BA17" s="42">
        <f>IF(AX17&lt;Bewertung_Stammdaten!J$24,Bewertung_Stammdaten!I$24,IF(AX17&lt;Bewertung_Stammdaten!J$25,Bewertung_Stammdaten!I$25,IF(AX17&lt;Bewertung_Stammdaten!J$26,Bewertung_Stammdaten!I$26,IF(AX17&lt;Bewertung_Stammdaten!J$27,Bewertung_Stammdaten!I$27,IF(AX17&lt;Bewertung_Stammdaten!J$28,Bewertung_Stammdaten!I$28,IF(AX17&lt;Bewertung_Stammdaten!J$29,Bewertung_Stammdaten!I$29,IF(AX17&lt;Bewertung_Stammdaten!J$30,Bewertung_Stammdaten!I$30,IF(AX17&lt;Bewertung_Stammdaten!J$31,Bewertung_Stammdaten!I$31,IF(AX17&lt;Bewertung_Stammdaten!J$32,Bewertung_Stammdaten!I$32,Bewertung_Stammdaten!I$33)))))))))</f>
        <v>1</v>
      </c>
      <c r="BB17" s="42">
        <f>IF(AY17&lt;Bewertung_Stammdaten!L$24,Bewertung_Stammdaten!K$24,IF(AY17&lt;Bewertung_Stammdaten!L$25,Bewertung_Stammdaten!K$25,IF(AY17&lt;Bewertung_Stammdaten!L$26,Bewertung_Stammdaten!K$26,IF(AY17&lt;Bewertung_Stammdaten!L$27,Bewertung_Stammdaten!K$27,IF(AY17&lt;Bewertung_Stammdaten!L$28,Bewertung_Stammdaten!K$28,IF(AY17&lt;Bewertung_Stammdaten!L$29,Bewertung_Stammdaten!K$29,IF(AY17&lt;Bewertung_Stammdaten!L$30,Bewertung_Stammdaten!K$30,IF(AY17&lt;Bewertung_Stammdaten!L$31,Bewertung_Stammdaten!K$31,IF(AY17&lt;Bewertung_Stammdaten!L$32,Bewertung_Stammdaten!K$32,Bewertung_Stammdaten!K$33)))))))))</f>
        <v>1</v>
      </c>
      <c r="BC17" s="42">
        <f>IF(AZ17&lt;Bewertung_Stammdaten!N$24,Bewertung_Stammdaten!M$24,IF(AZ17&lt;Bewertung_Stammdaten!N$25,Bewertung_Stammdaten!M$25,IF(AZ17&lt;Bewertung_Stammdaten!N$26,Bewertung_Stammdaten!M$26,IF(AZ17&lt;Bewertung_Stammdaten!N$27,Bewertung_Stammdaten!M$27,IF(AZ17&lt;Bewertung_Stammdaten!N$28,Bewertung_Stammdaten!M$28,IF(AZ17&lt;Bewertung_Stammdaten!N$29,Bewertung_Stammdaten!M$29,IF(AZ17&lt;Bewertung_Stammdaten!N$30,Bewertung_Stammdaten!M$30,IF(AZ17&lt;Bewertung_Stammdaten!N$31,Bewertung_Stammdaten!M$31,IF(AZ17&lt;Bewertung_Stammdaten!N$32,Bewertung_Stammdaten!M$32,Bewertung_Stammdaten!M$33)))))))))</f>
        <v>0.5</v>
      </c>
      <c r="BD17" s="44"/>
      <c r="BE17" s="12">
        <f ca="1">VLOOKUP(A17,Ausschüttungsquote!A3:X68,23,FALSE)</f>
        <v>0.40199453551912567</v>
      </c>
      <c r="BF17" s="12">
        <f>VLOOKUP(A17,Ausschüttungsquote!A3:X68,19,FALSE)</f>
        <v>0.81705060257674</v>
      </c>
      <c r="BG17" s="12">
        <f ca="1">VLOOKUP(A17,Ausschüttungsquote!A3:X68,24,FALSE)</f>
        <v>-0.50799309828381278</v>
      </c>
      <c r="BH17" s="33">
        <f ca="1">IF(BE17&lt;Bewertung_Stammdaten!H$11,Bewertung_Stammdaten!G$11,IF(BE17&lt;Bewertung_Stammdaten!H$12,Bewertung_Stammdaten!G$12,IF(BE17&lt;Bewertung_Stammdaten!H$13,Bewertung_Stammdaten!G$13,IF(BE17&lt;Bewertung_Stammdaten!H$14,Bewertung_Stammdaten!G$14,IF(BE17&lt;Bewertung_Stammdaten!H$15,Bewertung_Stammdaten!G$15,IF(BE17&lt;Bewertung_Stammdaten!H$16,Bewertung_Stammdaten!G$16,IF(BE17&lt;Bewertung_Stammdaten!H$17,Bewertung_Stammdaten!G$17,IF(BE17&lt;Bewertung_Stammdaten!H$18,Bewertung_Stammdaten!G$18,IF(BE17&lt;Bewertung_Stammdaten!H$19,Bewertung_Stammdaten!G$19,Bewertung_Stammdaten!G$20)))))))))</f>
        <v>9</v>
      </c>
      <c r="BI17" s="42">
        <f>IF(BF17&lt;Bewertung_Stammdaten!B$24,Bewertung_Stammdaten!A$24,IF(BF17&lt;Bewertung_Stammdaten!B$25,Bewertung_Stammdaten!A$25,IF(BF17&lt;Bewertung_Stammdaten!B$26,Bewertung_Stammdaten!A$26,IF(BF17&lt;Bewertung_Stammdaten!B$27,Bewertung_Stammdaten!A$27,IF(BF17&lt;Bewertung_Stammdaten!B$28,Bewertung_Stammdaten!A$28,IF(BF17&lt;Bewertung_Stammdaten!B$29,Bewertung_Stammdaten!A$29,IF(BF17&lt;Bewertung_Stammdaten!B$30,Bewertung_Stammdaten!A$30,IF(BF17&lt;Bewertung_Stammdaten!B$31,Bewertung_Stammdaten!A$31,IF(BF17&lt;Bewertung_Stammdaten!B$32,Bewertung_Stammdaten!A$32,Bewertung_Stammdaten!A$33)))))))))</f>
        <v>1</v>
      </c>
      <c r="BJ17" s="33">
        <f ca="1">IF(BG17&lt;Bewertung_Stammdaten!J$11,Bewertung_Stammdaten!I$11,IF(BG17&lt;Bewertung_Stammdaten!J$12,Bewertung_Stammdaten!I$12,IF(BG17&lt;Bewertung_Stammdaten!J$13,Bewertung_Stammdaten!I$13,IF(BG17&lt;Bewertung_Stammdaten!J$14,Bewertung_Stammdaten!I$14,IF(BG17&lt;Bewertung_Stammdaten!J$15,Bewertung_Stammdaten!I$15,IF(BG17&lt;Bewertung_Stammdaten!J$16,Bewertung_Stammdaten!I$16,IF(BG17&lt;Bewertung_Stammdaten!J$17,Bewertung_Stammdaten!I$17,IF(BG17&lt;Bewertung_Stammdaten!J$18,Bewertung_Stammdaten!I$18,IF(BG17&lt;Bewertung_Stammdaten!J$19,Bewertung_Stammdaten!I$19,Bewertung_Stammdaten!I$20)))))))))</f>
        <v>10</v>
      </c>
    </row>
    <row r="18" spans="1:62" x14ac:dyDescent="0.25">
      <c r="A18" s="39" t="s">
        <v>30</v>
      </c>
      <c r="B18" s="39" t="s">
        <v>31</v>
      </c>
      <c r="C18" s="33">
        <f t="shared" ca="1" si="8"/>
        <v>84.5</v>
      </c>
      <c r="D18" s="44"/>
      <c r="E18" s="11">
        <f ca="1">VLOOKUP(A18,KGV!A3:R68,17,FALSE)</f>
        <v>15.320626145093375</v>
      </c>
      <c r="F18" s="11">
        <f>VLOOKUP(A18,KGV!A3:R68,16,FALSE)</f>
        <v>13.631901840490798</v>
      </c>
      <c r="G18" s="12">
        <f ca="1">VLOOKUP(A18,KGV!A3:R68,18,FALSE)</f>
        <v>0.12388031577417635</v>
      </c>
      <c r="H18" s="16">
        <f t="shared" ca="1" si="0"/>
        <v>28.726174022050078</v>
      </c>
      <c r="I18" s="12">
        <f t="shared" ca="1" si="1"/>
        <v>1.1072755920765807</v>
      </c>
      <c r="J18" s="33">
        <f ca="1">IF(G18&lt;Bewertung_Stammdaten!B$11,Bewertung_Stammdaten!A$11,IF(G18&lt;Bewertung_Stammdaten!B$12,Bewertung_Stammdaten!A$12,IF(G18&lt;Bewertung_Stammdaten!B$13,Bewertung_Stammdaten!A$13,IF(G18&lt;Bewertung_Stammdaten!B$14,Bewertung_Stammdaten!A$14,IF(G18&lt;Bewertung_Stammdaten!B$15,Bewertung_Stammdaten!A$15,IF(G18&lt;Bewertung_Stammdaten!B$16,Bewertung_Stammdaten!A$16,IF(G18&lt;Bewertung_Stammdaten!B$17,Bewertung_Stammdaten!A$17,IF(G18&lt;Bewertung_Stammdaten!B$18,Bewertung_Stammdaten!A$18,IF(G18&lt;Bewertung_Stammdaten!B$19,Bewertung_Stammdaten!A$19,Bewertung_Stammdaten!A$20)))))))))</f>
        <v>12</v>
      </c>
      <c r="K18" s="33">
        <f ca="1">IF(I18&lt;Bewertung_Stammdaten!N$11,Bewertung_Stammdaten!M$11,IF(I18&lt;Bewertung_Stammdaten!N$12,Bewertung_Stammdaten!M$12,IF(I18&lt;Bewertung_Stammdaten!N$13,Bewertung_Stammdaten!M$13,IF(I18&lt;Bewertung_Stammdaten!N$14,Bewertung_Stammdaten!M$14,IF(I18&lt;Bewertung_Stammdaten!N$15,Bewertung_Stammdaten!M$15,IF(I18&lt;Bewertung_Stammdaten!N$16,Bewertung_Stammdaten!M$16,IF(I18&lt;Bewertung_Stammdaten!N$17,Bewertung_Stammdaten!M$17,IF(I18&lt;Bewertung_Stammdaten!N$18,Bewertung_Stammdaten!M$18,IF(I18&lt;Bewertung_Stammdaten!N$19,Bewertung_Stammdaten!M$19,Bewertung_Stammdaten!M$20)))))))))</f>
        <v>1.5</v>
      </c>
      <c r="L18" s="44"/>
      <c r="M18" s="11">
        <f ca="1">VLOOKUP(A18,Buchwert_je_Aktie!A3:AK68,23,FALSE)</f>
        <v>5.3967777777777775</v>
      </c>
      <c r="N18" s="11">
        <f>VLOOKUP(A18,Buchwert_je_Aktie!A3:AK68,19,FALSE)</f>
        <v>4.5730769230769219</v>
      </c>
      <c r="O18" s="12">
        <f ca="1">VLOOKUP(A18,Buchwert_je_Aktie!A3:AK68,24,FALSE)</f>
        <v>0.18011961498925366</v>
      </c>
      <c r="P18" s="12">
        <f>VLOOKUP(A18,Buchwert_je_Aktie!A3:AK68,37,FALSE)</f>
        <v>-0.13270142180094779</v>
      </c>
      <c r="Q18" s="16">
        <f t="shared" ca="1" si="2"/>
        <v>4.6806176935229065</v>
      </c>
      <c r="R18" s="12">
        <f t="shared" ca="1" si="3"/>
        <v>2.3516064184992524E-2</v>
      </c>
      <c r="S18" s="53">
        <f ca="1">IF(O18&lt;Bewertung_Stammdaten!D$24,Bewertung_Stammdaten!C$24,IF(O18&lt;Bewertung_Stammdaten!D$25,Bewertung_Stammdaten!C$25,IF(O18&lt;Bewertung_Stammdaten!D$26,Bewertung_Stammdaten!C$26,IF(O18&lt;Bewertung_Stammdaten!D$27,Bewertung_Stammdaten!C$27,IF(O18&lt;Bewertung_Stammdaten!D$28,Bewertung_Stammdaten!C$28,IF(O18&lt;Bewertung_Stammdaten!D$29,Bewertung_Stammdaten!C$29,IF(O18&lt;Bewertung_Stammdaten!D$30,Bewertung_Stammdaten!C$30,IF(O18&lt;Bewertung_Stammdaten!D$31,Bewertung_Stammdaten!C$31,IF(O18&lt;Bewertung_Stammdaten!D$32,Bewertung_Stammdaten!C$32,Bewertung_Stammdaten!C$33)))))))))</f>
        <v>6</v>
      </c>
      <c r="T18" s="53">
        <f>IF(P18&lt;Bewertung_Stammdaten!F$24,Bewertung_Stammdaten!E$24,IF(P18&lt;Bewertung_Stammdaten!F$25,Bewertung_Stammdaten!E$25,IF(P18&lt;Bewertung_Stammdaten!F$26,Bewertung_Stammdaten!E$26,IF(P18&lt;Bewertung_Stammdaten!F$27,Bewertung_Stammdaten!E$27,IF(P18&lt;Bewertung_Stammdaten!F$28,Bewertung_Stammdaten!E$28,IF(P18&lt;Bewertung_Stammdaten!F$29,Bewertung_Stammdaten!E$29,IF(P18&lt;Bewertung_Stammdaten!F$30,Bewertung_Stammdaten!E$30,IF(P18&lt;Bewertung_Stammdaten!F$31,Bewertung_Stammdaten!E$31,IF(P18&lt;Bewertung_Stammdaten!F$32,Bewertung_Stammdaten!E$32,Bewertung_Stammdaten!E$33)))))))))</f>
        <v>7.5</v>
      </c>
      <c r="U18" s="53">
        <f ca="1">IF(R18&lt;Bewertung_Stammdaten!H$24,Bewertung_Stammdaten!G$24,IF(R18&lt;Bewertung_Stammdaten!H$25,Bewertung_Stammdaten!G$25,IF(R18&lt;Bewertung_Stammdaten!H$26,Bewertung_Stammdaten!G$26,IF(R18&lt;Bewertung_Stammdaten!H$27,Bewertung_Stammdaten!G$27,IF(R18&lt;Bewertung_Stammdaten!H$28,Bewertung_Stammdaten!G$28,IF(R18&lt;Bewertung_Stammdaten!H$29,Bewertung_Stammdaten!G$29,IF(R18&lt;Bewertung_Stammdaten!H$30,Bewertung_Stammdaten!G$30,IF(R18&lt;Bewertung_Stammdaten!H$31,Bewertung_Stammdaten!G$31,IF(R18&lt;Bewertung_Stammdaten!H$32,Bewertung_Stammdaten!G$32,Bewertung_Stammdaten!G$33)))))))))</f>
        <v>3</v>
      </c>
      <c r="V18" s="44"/>
      <c r="W18" s="14">
        <f ca="1">VLOOKUP(A18,Ergebnis_je_Aktie_verwässert!A3:AK68,23,FALSE)</f>
        <v>0.86419444444444449</v>
      </c>
      <c r="X18" s="14">
        <f>VLOOKUP(A18,Ergebnis_je_Aktie_verwässert!A3:AK68,19,FALSE)</f>
        <v>1.2453846153846155</v>
      </c>
      <c r="Y18" s="12">
        <f ca="1">VLOOKUP(A18,Ergebnis_je_Aktie_verwässert!A3:AK68,24,FALSE)</f>
        <v>-0.30608228673392357</v>
      </c>
      <c r="Z18" s="41">
        <f>VLOOKUP(A18,Ergebnis_je_Aktie_verwässert!A3:AK68,37,FALSE)</f>
        <v>-0.46666666666666667</v>
      </c>
      <c r="AA18" s="16">
        <f t="shared" ca="1" si="4"/>
        <v>0.4609037037037037</v>
      </c>
      <c r="AB18" s="12">
        <f t="shared" ca="1" si="5"/>
        <v>-0.62991055292475928</v>
      </c>
      <c r="AC18" s="33">
        <f ca="1">IF(Y18&lt;Bewertung_Stammdaten!L$11,Bewertung_Stammdaten!K$11,IF(Y18&lt;Bewertung_Stammdaten!L$12,Bewertung_Stammdaten!K$12,IF(Y18&lt;Bewertung_Stammdaten!L$13,Bewertung_Stammdaten!K$13,IF(Y18&lt;Bewertung_Stammdaten!L$14,Bewertung_Stammdaten!K$14,IF(Y18&lt;Bewertung_Stammdaten!L$15,Bewertung_Stammdaten!K$15,IF(Y18&lt;Bewertung_Stammdaten!L$16,Bewertung_Stammdaten!K$16,IF(Y18&lt;Bewertung_Stammdaten!L$17,Bewertung_Stammdaten!K$17,IF(Y18&lt;Bewertung_Stammdaten!L$18,Bewertung_Stammdaten!K$18,IF(Y18&lt;Bewertung_Stammdaten!L$19,Bewertung_Stammdaten!K$19,Bewertung_Stammdaten!K$20)))))))))</f>
        <v>2</v>
      </c>
      <c r="AD18" s="33">
        <f>IF(Z18&lt;Bewertung_Stammdaten!R$11,Bewertung_Stammdaten!Q$11,IF(Z18&lt;Bewertung_Stammdaten!R$12,Bewertung_Stammdaten!Q$12,IF(Z18&lt;Bewertung_Stammdaten!R$13,Bewertung_Stammdaten!Q$13,IF(Z18&lt;Bewertung_Stammdaten!R$14,Bewertung_Stammdaten!Q$14,IF(Z18&lt;Bewertung_Stammdaten!R$15,Bewertung_Stammdaten!Q$15,IF(Z18&lt;Bewertung_Stammdaten!R$16,Bewertung_Stammdaten!Q$16,IF(Z18&lt;Bewertung_Stammdaten!R$17,Bewertung_Stammdaten!Q$17,IF(Z18&lt;Bewertung_Stammdaten!R$18,Bewertung_Stammdaten!Q$18,IF(Z18&lt;Bewertung_Stammdaten!R$19,Bewertung_Stammdaten!Q$19,Bewertung_Stammdaten!Q$20)))))))))</f>
        <v>3</v>
      </c>
      <c r="AE18" s="33">
        <f ca="1">IF(AB18&lt;Bewertung_Stammdaten!P$11,Bewertung_Stammdaten!O$11,IF(AB18&lt;Bewertung_Stammdaten!P$12,Bewertung_Stammdaten!O$12,IF(AB18&lt;Bewertung_Stammdaten!P$13,Bewertung_Stammdaten!O$13,IF(AB18&lt;Bewertung_Stammdaten!P$14,Bewertung_Stammdaten!O$14,IF(AB18&lt;Bewertung_Stammdaten!P$15,Bewertung_Stammdaten!O$15,IF(AB18&lt;Bewertung_Stammdaten!P$16,Bewertung_Stammdaten!O$16,IF(AB18&lt;Bewertung_Stammdaten!P$17,Bewertung_Stammdaten!O$17,IF(AB18&lt;Bewertung_Stammdaten!P$18,Bewertung_Stammdaten!O$18,IF(AB18&lt;Bewertung_Stammdaten!P$19,Bewertung_Stammdaten!O$19,Bewertung_Stammdaten!O$20)))))))))</f>
        <v>1</v>
      </c>
      <c r="AF18" s="44"/>
      <c r="AG18" s="14">
        <f ca="1">VLOOKUP(A18,Dividende_je_Aktie!A3:AM68,24,FALSE)</f>
        <v>0.70594444444444437</v>
      </c>
      <c r="AH18" s="14">
        <f>VLOOKUP(A18,Dividende_je_Aktie!A3:AM68,20,FALSE)</f>
        <v>0.78142857142857147</v>
      </c>
      <c r="AI18" s="12">
        <f ca="1">VLOOKUP(A18,Dividende_je_Aktie!A3:AM68,25,FALSE)</f>
        <v>-9.6597603087548389E-2</v>
      </c>
      <c r="AJ18" s="41">
        <f>VLOOKUP(A18,Dividende_je_Aktie!A3:AM68,39,FALSE)</f>
        <v>-0.46666666666666667</v>
      </c>
      <c r="AK18" s="16">
        <f t="shared" ca="1" si="6"/>
        <v>0.37650370370370367</v>
      </c>
      <c r="AL18" s="12">
        <f t="shared" ca="1" si="7"/>
        <v>-0.51818538831335914</v>
      </c>
      <c r="AM18" s="33">
        <f ca="1">IF(AI18&lt;Bewertung_Stammdaten!P$24,Bewertung_Stammdaten!O$24,IF(AI18&lt;Bewertung_Stammdaten!P$25,Bewertung_Stammdaten!O$25,IF(AI18&lt;Bewertung_Stammdaten!P$26,Bewertung_Stammdaten!O$26,IF(AI18&lt;Bewertung_Stammdaten!P$27,Bewertung_Stammdaten!O$27,IF(AI18&lt;Bewertung_Stammdaten!P$28,Bewertung_Stammdaten!O$28,IF(AI18&lt;Bewertung_Stammdaten!P$29,Bewertung_Stammdaten!O$29,IF(AI18&lt;Bewertung_Stammdaten!P$30,Bewertung_Stammdaten!O$30,IF(AI18&lt;Bewertung_Stammdaten!P$31,Bewertung_Stammdaten!O$31,IF(AI18&lt;Bewertung_Stammdaten!P$32,Bewertung_Stammdaten!O$32,Bewertung_Stammdaten!O$33)))))))))</f>
        <v>4</v>
      </c>
      <c r="AN18" s="33">
        <f>IF(AJ18&lt;Bewertung_Stammdaten!R$24,Bewertung_Stammdaten!Q$24,IF(AJ18&lt;Bewertung_Stammdaten!R$25,Bewertung_Stammdaten!Q$25,IF(AJ18&lt;Bewertung_Stammdaten!R$26,Bewertung_Stammdaten!Q$26,IF(AJ18&lt;Bewertung_Stammdaten!R$27,Bewertung_Stammdaten!Q$27,IF(AJ18&lt;Bewertung_Stammdaten!R$28,Bewertung_Stammdaten!Q$28,IF(AJ18&lt;Bewertung_Stammdaten!R$29,Bewertung_Stammdaten!Q$29,IF(AJ18&lt;Bewertung_Stammdaten!R$30,Bewertung_Stammdaten!Q$30,IF(AJ18&lt;Bewertung_Stammdaten!R$31,Bewertung_Stammdaten!Q$31,IF(AJ18&lt;Bewertung_Stammdaten!R$32,Bewertung_Stammdaten!Q$32,Bewertung_Stammdaten!Q$33)))))))))</f>
        <v>3</v>
      </c>
      <c r="AO18" s="33">
        <f ca="1">IF(AL18&lt;Bewertung_Stammdaten!T$24,Bewertung_Stammdaten!S$24,IF(AL18&lt;Bewertung_Stammdaten!T$25,Bewertung_Stammdaten!S$25,IF(AL18&lt;Bewertung_Stammdaten!T$26,Bewertung_Stammdaten!S$26,IF(AL18&lt;Bewertung_Stammdaten!T$27,Bewertung_Stammdaten!S$27,IF(AL18&lt;Bewertung_Stammdaten!T$28,Bewertung_Stammdaten!S$28,IF(AL18&lt;Bewertung_Stammdaten!T$29,Bewertung_Stammdaten!S$29,IF(AL18&lt;Bewertung_Stammdaten!T$30,Bewertung_Stammdaten!S$30,IF(AL18&lt;Bewertung_Stammdaten!T$31,Bewertung_Stammdaten!S$31,IF(AL18&lt;Bewertung_Stammdaten!T$32,Bewertung_Stammdaten!S$32,Bewertung_Stammdaten!S$33)))))))))</f>
        <v>1</v>
      </c>
      <c r="AP18" s="44"/>
      <c r="AQ18" s="12">
        <f ca="1">VLOOKUP(A18,Dividendenrendite!A3:R68,17,FALSE)</f>
        <v>5.331906680093991E-2</v>
      </c>
      <c r="AR18" s="12">
        <f>VLOOKUP(A18,Dividendenrendite!A3:R68,16,FALSE)</f>
        <v>5.4839303739330741E-2</v>
      </c>
      <c r="AS18" s="12">
        <f ca="1">VLOOKUP(A18,Dividendenrendite!A3:R68,18,FALSE)</f>
        <v>-2.7721667394192684E-2</v>
      </c>
      <c r="AT18" s="33">
        <f ca="1">IF(AQ18&lt;Bewertung_Stammdaten!D$11,Bewertung_Stammdaten!C$11,IF(AQ18&lt;Bewertung_Stammdaten!D$12,Bewertung_Stammdaten!C$12,IF(AQ18&lt;Bewertung_Stammdaten!D$13,Bewertung_Stammdaten!C$13,IF(AQ18&lt;Bewertung_Stammdaten!D$14,Bewertung_Stammdaten!C$14,IF(AQ18&lt;Bewertung_Stammdaten!D$15,Bewertung_Stammdaten!C$15,IF(AQ18&lt;Bewertung_Stammdaten!D$16,Bewertung_Stammdaten!C$16,IF(AQ18&lt;Bewertung_Stammdaten!D$17,Bewertung_Stammdaten!C$17,IF(AQ18&lt;Bewertung_Stammdaten!D$18,Bewertung_Stammdaten!C$18,IF(AQ18&lt;Bewertung_Stammdaten!D$19,Bewertung_Stammdaten!C$19,Bewertung_Stammdaten!C$20)))))))))</f>
        <v>15</v>
      </c>
      <c r="AU18" s="33">
        <f>IF(AR18&lt;Bewertung_Stammdaten!T$11,Bewertung_Stammdaten!S$11,IF(AR18&lt;Bewertung_Stammdaten!T$12,Bewertung_Stammdaten!S$12,IF(AR18&lt;Bewertung_Stammdaten!T$13,Bewertung_Stammdaten!S$13,IF(AR18&lt;Bewertung_Stammdaten!T$14,Bewertung_Stammdaten!S$14,IF(AR18&lt;Bewertung_Stammdaten!T$15,Bewertung_Stammdaten!S$15,IF(AR18&lt;Bewertung_Stammdaten!T$16,Bewertung_Stammdaten!S$16,IF(AR18&lt;Bewertung_Stammdaten!T$17,Bewertung_Stammdaten!S$17,IF(AR18&lt;Bewertung_Stammdaten!T$18,Bewertung_Stammdaten!S$18,IF(AR18&lt;Bewertung_Stammdaten!T$19,Bewertung_Stammdaten!S$19,Bewertung_Stammdaten!S$20)))))))))</f>
        <v>10</v>
      </c>
      <c r="AV18" s="33">
        <f ca="1">IF(AS18&lt;Bewertung_Stammdaten!F$11,Bewertung_Stammdaten!E$11,IF(AS18&lt;Bewertung_Stammdaten!F$12,Bewertung_Stammdaten!E$12,IF(AS18&lt;Bewertung_Stammdaten!F$13,Bewertung_Stammdaten!E$13,IF(AS18&lt;Bewertung_Stammdaten!F$14,Bewertung_Stammdaten!E$14,IF(AS18&lt;Bewertung_Stammdaten!F$15,Bewertung_Stammdaten!E$15,IF(AS18&lt;Bewertung_Stammdaten!F$16,Bewertung_Stammdaten!E$16,IF(AS18&lt;Bewertung_Stammdaten!F$17,Bewertung_Stammdaten!E$17,IF(AS18&lt;Bewertung_Stammdaten!F$18,Bewertung_Stammdaten!E$18,IF(AS18&lt;Bewertung_Stammdaten!F$19,Bewertung_Stammdaten!E$19,Bewertung_Stammdaten!E$20)))))))))</f>
        <v>2.5</v>
      </c>
      <c r="AW18" s="44"/>
      <c r="AX18" s="12">
        <f>VLOOKUP(A18,Aktien_im_Umlauf_splitbereinigt!A3:Z68,26,FALSE)</f>
        <v>2.3291584267194132E-2</v>
      </c>
      <c r="AY18" s="12">
        <f>VLOOKUP(A18,Aktien_im_Umlauf_splitbereinigt!A3:Y68,24,FALSE)</f>
        <v>-5.9681972286488184E-3</v>
      </c>
      <c r="AZ18" s="12">
        <f>VLOOKUP(A18,Aktien_im_Umlauf_splitbereinigt!A3:Y68,25,FALSE)</f>
        <v>-4.9026163806029706</v>
      </c>
      <c r="BA18" s="42">
        <f>IF(AX18&lt;Bewertung_Stammdaten!J$24,Bewertung_Stammdaten!I$24,IF(AX18&lt;Bewertung_Stammdaten!J$25,Bewertung_Stammdaten!I$25,IF(AX18&lt;Bewertung_Stammdaten!J$26,Bewertung_Stammdaten!I$26,IF(AX18&lt;Bewertung_Stammdaten!J$27,Bewertung_Stammdaten!I$27,IF(AX18&lt;Bewertung_Stammdaten!J$28,Bewertung_Stammdaten!I$28,IF(AX18&lt;Bewertung_Stammdaten!J$29,Bewertung_Stammdaten!I$29,IF(AX18&lt;Bewertung_Stammdaten!J$30,Bewertung_Stammdaten!I$30,IF(AX18&lt;Bewertung_Stammdaten!J$31,Bewertung_Stammdaten!I$31,IF(AX18&lt;Bewertung_Stammdaten!J$32,Bewertung_Stammdaten!I$32,Bewertung_Stammdaten!I$33)))))))))</f>
        <v>1</v>
      </c>
      <c r="BB18" s="42">
        <f>IF(AY18&lt;Bewertung_Stammdaten!L$24,Bewertung_Stammdaten!K$24,IF(AY18&lt;Bewertung_Stammdaten!L$25,Bewertung_Stammdaten!K$25,IF(AY18&lt;Bewertung_Stammdaten!L$26,Bewertung_Stammdaten!K$26,IF(AY18&lt;Bewertung_Stammdaten!L$27,Bewertung_Stammdaten!K$27,IF(AY18&lt;Bewertung_Stammdaten!L$28,Bewertung_Stammdaten!K$28,IF(AY18&lt;Bewertung_Stammdaten!L$29,Bewertung_Stammdaten!K$29,IF(AY18&lt;Bewertung_Stammdaten!L$30,Bewertung_Stammdaten!K$30,IF(AY18&lt;Bewertung_Stammdaten!L$31,Bewertung_Stammdaten!K$31,IF(AY18&lt;Bewertung_Stammdaten!L$32,Bewertung_Stammdaten!K$32,Bewertung_Stammdaten!K$33)))))))))</f>
        <v>4</v>
      </c>
      <c r="BC18" s="42">
        <f>IF(AZ18&lt;Bewertung_Stammdaten!N$24,Bewertung_Stammdaten!M$24,IF(AZ18&lt;Bewertung_Stammdaten!N$25,Bewertung_Stammdaten!M$25,IF(AZ18&lt;Bewertung_Stammdaten!N$26,Bewertung_Stammdaten!M$26,IF(AZ18&lt;Bewertung_Stammdaten!N$27,Bewertung_Stammdaten!M$27,IF(AZ18&lt;Bewertung_Stammdaten!N$28,Bewertung_Stammdaten!M$28,IF(AZ18&lt;Bewertung_Stammdaten!N$29,Bewertung_Stammdaten!M$29,IF(AZ18&lt;Bewertung_Stammdaten!N$30,Bewertung_Stammdaten!M$30,IF(AZ18&lt;Bewertung_Stammdaten!N$31,Bewertung_Stammdaten!M$31,IF(AZ18&lt;Bewertung_Stammdaten!N$32,Bewertung_Stammdaten!M$32,Bewertung_Stammdaten!M$33)))))))))</f>
        <v>1</v>
      </c>
      <c r="BD18" s="44"/>
      <c r="BE18" s="12">
        <f ca="1">VLOOKUP(A18,Ausschüttungsquote!A3:X68,23,FALSE)</f>
        <v>0.81799836601307185</v>
      </c>
      <c r="BF18" s="12">
        <f>VLOOKUP(A18,Ausschüttungsquote!A3:X68,19,FALSE)</f>
        <v>0.68732231124578358</v>
      </c>
      <c r="BG18" s="12">
        <f ca="1">VLOOKUP(A18,Ausschüttungsquote!A3:X68,24,FALSE)</f>
        <v>0.19012340008348572</v>
      </c>
      <c r="BH18" s="33">
        <f ca="1">IF(BE18&lt;Bewertung_Stammdaten!H$11,Bewertung_Stammdaten!G$11,IF(BE18&lt;Bewertung_Stammdaten!H$12,Bewertung_Stammdaten!G$12,IF(BE18&lt;Bewertung_Stammdaten!H$13,Bewertung_Stammdaten!G$13,IF(BE18&lt;Bewertung_Stammdaten!H$14,Bewertung_Stammdaten!G$14,IF(BE18&lt;Bewertung_Stammdaten!H$15,Bewertung_Stammdaten!G$15,IF(BE18&lt;Bewertung_Stammdaten!H$16,Bewertung_Stammdaten!G$16,IF(BE18&lt;Bewertung_Stammdaten!H$17,Bewertung_Stammdaten!G$17,IF(BE18&lt;Bewertung_Stammdaten!H$18,Bewertung_Stammdaten!G$18,IF(BE18&lt;Bewertung_Stammdaten!H$19,Bewertung_Stammdaten!G$19,Bewertung_Stammdaten!G$20)))))))))</f>
        <v>1</v>
      </c>
      <c r="BI18" s="42">
        <f>IF(BF18&lt;Bewertung_Stammdaten!B$24,Bewertung_Stammdaten!A$24,IF(BF18&lt;Bewertung_Stammdaten!B$25,Bewertung_Stammdaten!A$25,IF(BF18&lt;Bewertung_Stammdaten!B$26,Bewertung_Stammdaten!A$26,IF(BF18&lt;Bewertung_Stammdaten!B$27,Bewertung_Stammdaten!A$27,IF(BF18&lt;Bewertung_Stammdaten!B$28,Bewertung_Stammdaten!A$28,IF(BF18&lt;Bewertung_Stammdaten!B$29,Bewertung_Stammdaten!A$29,IF(BF18&lt;Bewertung_Stammdaten!B$30,Bewertung_Stammdaten!A$30,IF(BF18&lt;Bewertung_Stammdaten!B$31,Bewertung_Stammdaten!A$31,IF(BF18&lt;Bewertung_Stammdaten!B$32,Bewertung_Stammdaten!A$32,Bewertung_Stammdaten!A$33)))))))))</f>
        <v>4</v>
      </c>
      <c r="BJ18" s="33">
        <f ca="1">IF(BG18&lt;Bewertung_Stammdaten!J$11,Bewertung_Stammdaten!I$11,IF(BG18&lt;Bewertung_Stammdaten!J$12,Bewertung_Stammdaten!I$12,IF(BG18&lt;Bewertung_Stammdaten!J$13,Bewertung_Stammdaten!I$13,IF(BG18&lt;Bewertung_Stammdaten!J$14,Bewertung_Stammdaten!I$14,IF(BG18&lt;Bewertung_Stammdaten!J$15,Bewertung_Stammdaten!I$15,IF(BG18&lt;Bewertung_Stammdaten!J$16,Bewertung_Stammdaten!I$16,IF(BG18&lt;Bewertung_Stammdaten!J$17,Bewertung_Stammdaten!I$17,IF(BG18&lt;Bewertung_Stammdaten!J$18,Bewertung_Stammdaten!I$18,IF(BG18&lt;Bewertung_Stammdaten!J$19,Bewertung_Stammdaten!I$19,Bewertung_Stammdaten!I$20)))))))))</f>
        <v>2</v>
      </c>
    </row>
    <row r="19" spans="1:62" x14ac:dyDescent="0.25">
      <c r="A19" s="39" t="s">
        <v>32</v>
      </c>
      <c r="B19" s="39" t="s">
        <v>33</v>
      </c>
      <c r="C19" s="33">
        <f t="shared" ca="1" si="8"/>
        <v>103.5</v>
      </c>
      <c r="D19" s="44"/>
      <c r="E19" s="11">
        <f ca="1">VLOOKUP(A19,KGV!A3:R68,17,FALSE)</f>
        <v>12.570941400994901</v>
      </c>
      <c r="F19" s="11">
        <f>VLOOKUP(A19,KGV!A3:R68,16,FALSE)</f>
        <v>9.8337004405286343</v>
      </c>
      <c r="G19" s="12">
        <f ca="1">VLOOKUP(A19,KGV!A3:R68,18,FALSE)</f>
        <v>0.27835309576698064</v>
      </c>
      <c r="H19" s="16">
        <f t="shared" ca="1" si="0"/>
        <v>28.514574397378681</v>
      </c>
      <c r="I19" s="12">
        <f t="shared" ca="1" si="1"/>
        <v>1.8996789733251025</v>
      </c>
      <c r="J19" s="33">
        <f ca="1">IF(G19&lt;Bewertung_Stammdaten!B$11,Bewertung_Stammdaten!A$11,IF(G19&lt;Bewertung_Stammdaten!B$12,Bewertung_Stammdaten!A$12,IF(G19&lt;Bewertung_Stammdaten!B$13,Bewertung_Stammdaten!A$13,IF(G19&lt;Bewertung_Stammdaten!B$14,Bewertung_Stammdaten!A$14,IF(G19&lt;Bewertung_Stammdaten!B$15,Bewertung_Stammdaten!A$15,IF(G19&lt;Bewertung_Stammdaten!B$16,Bewertung_Stammdaten!A$16,IF(G19&lt;Bewertung_Stammdaten!B$17,Bewertung_Stammdaten!A$17,IF(G19&lt;Bewertung_Stammdaten!B$18,Bewertung_Stammdaten!A$18,IF(G19&lt;Bewertung_Stammdaten!B$19,Bewertung_Stammdaten!A$19,Bewertung_Stammdaten!A$20)))))))))</f>
        <v>3</v>
      </c>
      <c r="K19" s="33">
        <f ca="1">IF(I19&lt;Bewertung_Stammdaten!N$11,Bewertung_Stammdaten!M$11,IF(I19&lt;Bewertung_Stammdaten!N$12,Bewertung_Stammdaten!M$12,IF(I19&lt;Bewertung_Stammdaten!N$13,Bewertung_Stammdaten!M$13,IF(I19&lt;Bewertung_Stammdaten!N$14,Bewertung_Stammdaten!M$14,IF(I19&lt;Bewertung_Stammdaten!N$15,Bewertung_Stammdaten!M$15,IF(I19&lt;Bewertung_Stammdaten!N$16,Bewertung_Stammdaten!M$16,IF(I19&lt;Bewertung_Stammdaten!N$17,Bewertung_Stammdaten!M$17,IF(I19&lt;Bewertung_Stammdaten!N$18,Bewertung_Stammdaten!M$18,IF(I19&lt;Bewertung_Stammdaten!N$19,Bewertung_Stammdaten!M$19,Bewertung_Stammdaten!M$20)))))))))</f>
        <v>1.5</v>
      </c>
      <c r="L19" s="44"/>
      <c r="M19" s="11">
        <f ca="1">VLOOKUP(A19,Buchwert_je_Aktie!A3:AK68,23,FALSE)</f>
        <v>40.215000000000003</v>
      </c>
      <c r="N19" s="11">
        <f>VLOOKUP(A19,Buchwert_je_Aktie!A3:AK68,19,FALSE)</f>
        <v>28.527692307692309</v>
      </c>
      <c r="O19" s="12">
        <f ca="1">VLOOKUP(A19,Buchwert_je_Aktie!A3:AK68,24,FALSE)</f>
        <v>0.4096828992072481</v>
      </c>
      <c r="P19" s="12">
        <f>VLOOKUP(A19,Buchwert_je_Aktie!A3:AK68,37,FALSE)</f>
        <v>-8.760545100583994E-3</v>
      </c>
      <c r="Q19" s="16">
        <f t="shared" ca="1" si="2"/>
        <v>39.862694678780016</v>
      </c>
      <c r="R19" s="12">
        <f t="shared" ca="1" si="3"/>
        <v>0.39733330859122096</v>
      </c>
      <c r="S19" s="53">
        <f ca="1">IF(O19&lt;Bewertung_Stammdaten!D$24,Bewertung_Stammdaten!C$24,IF(O19&lt;Bewertung_Stammdaten!D$25,Bewertung_Stammdaten!C$25,IF(O19&lt;Bewertung_Stammdaten!D$26,Bewertung_Stammdaten!C$26,IF(O19&lt;Bewertung_Stammdaten!D$27,Bewertung_Stammdaten!C$27,IF(O19&lt;Bewertung_Stammdaten!D$28,Bewertung_Stammdaten!C$28,IF(O19&lt;Bewertung_Stammdaten!D$29,Bewertung_Stammdaten!C$29,IF(O19&lt;Bewertung_Stammdaten!D$30,Bewertung_Stammdaten!C$30,IF(O19&lt;Bewertung_Stammdaten!D$31,Bewertung_Stammdaten!C$31,IF(O19&lt;Bewertung_Stammdaten!D$32,Bewertung_Stammdaten!C$32,Bewertung_Stammdaten!C$33)))))))))</f>
        <v>10.5</v>
      </c>
      <c r="T19" s="53">
        <f>IF(P19&lt;Bewertung_Stammdaten!F$24,Bewertung_Stammdaten!E$24,IF(P19&lt;Bewertung_Stammdaten!F$25,Bewertung_Stammdaten!E$25,IF(P19&lt;Bewertung_Stammdaten!F$26,Bewertung_Stammdaten!E$26,IF(P19&lt;Bewertung_Stammdaten!F$27,Bewertung_Stammdaten!E$27,IF(P19&lt;Bewertung_Stammdaten!F$28,Bewertung_Stammdaten!E$28,IF(P19&lt;Bewertung_Stammdaten!F$29,Bewertung_Stammdaten!E$29,IF(P19&lt;Bewertung_Stammdaten!F$30,Bewertung_Stammdaten!E$30,IF(P19&lt;Bewertung_Stammdaten!F$31,Bewertung_Stammdaten!E$31,IF(P19&lt;Bewertung_Stammdaten!F$32,Bewertung_Stammdaten!E$32,Bewertung_Stammdaten!E$33)))))))))</f>
        <v>10.5</v>
      </c>
      <c r="U19" s="53">
        <f ca="1">IF(R19&lt;Bewertung_Stammdaten!H$24,Bewertung_Stammdaten!G$24,IF(R19&lt;Bewertung_Stammdaten!H$25,Bewertung_Stammdaten!G$25,IF(R19&lt;Bewertung_Stammdaten!H$26,Bewertung_Stammdaten!G$26,IF(R19&lt;Bewertung_Stammdaten!H$27,Bewertung_Stammdaten!G$27,IF(R19&lt;Bewertung_Stammdaten!H$28,Bewertung_Stammdaten!G$28,IF(R19&lt;Bewertung_Stammdaten!H$29,Bewertung_Stammdaten!G$29,IF(R19&lt;Bewertung_Stammdaten!H$30,Bewertung_Stammdaten!G$30,IF(R19&lt;Bewertung_Stammdaten!H$31,Bewertung_Stammdaten!G$31,IF(R19&lt;Bewertung_Stammdaten!H$32,Bewertung_Stammdaten!G$32,Bewertung_Stammdaten!G$33)))))))))</f>
        <v>6</v>
      </c>
      <c r="V19" s="44"/>
      <c r="W19" s="14">
        <f ca="1">VLOOKUP(A19,Ergebnis_je_Aktie_verwässert!A3:AK68,23,FALSE)</f>
        <v>3.5514444444444444</v>
      </c>
      <c r="X19" s="14">
        <f>VLOOKUP(A19,Ergebnis_je_Aktie_verwässert!A3:AK68,19,FALSE)</f>
        <v>4.4746153846153849</v>
      </c>
      <c r="Y19" s="12">
        <f ca="1">VLOOKUP(A19,Ergebnis_je_Aktie_verwässert!A3:AK68,24,FALSE)</f>
        <v>-0.20631291425515252</v>
      </c>
      <c r="Z19" s="41">
        <f>VLOOKUP(A19,Ergebnis_je_Aktie_verwässert!A3:AK68,37,FALSE)</f>
        <v>-0.55913978494623662</v>
      </c>
      <c r="AA19" s="16">
        <f t="shared" ca="1" si="4"/>
        <v>1.5656905615292709</v>
      </c>
      <c r="AB19" s="12">
        <f t="shared" ca="1" si="5"/>
        <v>-0.65009494069313178</v>
      </c>
      <c r="AC19" s="33">
        <f ca="1">IF(Y19&lt;Bewertung_Stammdaten!L$11,Bewertung_Stammdaten!K$11,IF(Y19&lt;Bewertung_Stammdaten!L$12,Bewertung_Stammdaten!K$12,IF(Y19&lt;Bewertung_Stammdaten!L$13,Bewertung_Stammdaten!K$13,IF(Y19&lt;Bewertung_Stammdaten!L$14,Bewertung_Stammdaten!K$14,IF(Y19&lt;Bewertung_Stammdaten!L$15,Bewertung_Stammdaten!K$15,IF(Y19&lt;Bewertung_Stammdaten!L$16,Bewertung_Stammdaten!K$16,IF(Y19&lt;Bewertung_Stammdaten!L$17,Bewertung_Stammdaten!K$17,IF(Y19&lt;Bewertung_Stammdaten!L$18,Bewertung_Stammdaten!K$18,IF(Y19&lt;Bewertung_Stammdaten!L$19,Bewertung_Stammdaten!K$19,Bewertung_Stammdaten!K$20)))))))))</f>
        <v>2</v>
      </c>
      <c r="AD19" s="33">
        <f>IF(Z19&lt;Bewertung_Stammdaten!R$11,Bewertung_Stammdaten!Q$11,IF(Z19&lt;Bewertung_Stammdaten!R$12,Bewertung_Stammdaten!Q$12,IF(Z19&lt;Bewertung_Stammdaten!R$13,Bewertung_Stammdaten!Q$13,IF(Z19&lt;Bewertung_Stammdaten!R$14,Bewertung_Stammdaten!Q$14,IF(Z19&lt;Bewertung_Stammdaten!R$15,Bewertung_Stammdaten!Q$15,IF(Z19&lt;Bewertung_Stammdaten!R$16,Bewertung_Stammdaten!Q$16,IF(Z19&lt;Bewertung_Stammdaten!R$17,Bewertung_Stammdaten!Q$17,IF(Z19&lt;Bewertung_Stammdaten!R$18,Bewertung_Stammdaten!Q$18,IF(Z19&lt;Bewertung_Stammdaten!R$19,Bewertung_Stammdaten!Q$19,Bewertung_Stammdaten!Q$20)))))))))</f>
        <v>2</v>
      </c>
      <c r="AE19" s="33">
        <f ca="1">IF(AB19&lt;Bewertung_Stammdaten!P$11,Bewertung_Stammdaten!O$11,IF(AB19&lt;Bewertung_Stammdaten!P$12,Bewertung_Stammdaten!O$12,IF(AB19&lt;Bewertung_Stammdaten!P$13,Bewertung_Stammdaten!O$13,IF(AB19&lt;Bewertung_Stammdaten!P$14,Bewertung_Stammdaten!O$14,IF(AB19&lt;Bewertung_Stammdaten!P$15,Bewertung_Stammdaten!O$15,IF(AB19&lt;Bewertung_Stammdaten!P$16,Bewertung_Stammdaten!O$16,IF(AB19&lt;Bewertung_Stammdaten!P$17,Bewertung_Stammdaten!O$17,IF(AB19&lt;Bewertung_Stammdaten!P$18,Bewertung_Stammdaten!O$18,IF(AB19&lt;Bewertung_Stammdaten!P$19,Bewertung_Stammdaten!O$19,Bewertung_Stammdaten!O$20)))))))))</f>
        <v>1</v>
      </c>
      <c r="AF19" s="44"/>
      <c r="AG19" s="14">
        <f ca="1">VLOOKUP(A19,Dividende_je_Aktie!A3:AM68,24,FALSE)</f>
        <v>2.6840555555555561</v>
      </c>
      <c r="AH19" s="14">
        <f>VLOOKUP(A19,Dividende_je_Aktie!A3:AM68,20,FALSE)</f>
        <v>2.2164285714285721</v>
      </c>
      <c r="AI19" s="12">
        <f ca="1">VLOOKUP(A19,Dividende_je_Aktie!A3:AM68,25,FALSE)</f>
        <v>0.21098220360224862</v>
      </c>
      <c r="AJ19" s="41">
        <f>VLOOKUP(A19,Dividende_je_Aktie!A3:AM68,39,FALSE)</f>
        <v>-9.6638655462184864E-2</v>
      </c>
      <c r="AK19" s="16">
        <f t="shared" ca="1" si="6"/>
        <v>2.4246720354808593</v>
      </c>
      <c r="AL19" s="12">
        <f t="shared" ca="1" si="7"/>
        <v>9.3954511657493356E-2</v>
      </c>
      <c r="AM19" s="33">
        <f ca="1">IF(AI19&lt;Bewertung_Stammdaten!P$24,Bewertung_Stammdaten!O$24,IF(AI19&lt;Bewertung_Stammdaten!P$25,Bewertung_Stammdaten!O$25,IF(AI19&lt;Bewertung_Stammdaten!P$26,Bewertung_Stammdaten!O$26,IF(AI19&lt;Bewertung_Stammdaten!P$27,Bewertung_Stammdaten!O$27,IF(AI19&lt;Bewertung_Stammdaten!P$28,Bewertung_Stammdaten!O$28,IF(AI19&lt;Bewertung_Stammdaten!P$29,Bewertung_Stammdaten!O$29,IF(AI19&lt;Bewertung_Stammdaten!P$30,Bewertung_Stammdaten!O$30,IF(AI19&lt;Bewertung_Stammdaten!P$31,Bewertung_Stammdaten!O$31,IF(AI19&lt;Bewertung_Stammdaten!P$32,Bewertung_Stammdaten!O$32,Bewertung_Stammdaten!O$33)))))))))</f>
        <v>10</v>
      </c>
      <c r="AN19" s="33">
        <f>IF(AJ19&lt;Bewertung_Stammdaten!R$24,Bewertung_Stammdaten!Q$24,IF(AJ19&lt;Bewertung_Stammdaten!R$25,Bewertung_Stammdaten!Q$25,IF(AJ19&lt;Bewertung_Stammdaten!R$26,Bewertung_Stammdaten!Q$26,IF(AJ19&lt;Bewertung_Stammdaten!R$27,Bewertung_Stammdaten!Q$27,IF(AJ19&lt;Bewertung_Stammdaten!R$28,Bewertung_Stammdaten!Q$28,IF(AJ19&lt;Bewertung_Stammdaten!R$29,Bewertung_Stammdaten!Q$29,IF(AJ19&lt;Bewertung_Stammdaten!R$30,Bewertung_Stammdaten!Q$30,IF(AJ19&lt;Bewertung_Stammdaten!R$31,Bewertung_Stammdaten!Q$31,IF(AJ19&lt;Bewertung_Stammdaten!R$32,Bewertung_Stammdaten!Q$32,Bewertung_Stammdaten!Q$33)))))))))</f>
        <v>7</v>
      </c>
      <c r="AO19" s="33">
        <f ca="1">IF(AL19&lt;Bewertung_Stammdaten!T$24,Bewertung_Stammdaten!S$24,IF(AL19&lt;Bewertung_Stammdaten!T$25,Bewertung_Stammdaten!S$25,IF(AL19&lt;Bewertung_Stammdaten!T$26,Bewertung_Stammdaten!S$26,IF(AL19&lt;Bewertung_Stammdaten!T$27,Bewertung_Stammdaten!S$27,IF(AL19&lt;Bewertung_Stammdaten!T$28,Bewertung_Stammdaten!S$28,IF(AL19&lt;Bewertung_Stammdaten!T$29,Bewertung_Stammdaten!S$29,IF(AL19&lt;Bewertung_Stammdaten!T$30,Bewertung_Stammdaten!S$30,IF(AL19&lt;Bewertung_Stammdaten!T$31,Bewertung_Stammdaten!S$31,IF(AL19&lt;Bewertung_Stammdaten!T$32,Bewertung_Stammdaten!S$32,Bewertung_Stammdaten!S$33)))))))))</f>
        <v>5</v>
      </c>
      <c r="AP19" s="44"/>
      <c r="AQ19" s="12">
        <f ca="1">VLOOKUP(A19,Dividendenrendite!A3:R68,17,FALSE)</f>
        <v>6.0119958686427506E-2</v>
      </c>
      <c r="AR19" s="12">
        <f>VLOOKUP(A19,Dividendenrendite!A3:R68,16,FALSE)</f>
        <v>4.952055766048534E-2</v>
      </c>
      <c r="AS19" s="12">
        <f ca="1">VLOOKUP(A19,Dividendenrendite!A3:R68,18,FALSE)</f>
        <v>0.21404042132586687</v>
      </c>
      <c r="AT19" s="33">
        <f ca="1">IF(AQ19&lt;Bewertung_Stammdaten!D$11,Bewertung_Stammdaten!C$11,IF(AQ19&lt;Bewertung_Stammdaten!D$12,Bewertung_Stammdaten!C$12,IF(AQ19&lt;Bewertung_Stammdaten!D$13,Bewertung_Stammdaten!C$13,IF(AQ19&lt;Bewertung_Stammdaten!D$14,Bewertung_Stammdaten!C$14,IF(AQ19&lt;Bewertung_Stammdaten!D$15,Bewertung_Stammdaten!C$15,IF(AQ19&lt;Bewertung_Stammdaten!D$16,Bewertung_Stammdaten!C$16,IF(AQ19&lt;Bewertung_Stammdaten!D$17,Bewertung_Stammdaten!C$17,IF(AQ19&lt;Bewertung_Stammdaten!D$18,Bewertung_Stammdaten!C$18,IF(AQ19&lt;Bewertung_Stammdaten!D$19,Bewertung_Stammdaten!C$19,Bewertung_Stammdaten!C$20)))))))))</f>
        <v>15</v>
      </c>
      <c r="AU19" s="33">
        <f>IF(AR19&lt;Bewertung_Stammdaten!T$11,Bewertung_Stammdaten!S$11,IF(AR19&lt;Bewertung_Stammdaten!T$12,Bewertung_Stammdaten!S$12,IF(AR19&lt;Bewertung_Stammdaten!T$13,Bewertung_Stammdaten!S$13,IF(AR19&lt;Bewertung_Stammdaten!T$14,Bewertung_Stammdaten!S$14,IF(AR19&lt;Bewertung_Stammdaten!T$15,Bewertung_Stammdaten!S$15,IF(AR19&lt;Bewertung_Stammdaten!T$16,Bewertung_Stammdaten!S$16,IF(AR19&lt;Bewertung_Stammdaten!T$17,Bewertung_Stammdaten!S$17,IF(AR19&lt;Bewertung_Stammdaten!T$18,Bewertung_Stammdaten!S$18,IF(AR19&lt;Bewertung_Stammdaten!T$19,Bewertung_Stammdaten!S$19,Bewertung_Stammdaten!S$20)))))))))</f>
        <v>10</v>
      </c>
      <c r="AV19" s="33">
        <f ca="1">IF(AS19&lt;Bewertung_Stammdaten!F$11,Bewertung_Stammdaten!E$11,IF(AS19&lt;Bewertung_Stammdaten!F$12,Bewertung_Stammdaten!E$12,IF(AS19&lt;Bewertung_Stammdaten!F$13,Bewertung_Stammdaten!E$13,IF(AS19&lt;Bewertung_Stammdaten!F$14,Bewertung_Stammdaten!E$14,IF(AS19&lt;Bewertung_Stammdaten!F$15,Bewertung_Stammdaten!E$15,IF(AS19&lt;Bewertung_Stammdaten!F$16,Bewertung_Stammdaten!E$16,IF(AS19&lt;Bewertung_Stammdaten!F$17,Bewertung_Stammdaten!E$17,IF(AS19&lt;Bewertung_Stammdaten!F$18,Bewertung_Stammdaten!E$18,IF(AS19&lt;Bewertung_Stammdaten!F$19,Bewertung_Stammdaten!E$19,Bewertung_Stammdaten!E$20)))))))))</f>
        <v>5</v>
      </c>
      <c r="AW19" s="44"/>
      <c r="AX19" s="12">
        <f>VLOOKUP(A19,Aktien_im_Umlauf_splitbereinigt!A3:Z68,26,FALSE)</f>
        <v>0</v>
      </c>
      <c r="AY19" s="12">
        <f>VLOOKUP(A19,Aktien_im_Umlauf_splitbereinigt!A3:Y68,24,FALSE)</f>
        <v>-3.7327556325215611E-3</v>
      </c>
      <c r="AZ19" s="12">
        <f>VLOOKUP(A19,Aktien_im_Umlauf_splitbereinigt!A3:Y68,25,FALSE)</f>
        <v>-1</v>
      </c>
      <c r="BA19" s="42">
        <f>IF(AX19&lt;Bewertung_Stammdaten!J$24,Bewertung_Stammdaten!I$24,IF(AX19&lt;Bewertung_Stammdaten!J$25,Bewertung_Stammdaten!I$25,IF(AX19&lt;Bewertung_Stammdaten!J$26,Bewertung_Stammdaten!I$26,IF(AX19&lt;Bewertung_Stammdaten!J$27,Bewertung_Stammdaten!I$27,IF(AX19&lt;Bewertung_Stammdaten!J$28,Bewertung_Stammdaten!I$28,IF(AX19&lt;Bewertung_Stammdaten!J$29,Bewertung_Stammdaten!I$29,IF(AX19&lt;Bewertung_Stammdaten!J$30,Bewertung_Stammdaten!I$30,IF(AX19&lt;Bewertung_Stammdaten!J$31,Bewertung_Stammdaten!I$31,IF(AX19&lt;Bewertung_Stammdaten!J$32,Bewertung_Stammdaten!I$32,Bewertung_Stammdaten!I$33)))))))))</f>
        <v>2</v>
      </c>
      <c r="BB19" s="42">
        <f>IF(AY19&lt;Bewertung_Stammdaten!L$24,Bewertung_Stammdaten!K$24,IF(AY19&lt;Bewertung_Stammdaten!L$25,Bewertung_Stammdaten!K$25,IF(AY19&lt;Bewertung_Stammdaten!L$26,Bewertung_Stammdaten!K$26,IF(AY19&lt;Bewertung_Stammdaten!L$27,Bewertung_Stammdaten!K$27,IF(AY19&lt;Bewertung_Stammdaten!L$28,Bewertung_Stammdaten!K$28,IF(AY19&lt;Bewertung_Stammdaten!L$29,Bewertung_Stammdaten!K$29,IF(AY19&lt;Bewertung_Stammdaten!L$30,Bewertung_Stammdaten!K$30,IF(AY19&lt;Bewertung_Stammdaten!L$31,Bewertung_Stammdaten!K$31,IF(AY19&lt;Bewertung_Stammdaten!L$32,Bewertung_Stammdaten!K$32,Bewertung_Stammdaten!K$33)))))))))</f>
        <v>3</v>
      </c>
      <c r="BC19" s="42">
        <f>IF(AZ19&lt;Bewertung_Stammdaten!N$24,Bewertung_Stammdaten!M$24,IF(AZ19&lt;Bewertung_Stammdaten!N$25,Bewertung_Stammdaten!M$25,IF(AZ19&lt;Bewertung_Stammdaten!N$26,Bewertung_Stammdaten!M$26,IF(AZ19&lt;Bewertung_Stammdaten!N$27,Bewertung_Stammdaten!M$27,IF(AZ19&lt;Bewertung_Stammdaten!N$28,Bewertung_Stammdaten!M$28,IF(AZ19&lt;Bewertung_Stammdaten!N$29,Bewertung_Stammdaten!M$29,IF(AZ19&lt;Bewertung_Stammdaten!N$30,Bewertung_Stammdaten!M$30,IF(AZ19&lt;Bewertung_Stammdaten!N$31,Bewertung_Stammdaten!M$31,IF(AZ19&lt;Bewertung_Stammdaten!N$32,Bewertung_Stammdaten!M$32,Bewertung_Stammdaten!M$33)))))))))</f>
        <v>1</v>
      </c>
      <c r="BD19" s="44"/>
      <c r="BE19" s="12">
        <f ca="1">VLOOKUP(A19,Ausschüttungsquote!A3:X68,23,FALSE)</f>
        <v>0.76803579109746534</v>
      </c>
      <c r="BF19" s="12">
        <f>VLOOKUP(A19,Ausschüttungsquote!A3:X68,19,FALSE)</f>
        <v>0.56752413117691747</v>
      </c>
      <c r="BG19" s="12">
        <f ca="1">VLOOKUP(A19,Ausschüttungsquote!A3:X68,24,FALSE)</f>
        <v>0.35330948748334579</v>
      </c>
      <c r="BH19" s="33">
        <f ca="1">IF(BE19&lt;Bewertung_Stammdaten!H$11,Bewertung_Stammdaten!G$11,IF(BE19&lt;Bewertung_Stammdaten!H$12,Bewertung_Stammdaten!G$12,IF(BE19&lt;Bewertung_Stammdaten!H$13,Bewertung_Stammdaten!G$13,IF(BE19&lt;Bewertung_Stammdaten!H$14,Bewertung_Stammdaten!G$14,IF(BE19&lt;Bewertung_Stammdaten!H$15,Bewertung_Stammdaten!G$15,IF(BE19&lt;Bewertung_Stammdaten!H$16,Bewertung_Stammdaten!G$16,IF(BE19&lt;Bewertung_Stammdaten!H$17,Bewertung_Stammdaten!G$17,IF(BE19&lt;Bewertung_Stammdaten!H$18,Bewertung_Stammdaten!G$18,IF(BE19&lt;Bewertung_Stammdaten!H$19,Bewertung_Stammdaten!G$19,Bewertung_Stammdaten!G$20)))))))))</f>
        <v>2</v>
      </c>
      <c r="BI19" s="42">
        <f>IF(BF19&lt;Bewertung_Stammdaten!B$24,Bewertung_Stammdaten!A$24,IF(BF19&lt;Bewertung_Stammdaten!B$25,Bewertung_Stammdaten!A$25,IF(BF19&lt;Bewertung_Stammdaten!B$26,Bewertung_Stammdaten!A$26,IF(BF19&lt;Bewertung_Stammdaten!B$27,Bewertung_Stammdaten!A$27,IF(BF19&lt;Bewertung_Stammdaten!B$28,Bewertung_Stammdaten!A$28,IF(BF19&lt;Bewertung_Stammdaten!B$29,Bewertung_Stammdaten!A$29,IF(BF19&lt;Bewertung_Stammdaten!B$30,Bewertung_Stammdaten!A$30,IF(BF19&lt;Bewertung_Stammdaten!B$31,Bewertung_Stammdaten!A$31,IF(BF19&lt;Bewertung_Stammdaten!B$32,Bewertung_Stammdaten!A$32,Bewertung_Stammdaten!A$33)))))))))</f>
        <v>6</v>
      </c>
      <c r="BJ19" s="33">
        <f ca="1">IF(BG19&lt;Bewertung_Stammdaten!J$11,Bewertung_Stammdaten!I$11,IF(BG19&lt;Bewertung_Stammdaten!J$12,Bewertung_Stammdaten!I$12,IF(BG19&lt;Bewertung_Stammdaten!J$13,Bewertung_Stammdaten!I$13,IF(BG19&lt;Bewertung_Stammdaten!J$14,Bewertung_Stammdaten!I$14,IF(BG19&lt;Bewertung_Stammdaten!J$15,Bewertung_Stammdaten!I$15,IF(BG19&lt;Bewertung_Stammdaten!J$16,Bewertung_Stammdaten!I$16,IF(BG19&lt;Bewertung_Stammdaten!J$17,Bewertung_Stammdaten!I$17,IF(BG19&lt;Bewertung_Stammdaten!J$18,Bewertung_Stammdaten!I$18,IF(BG19&lt;Bewertung_Stammdaten!J$19,Bewertung_Stammdaten!I$19,Bewertung_Stammdaten!I$20)))))))))</f>
        <v>1</v>
      </c>
    </row>
    <row r="20" spans="1:62" x14ac:dyDescent="0.25">
      <c r="A20" s="39" t="s">
        <v>34</v>
      </c>
      <c r="B20" s="39" t="s">
        <v>35</v>
      </c>
      <c r="C20" s="33">
        <f t="shared" ca="1" si="8"/>
        <v>97</v>
      </c>
      <c r="D20" s="44"/>
      <c r="E20" s="11">
        <f ca="1">VLOOKUP(A20,KGV!A3:R68,17,FALSE)</f>
        <v>21.617936734772698</v>
      </c>
      <c r="F20" s="11">
        <f>VLOOKUP(A20,KGV!A3:R68,16,FALSE)</f>
        <v>18.675675675675674</v>
      </c>
      <c r="G20" s="12">
        <f ca="1">VLOOKUP(A20,KGV!A3:R68,18,FALSE)</f>
        <v>0.15754509288942109</v>
      </c>
      <c r="H20" s="16">
        <f t="shared" ca="1" si="0"/>
        <v>32.722232106732442</v>
      </c>
      <c r="I20" s="12">
        <f t="shared" ca="1" si="1"/>
        <v>0.75213109688726543</v>
      </c>
      <c r="J20" s="33">
        <f ca="1">IF(G20&lt;Bewertung_Stammdaten!B$11,Bewertung_Stammdaten!A$11,IF(G20&lt;Bewertung_Stammdaten!B$12,Bewertung_Stammdaten!A$12,IF(G20&lt;Bewertung_Stammdaten!B$13,Bewertung_Stammdaten!A$13,IF(G20&lt;Bewertung_Stammdaten!B$14,Bewertung_Stammdaten!A$14,IF(G20&lt;Bewertung_Stammdaten!B$15,Bewertung_Stammdaten!A$15,IF(G20&lt;Bewertung_Stammdaten!B$16,Bewertung_Stammdaten!A$16,IF(G20&lt;Bewertung_Stammdaten!B$17,Bewertung_Stammdaten!A$17,IF(G20&lt;Bewertung_Stammdaten!B$18,Bewertung_Stammdaten!A$18,IF(G20&lt;Bewertung_Stammdaten!B$19,Bewertung_Stammdaten!A$19,Bewertung_Stammdaten!A$20)))))))))</f>
        <v>9</v>
      </c>
      <c r="K20" s="33">
        <f ca="1">IF(I20&lt;Bewertung_Stammdaten!N$11,Bewertung_Stammdaten!M$11,IF(I20&lt;Bewertung_Stammdaten!N$12,Bewertung_Stammdaten!M$12,IF(I20&lt;Bewertung_Stammdaten!N$13,Bewertung_Stammdaten!M$13,IF(I20&lt;Bewertung_Stammdaten!N$14,Bewertung_Stammdaten!M$14,IF(I20&lt;Bewertung_Stammdaten!N$15,Bewertung_Stammdaten!M$15,IF(I20&lt;Bewertung_Stammdaten!N$16,Bewertung_Stammdaten!M$16,IF(I20&lt;Bewertung_Stammdaten!N$17,Bewertung_Stammdaten!M$17,IF(I20&lt;Bewertung_Stammdaten!N$18,Bewertung_Stammdaten!M$18,IF(I20&lt;Bewertung_Stammdaten!N$19,Bewertung_Stammdaten!M$19,Bewertung_Stammdaten!M$20)))))))))</f>
        <v>1.5</v>
      </c>
      <c r="L20" s="44"/>
      <c r="M20" s="11">
        <f ca="1">VLOOKUP(A20,Buchwert_je_Aktie!A3:AK68,23,FALSE)</f>
        <v>21.205555555555559</v>
      </c>
      <c r="N20" s="11">
        <f>VLOOKUP(A20,Buchwert_je_Aktie!A3:AK68,19,FALSE)</f>
        <v>18.970000000000002</v>
      </c>
      <c r="O20" s="12">
        <f ca="1">VLOOKUP(A20,Buchwert_je_Aktie!A3:AK68,24,FALSE)</f>
        <v>0.11784689275464189</v>
      </c>
      <c r="P20" s="12">
        <f>VLOOKUP(A20,Buchwert_je_Aktie!A3:AK68,37,FALSE)</f>
        <v>-0.1504424778761061</v>
      </c>
      <c r="Q20" s="16">
        <f t="shared" ca="1" si="2"/>
        <v>18.015339233038354</v>
      </c>
      <c r="R20" s="12">
        <f t="shared" ca="1" si="3"/>
        <v>-5.0324763677472184E-2</v>
      </c>
      <c r="S20" s="53">
        <f ca="1">IF(O20&lt;Bewertung_Stammdaten!D$24,Bewertung_Stammdaten!C$24,IF(O20&lt;Bewertung_Stammdaten!D$25,Bewertung_Stammdaten!C$25,IF(O20&lt;Bewertung_Stammdaten!D$26,Bewertung_Stammdaten!C$26,IF(O20&lt;Bewertung_Stammdaten!D$27,Bewertung_Stammdaten!C$27,IF(O20&lt;Bewertung_Stammdaten!D$28,Bewertung_Stammdaten!C$28,IF(O20&lt;Bewertung_Stammdaten!D$29,Bewertung_Stammdaten!C$29,IF(O20&lt;Bewertung_Stammdaten!D$30,Bewertung_Stammdaten!C$30,IF(O20&lt;Bewertung_Stammdaten!D$31,Bewertung_Stammdaten!C$31,IF(O20&lt;Bewertung_Stammdaten!D$32,Bewertung_Stammdaten!C$32,Bewertung_Stammdaten!C$33)))))))))</f>
        <v>6</v>
      </c>
      <c r="T20" s="53">
        <f>IF(P20&lt;Bewertung_Stammdaten!F$24,Bewertung_Stammdaten!E$24,IF(P20&lt;Bewertung_Stammdaten!F$25,Bewertung_Stammdaten!E$25,IF(P20&lt;Bewertung_Stammdaten!F$26,Bewertung_Stammdaten!E$26,IF(P20&lt;Bewertung_Stammdaten!F$27,Bewertung_Stammdaten!E$27,IF(P20&lt;Bewertung_Stammdaten!F$28,Bewertung_Stammdaten!E$28,IF(P20&lt;Bewertung_Stammdaten!F$29,Bewertung_Stammdaten!E$29,IF(P20&lt;Bewertung_Stammdaten!F$30,Bewertung_Stammdaten!E$30,IF(P20&lt;Bewertung_Stammdaten!F$31,Bewertung_Stammdaten!E$31,IF(P20&lt;Bewertung_Stammdaten!F$32,Bewertung_Stammdaten!E$32,Bewertung_Stammdaten!E$33)))))))))</f>
        <v>6</v>
      </c>
      <c r="U20" s="53">
        <f ca="1">IF(R20&lt;Bewertung_Stammdaten!H$24,Bewertung_Stammdaten!G$24,IF(R20&lt;Bewertung_Stammdaten!H$25,Bewertung_Stammdaten!G$25,IF(R20&lt;Bewertung_Stammdaten!H$26,Bewertung_Stammdaten!G$26,IF(R20&lt;Bewertung_Stammdaten!H$27,Bewertung_Stammdaten!G$27,IF(R20&lt;Bewertung_Stammdaten!H$28,Bewertung_Stammdaten!G$28,IF(R20&lt;Bewertung_Stammdaten!H$29,Bewertung_Stammdaten!G$29,IF(R20&lt;Bewertung_Stammdaten!H$30,Bewertung_Stammdaten!G$30,IF(R20&lt;Bewertung_Stammdaten!H$31,Bewertung_Stammdaten!G$31,IF(R20&lt;Bewertung_Stammdaten!H$32,Bewertung_Stammdaten!G$32,Bewertung_Stammdaten!G$33)))))))))</f>
        <v>2</v>
      </c>
      <c r="V20" s="44"/>
      <c r="W20" s="14">
        <f ca="1">VLOOKUP(A20,Ergebnis_je_Aktie_verwässert!A3:AK68,23,FALSE)</f>
        <v>2.8767777777777779</v>
      </c>
      <c r="X20" s="14">
        <f>VLOOKUP(A20,Ergebnis_je_Aktie_verwässert!A3:AK68,19,FALSE)</f>
        <v>2.76</v>
      </c>
      <c r="Y20" s="12">
        <f ca="1">VLOOKUP(A20,Ergebnis_je_Aktie_verwässert!A3:AK68,24,FALSE)</f>
        <v>4.2310789049919695E-2</v>
      </c>
      <c r="Z20" s="41">
        <f>VLOOKUP(A20,Ergebnis_je_Aktie_verwässert!A3:AK68,37,FALSE)</f>
        <v>-0.3393501805054151</v>
      </c>
      <c r="AA20" s="16">
        <f t="shared" ca="1" si="4"/>
        <v>1.900542719614922</v>
      </c>
      <c r="AB20" s="12">
        <f t="shared" ca="1" si="5"/>
        <v>-0.31139756535691221</v>
      </c>
      <c r="AC20" s="33">
        <f ca="1">IF(Y20&lt;Bewertung_Stammdaten!L$11,Bewertung_Stammdaten!K$11,IF(Y20&lt;Bewertung_Stammdaten!L$12,Bewertung_Stammdaten!K$12,IF(Y20&lt;Bewertung_Stammdaten!L$13,Bewertung_Stammdaten!K$13,IF(Y20&lt;Bewertung_Stammdaten!L$14,Bewertung_Stammdaten!K$14,IF(Y20&lt;Bewertung_Stammdaten!L$15,Bewertung_Stammdaten!K$15,IF(Y20&lt;Bewertung_Stammdaten!L$16,Bewertung_Stammdaten!K$16,IF(Y20&lt;Bewertung_Stammdaten!L$17,Bewertung_Stammdaten!K$17,IF(Y20&lt;Bewertung_Stammdaten!L$18,Bewertung_Stammdaten!K$18,IF(Y20&lt;Bewertung_Stammdaten!L$19,Bewertung_Stammdaten!K$19,Bewertung_Stammdaten!K$20)))))))))</f>
        <v>6</v>
      </c>
      <c r="AD20" s="33">
        <f>IF(Z20&lt;Bewertung_Stammdaten!R$11,Bewertung_Stammdaten!Q$11,IF(Z20&lt;Bewertung_Stammdaten!R$12,Bewertung_Stammdaten!Q$12,IF(Z20&lt;Bewertung_Stammdaten!R$13,Bewertung_Stammdaten!Q$13,IF(Z20&lt;Bewertung_Stammdaten!R$14,Bewertung_Stammdaten!Q$14,IF(Z20&lt;Bewertung_Stammdaten!R$15,Bewertung_Stammdaten!Q$15,IF(Z20&lt;Bewertung_Stammdaten!R$16,Bewertung_Stammdaten!Q$16,IF(Z20&lt;Bewertung_Stammdaten!R$17,Bewertung_Stammdaten!Q$17,IF(Z20&lt;Bewertung_Stammdaten!R$18,Bewertung_Stammdaten!Q$18,IF(Z20&lt;Bewertung_Stammdaten!R$19,Bewertung_Stammdaten!Q$19,Bewertung_Stammdaten!Q$20)))))))))</f>
        <v>4</v>
      </c>
      <c r="AE20" s="33">
        <f ca="1">IF(AB20&lt;Bewertung_Stammdaten!P$11,Bewertung_Stammdaten!O$11,IF(AB20&lt;Bewertung_Stammdaten!P$12,Bewertung_Stammdaten!O$12,IF(AB20&lt;Bewertung_Stammdaten!P$13,Bewertung_Stammdaten!O$13,IF(AB20&lt;Bewertung_Stammdaten!P$14,Bewertung_Stammdaten!O$14,IF(AB20&lt;Bewertung_Stammdaten!P$15,Bewertung_Stammdaten!O$15,IF(AB20&lt;Bewertung_Stammdaten!P$16,Bewertung_Stammdaten!O$16,IF(AB20&lt;Bewertung_Stammdaten!P$17,Bewertung_Stammdaten!O$17,IF(AB20&lt;Bewertung_Stammdaten!P$18,Bewertung_Stammdaten!O$18,IF(AB20&lt;Bewertung_Stammdaten!P$19,Bewertung_Stammdaten!O$19,Bewertung_Stammdaten!O$20)))))))))</f>
        <v>1</v>
      </c>
      <c r="AF20" s="44"/>
      <c r="AG20" s="14">
        <f ca="1">VLOOKUP(A20,Dividende_je_Aktie!A3:AM68,24,FALSE)</f>
        <v>1.6163611111111109</v>
      </c>
      <c r="AH20" s="14">
        <f>VLOOKUP(A20,Dividende_je_Aktie!A3:AM68,20,FALSE)</f>
        <v>1.3064285714285713</v>
      </c>
      <c r="AI20" s="12">
        <f ca="1">VLOOKUP(A20,Dividende_je_Aktie!A3:AM68,25,FALSE)</f>
        <v>0.23723649839013428</v>
      </c>
      <c r="AJ20" s="41">
        <f>VLOOKUP(A20,Dividende_je_Aktie!A3:AM68,39,FALSE)</f>
        <v>0</v>
      </c>
      <c r="AK20" s="16">
        <f t="shared" ca="1" si="6"/>
        <v>1.6163611111111109</v>
      </c>
      <c r="AL20" s="12">
        <f t="shared" ca="1" si="7"/>
        <v>0.23723649839013428</v>
      </c>
      <c r="AM20" s="33">
        <f ca="1">IF(AI20&lt;Bewertung_Stammdaten!P$24,Bewertung_Stammdaten!O$24,IF(AI20&lt;Bewertung_Stammdaten!P$25,Bewertung_Stammdaten!O$25,IF(AI20&lt;Bewertung_Stammdaten!P$26,Bewertung_Stammdaten!O$26,IF(AI20&lt;Bewertung_Stammdaten!P$27,Bewertung_Stammdaten!O$27,IF(AI20&lt;Bewertung_Stammdaten!P$28,Bewertung_Stammdaten!O$28,IF(AI20&lt;Bewertung_Stammdaten!P$29,Bewertung_Stammdaten!O$29,IF(AI20&lt;Bewertung_Stammdaten!P$30,Bewertung_Stammdaten!O$30,IF(AI20&lt;Bewertung_Stammdaten!P$31,Bewertung_Stammdaten!O$31,IF(AI20&lt;Bewertung_Stammdaten!P$32,Bewertung_Stammdaten!O$32,Bewertung_Stammdaten!O$33)))))))))</f>
        <v>10</v>
      </c>
      <c r="AN20" s="33">
        <f>IF(AJ20&lt;Bewertung_Stammdaten!R$24,Bewertung_Stammdaten!Q$24,IF(AJ20&lt;Bewertung_Stammdaten!R$25,Bewertung_Stammdaten!Q$25,IF(AJ20&lt;Bewertung_Stammdaten!R$26,Bewertung_Stammdaten!Q$26,IF(AJ20&lt;Bewertung_Stammdaten!R$27,Bewertung_Stammdaten!Q$27,IF(AJ20&lt;Bewertung_Stammdaten!R$28,Bewertung_Stammdaten!Q$28,IF(AJ20&lt;Bewertung_Stammdaten!R$29,Bewertung_Stammdaten!Q$29,IF(AJ20&lt;Bewertung_Stammdaten!R$30,Bewertung_Stammdaten!Q$30,IF(AJ20&lt;Bewertung_Stammdaten!R$31,Bewertung_Stammdaten!Q$31,IF(AJ20&lt;Bewertung_Stammdaten!R$32,Bewertung_Stammdaten!Q$32,Bewertung_Stammdaten!Q$33)))))))))</f>
        <v>8</v>
      </c>
      <c r="AO20" s="33">
        <f ca="1">IF(AL20&lt;Bewertung_Stammdaten!T$24,Bewertung_Stammdaten!S$24,IF(AL20&lt;Bewertung_Stammdaten!T$25,Bewertung_Stammdaten!S$25,IF(AL20&lt;Bewertung_Stammdaten!T$26,Bewertung_Stammdaten!S$26,IF(AL20&lt;Bewertung_Stammdaten!T$27,Bewertung_Stammdaten!S$27,IF(AL20&lt;Bewertung_Stammdaten!T$28,Bewertung_Stammdaten!S$28,IF(AL20&lt;Bewertung_Stammdaten!T$29,Bewertung_Stammdaten!S$29,IF(AL20&lt;Bewertung_Stammdaten!T$30,Bewertung_Stammdaten!S$30,IF(AL20&lt;Bewertung_Stammdaten!T$31,Bewertung_Stammdaten!S$31,IF(AL20&lt;Bewertung_Stammdaten!T$32,Bewertung_Stammdaten!S$32,Bewertung_Stammdaten!S$33)))))))))</f>
        <v>6</v>
      </c>
      <c r="AP20" s="44"/>
      <c r="AQ20" s="12">
        <f ca="1">VLOOKUP(A20,Dividendenrendite!A3:R68,17,FALSE)</f>
        <v>2.5990691608154221E-2</v>
      </c>
      <c r="AR20" s="12">
        <f>VLOOKUP(A20,Dividendenrendite!A3:R68,16,FALSE)</f>
        <v>2.4940864935933962E-2</v>
      </c>
      <c r="AS20" s="12">
        <f ca="1">VLOOKUP(A20,Dividendenrendite!A3:R68,18,FALSE)</f>
        <v>4.2092632910565309E-2</v>
      </c>
      <c r="AT20" s="33">
        <f ca="1">IF(AQ20&lt;Bewertung_Stammdaten!D$11,Bewertung_Stammdaten!C$11,IF(AQ20&lt;Bewertung_Stammdaten!D$12,Bewertung_Stammdaten!C$12,IF(AQ20&lt;Bewertung_Stammdaten!D$13,Bewertung_Stammdaten!C$13,IF(AQ20&lt;Bewertung_Stammdaten!D$14,Bewertung_Stammdaten!C$14,IF(AQ20&lt;Bewertung_Stammdaten!D$15,Bewertung_Stammdaten!C$15,IF(AQ20&lt;Bewertung_Stammdaten!D$16,Bewertung_Stammdaten!C$16,IF(AQ20&lt;Bewertung_Stammdaten!D$17,Bewertung_Stammdaten!C$17,IF(AQ20&lt;Bewertung_Stammdaten!D$18,Bewertung_Stammdaten!C$18,IF(AQ20&lt;Bewertung_Stammdaten!D$19,Bewertung_Stammdaten!C$19,Bewertung_Stammdaten!C$20)))))))))</f>
        <v>9</v>
      </c>
      <c r="AU20" s="33">
        <f>IF(AR20&lt;Bewertung_Stammdaten!T$11,Bewertung_Stammdaten!S$11,IF(AR20&lt;Bewertung_Stammdaten!T$12,Bewertung_Stammdaten!S$12,IF(AR20&lt;Bewertung_Stammdaten!T$13,Bewertung_Stammdaten!S$13,IF(AR20&lt;Bewertung_Stammdaten!T$14,Bewertung_Stammdaten!S$14,IF(AR20&lt;Bewertung_Stammdaten!T$15,Bewertung_Stammdaten!S$15,IF(AR20&lt;Bewertung_Stammdaten!T$16,Bewertung_Stammdaten!S$16,IF(AR20&lt;Bewertung_Stammdaten!T$17,Bewertung_Stammdaten!S$17,IF(AR20&lt;Bewertung_Stammdaten!T$18,Bewertung_Stammdaten!S$18,IF(AR20&lt;Bewertung_Stammdaten!T$19,Bewertung_Stammdaten!S$19,Bewertung_Stammdaten!S$20)))))))))</f>
        <v>5</v>
      </c>
      <c r="AV20" s="33">
        <f ca="1">IF(AS20&lt;Bewertung_Stammdaten!F$11,Bewertung_Stammdaten!E$11,IF(AS20&lt;Bewertung_Stammdaten!F$12,Bewertung_Stammdaten!E$12,IF(AS20&lt;Bewertung_Stammdaten!F$13,Bewertung_Stammdaten!E$13,IF(AS20&lt;Bewertung_Stammdaten!F$14,Bewertung_Stammdaten!E$14,IF(AS20&lt;Bewertung_Stammdaten!F$15,Bewertung_Stammdaten!E$15,IF(AS20&lt;Bewertung_Stammdaten!F$16,Bewertung_Stammdaten!E$16,IF(AS20&lt;Bewertung_Stammdaten!F$17,Bewertung_Stammdaten!E$17,IF(AS20&lt;Bewertung_Stammdaten!F$18,Bewertung_Stammdaten!E$18,IF(AS20&lt;Bewertung_Stammdaten!F$19,Bewertung_Stammdaten!E$19,Bewertung_Stammdaten!E$20)))))))))</f>
        <v>3</v>
      </c>
      <c r="AW20" s="44"/>
      <c r="AX20" s="12">
        <f>VLOOKUP(A20,Aktien_im_Umlauf_splitbereinigt!A3:Z68,26,FALSE)</f>
        <v>0</v>
      </c>
      <c r="AY20" s="12">
        <f>VLOOKUP(A20,Aktien_im_Umlauf_splitbereinigt!A3:Y68,24,FALSE)</f>
        <v>2.2964871015793104E-2</v>
      </c>
      <c r="AZ20" s="12">
        <f>VLOOKUP(A20,Aktien_im_Umlauf_splitbereinigt!A3:Y68,25,FALSE)</f>
        <v>-99.999989999999997</v>
      </c>
      <c r="BA20" s="42">
        <f>IF(AX20&lt;Bewertung_Stammdaten!J$24,Bewertung_Stammdaten!I$24,IF(AX20&lt;Bewertung_Stammdaten!J$25,Bewertung_Stammdaten!I$25,IF(AX20&lt;Bewertung_Stammdaten!J$26,Bewertung_Stammdaten!I$26,IF(AX20&lt;Bewertung_Stammdaten!J$27,Bewertung_Stammdaten!I$27,IF(AX20&lt;Bewertung_Stammdaten!J$28,Bewertung_Stammdaten!I$28,IF(AX20&lt;Bewertung_Stammdaten!J$29,Bewertung_Stammdaten!I$29,IF(AX20&lt;Bewertung_Stammdaten!J$30,Bewertung_Stammdaten!I$30,IF(AX20&lt;Bewertung_Stammdaten!J$31,Bewertung_Stammdaten!I$31,IF(AX20&lt;Bewertung_Stammdaten!J$32,Bewertung_Stammdaten!I$32,Bewertung_Stammdaten!I$33)))))))))</f>
        <v>2</v>
      </c>
      <c r="BB20" s="42">
        <f>IF(AY20&lt;Bewertung_Stammdaten!L$24,Bewertung_Stammdaten!K$24,IF(AY20&lt;Bewertung_Stammdaten!L$25,Bewertung_Stammdaten!K$25,IF(AY20&lt;Bewertung_Stammdaten!L$26,Bewertung_Stammdaten!K$26,IF(AY20&lt;Bewertung_Stammdaten!L$27,Bewertung_Stammdaten!K$27,IF(AY20&lt;Bewertung_Stammdaten!L$28,Bewertung_Stammdaten!K$28,IF(AY20&lt;Bewertung_Stammdaten!L$29,Bewertung_Stammdaten!K$29,IF(AY20&lt;Bewertung_Stammdaten!L$30,Bewertung_Stammdaten!K$30,IF(AY20&lt;Bewertung_Stammdaten!L$31,Bewertung_Stammdaten!K$31,IF(AY20&lt;Bewertung_Stammdaten!L$32,Bewertung_Stammdaten!K$32,Bewertung_Stammdaten!K$33)))))))))</f>
        <v>1</v>
      </c>
      <c r="BC20" s="42">
        <f>IF(AZ20&lt;Bewertung_Stammdaten!N$24,Bewertung_Stammdaten!M$24,IF(AZ20&lt;Bewertung_Stammdaten!N$25,Bewertung_Stammdaten!M$25,IF(AZ20&lt;Bewertung_Stammdaten!N$26,Bewertung_Stammdaten!M$26,IF(AZ20&lt;Bewertung_Stammdaten!N$27,Bewertung_Stammdaten!M$27,IF(AZ20&lt;Bewertung_Stammdaten!N$28,Bewertung_Stammdaten!M$28,IF(AZ20&lt;Bewertung_Stammdaten!N$29,Bewertung_Stammdaten!M$29,IF(AZ20&lt;Bewertung_Stammdaten!N$30,Bewertung_Stammdaten!M$30,IF(AZ20&lt;Bewertung_Stammdaten!N$31,Bewertung_Stammdaten!M$31,IF(AZ20&lt;Bewertung_Stammdaten!N$32,Bewertung_Stammdaten!M$32,Bewertung_Stammdaten!M$33)))))))))</f>
        <v>0.5</v>
      </c>
      <c r="BD20" s="44"/>
      <c r="BE20" s="12">
        <f ca="1">VLOOKUP(A20,Ausschüttungsquote!A3:X68,23,FALSE)</f>
        <v>0.56200659650728291</v>
      </c>
      <c r="BF20" s="12">
        <f>VLOOKUP(A20,Ausschüttungsquote!A3:X68,19,FALSE)</f>
        <v>0.4942286875968947</v>
      </c>
      <c r="BG20" s="12">
        <f ca="1">VLOOKUP(A20,Ausschüttungsquote!A3:X68,24,FALSE)</f>
        <v>0.13713875906303019</v>
      </c>
      <c r="BH20" s="33">
        <f ca="1">IF(BE20&lt;Bewertung_Stammdaten!H$11,Bewertung_Stammdaten!G$11,IF(BE20&lt;Bewertung_Stammdaten!H$12,Bewertung_Stammdaten!G$12,IF(BE20&lt;Bewertung_Stammdaten!H$13,Bewertung_Stammdaten!G$13,IF(BE20&lt;Bewertung_Stammdaten!H$14,Bewertung_Stammdaten!G$14,IF(BE20&lt;Bewertung_Stammdaten!H$15,Bewertung_Stammdaten!G$15,IF(BE20&lt;Bewertung_Stammdaten!H$16,Bewertung_Stammdaten!G$16,IF(BE20&lt;Bewertung_Stammdaten!H$17,Bewertung_Stammdaten!G$17,IF(BE20&lt;Bewertung_Stammdaten!H$18,Bewertung_Stammdaten!G$18,IF(BE20&lt;Bewertung_Stammdaten!H$19,Bewertung_Stammdaten!G$19,Bewertung_Stammdaten!G$20)))))))))</f>
        <v>6</v>
      </c>
      <c r="BI20" s="42">
        <f>IF(BF20&lt;Bewertung_Stammdaten!B$24,Bewertung_Stammdaten!A$24,IF(BF20&lt;Bewertung_Stammdaten!B$25,Bewertung_Stammdaten!A$25,IF(BF20&lt;Bewertung_Stammdaten!B$26,Bewertung_Stammdaten!A$26,IF(BF20&lt;Bewertung_Stammdaten!B$27,Bewertung_Stammdaten!A$27,IF(BF20&lt;Bewertung_Stammdaten!B$28,Bewertung_Stammdaten!A$28,IF(BF20&lt;Bewertung_Stammdaten!B$29,Bewertung_Stammdaten!A$29,IF(BF20&lt;Bewertung_Stammdaten!B$30,Bewertung_Stammdaten!A$30,IF(BF20&lt;Bewertung_Stammdaten!B$31,Bewertung_Stammdaten!A$31,IF(BF20&lt;Bewertung_Stammdaten!B$32,Bewertung_Stammdaten!A$32,Bewertung_Stammdaten!A$33)))))))))</f>
        <v>8</v>
      </c>
      <c r="BJ20" s="33">
        <f ca="1">IF(BG20&lt;Bewertung_Stammdaten!J$11,Bewertung_Stammdaten!I$11,IF(BG20&lt;Bewertung_Stammdaten!J$12,Bewertung_Stammdaten!I$12,IF(BG20&lt;Bewertung_Stammdaten!J$13,Bewertung_Stammdaten!I$13,IF(BG20&lt;Bewertung_Stammdaten!J$14,Bewertung_Stammdaten!I$14,IF(BG20&lt;Bewertung_Stammdaten!J$15,Bewertung_Stammdaten!I$15,IF(BG20&lt;Bewertung_Stammdaten!J$16,Bewertung_Stammdaten!I$16,IF(BG20&lt;Bewertung_Stammdaten!J$17,Bewertung_Stammdaten!I$17,IF(BG20&lt;Bewertung_Stammdaten!J$18,Bewertung_Stammdaten!I$18,IF(BG20&lt;Bewertung_Stammdaten!J$19,Bewertung_Stammdaten!I$19,Bewertung_Stammdaten!I$20)))))))))</f>
        <v>3</v>
      </c>
    </row>
    <row r="21" spans="1:62" x14ac:dyDescent="0.25">
      <c r="A21" s="39" t="s">
        <v>36</v>
      </c>
      <c r="B21" s="39" t="s">
        <v>37</v>
      </c>
      <c r="C21" s="33">
        <f t="shared" ca="1" si="8"/>
        <v>115.5</v>
      </c>
      <c r="D21" s="44"/>
      <c r="E21" s="11">
        <f ca="1">VLOOKUP(A21,KGV!A3:R68,17,FALSE)</f>
        <v>13.180262340030026</v>
      </c>
      <c r="F21" s="11">
        <f>VLOOKUP(A21,KGV!A3:R68,16,FALSE)</f>
        <v>10.151549090909091</v>
      </c>
      <c r="G21" s="12">
        <f ca="1">VLOOKUP(A21,KGV!A3:R68,18,FALSE)</f>
        <v>0.29834985990790375</v>
      </c>
      <c r="H21" s="16">
        <f t="shared" ca="1" si="0"/>
        <v>34.519734700078637</v>
      </c>
      <c r="I21" s="12">
        <f t="shared" ca="1" si="1"/>
        <v>2.4004401092826049</v>
      </c>
      <c r="J21" s="33">
        <f ca="1">IF(G21&lt;Bewertung_Stammdaten!B$11,Bewertung_Stammdaten!A$11,IF(G21&lt;Bewertung_Stammdaten!B$12,Bewertung_Stammdaten!A$12,IF(G21&lt;Bewertung_Stammdaten!B$13,Bewertung_Stammdaten!A$13,IF(G21&lt;Bewertung_Stammdaten!B$14,Bewertung_Stammdaten!A$14,IF(G21&lt;Bewertung_Stammdaten!B$15,Bewertung_Stammdaten!A$15,IF(G21&lt;Bewertung_Stammdaten!B$16,Bewertung_Stammdaten!A$16,IF(G21&lt;Bewertung_Stammdaten!B$17,Bewertung_Stammdaten!A$17,IF(G21&lt;Bewertung_Stammdaten!B$18,Bewertung_Stammdaten!A$18,IF(G21&lt;Bewertung_Stammdaten!B$19,Bewertung_Stammdaten!A$19,Bewertung_Stammdaten!A$20)))))))))</f>
        <v>3</v>
      </c>
      <c r="K21" s="33">
        <f ca="1">IF(I21&lt;Bewertung_Stammdaten!N$11,Bewertung_Stammdaten!M$11,IF(I21&lt;Bewertung_Stammdaten!N$12,Bewertung_Stammdaten!M$12,IF(I21&lt;Bewertung_Stammdaten!N$13,Bewertung_Stammdaten!M$13,IF(I21&lt;Bewertung_Stammdaten!N$14,Bewertung_Stammdaten!M$14,IF(I21&lt;Bewertung_Stammdaten!N$15,Bewertung_Stammdaten!M$15,IF(I21&lt;Bewertung_Stammdaten!N$16,Bewertung_Stammdaten!M$16,IF(I21&lt;Bewertung_Stammdaten!N$17,Bewertung_Stammdaten!M$17,IF(I21&lt;Bewertung_Stammdaten!N$18,Bewertung_Stammdaten!M$18,IF(I21&lt;Bewertung_Stammdaten!N$19,Bewertung_Stammdaten!M$19,Bewertung_Stammdaten!M$20)))))))))</f>
        <v>1.5</v>
      </c>
      <c r="L21" s="44"/>
      <c r="M21" s="11">
        <f ca="1">VLOOKUP(A21,Buchwert_je_Aktie!A3:AK68,23,FALSE)</f>
        <v>15.570555555555558</v>
      </c>
      <c r="N21" s="11">
        <f>VLOOKUP(A21,Buchwert_je_Aktie!A3:AK68,19,FALSE)</f>
        <v>10.236153846153845</v>
      </c>
      <c r="O21" s="12">
        <f ca="1">VLOOKUP(A21,Buchwert_je_Aktie!A3:AK68,24,FALSE)</f>
        <v>0.52113340514182216</v>
      </c>
      <c r="P21" s="12">
        <f>VLOOKUP(A21,Buchwert_je_Aktie!A3:AK68,37,FALSE)</f>
        <v>6.4516129032257119E-3</v>
      </c>
      <c r="Q21" s="16">
        <f t="shared" ca="1" si="2"/>
        <v>15.570555555555558</v>
      </c>
      <c r="R21" s="12">
        <f t="shared" ca="1" si="3"/>
        <v>0.52113340514182216</v>
      </c>
      <c r="S21" s="53">
        <f ca="1">IF(O21&lt;Bewertung_Stammdaten!D$24,Bewertung_Stammdaten!C$24,IF(O21&lt;Bewertung_Stammdaten!D$25,Bewertung_Stammdaten!C$25,IF(O21&lt;Bewertung_Stammdaten!D$26,Bewertung_Stammdaten!C$26,IF(O21&lt;Bewertung_Stammdaten!D$27,Bewertung_Stammdaten!C$27,IF(O21&lt;Bewertung_Stammdaten!D$28,Bewertung_Stammdaten!C$28,IF(O21&lt;Bewertung_Stammdaten!D$29,Bewertung_Stammdaten!C$29,IF(O21&lt;Bewertung_Stammdaten!D$30,Bewertung_Stammdaten!C$30,IF(O21&lt;Bewertung_Stammdaten!D$31,Bewertung_Stammdaten!C$31,IF(O21&lt;Bewertung_Stammdaten!D$32,Bewertung_Stammdaten!C$32,Bewertung_Stammdaten!C$33)))))))))</f>
        <v>12</v>
      </c>
      <c r="T21" s="53">
        <f>IF(P21&lt;Bewertung_Stammdaten!F$24,Bewertung_Stammdaten!E$24,IF(P21&lt;Bewertung_Stammdaten!F$25,Bewertung_Stammdaten!E$25,IF(P21&lt;Bewertung_Stammdaten!F$26,Bewertung_Stammdaten!E$26,IF(P21&lt;Bewertung_Stammdaten!F$27,Bewertung_Stammdaten!E$27,IF(P21&lt;Bewertung_Stammdaten!F$28,Bewertung_Stammdaten!E$28,IF(P21&lt;Bewertung_Stammdaten!F$29,Bewertung_Stammdaten!E$29,IF(P21&lt;Bewertung_Stammdaten!F$30,Bewertung_Stammdaten!E$30,IF(P21&lt;Bewertung_Stammdaten!F$31,Bewertung_Stammdaten!E$31,IF(P21&lt;Bewertung_Stammdaten!F$32,Bewertung_Stammdaten!E$32,Bewertung_Stammdaten!E$33)))))))))</f>
        <v>12</v>
      </c>
      <c r="U21" s="53">
        <f ca="1">IF(R21&lt;Bewertung_Stammdaten!H$24,Bewertung_Stammdaten!G$24,IF(R21&lt;Bewertung_Stammdaten!H$25,Bewertung_Stammdaten!G$25,IF(R21&lt;Bewertung_Stammdaten!H$26,Bewertung_Stammdaten!G$26,IF(R21&lt;Bewertung_Stammdaten!H$27,Bewertung_Stammdaten!G$27,IF(R21&lt;Bewertung_Stammdaten!H$28,Bewertung_Stammdaten!G$28,IF(R21&lt;Bewertung_Stammdaten!H$29,Bewertung_Stammdaten!G$29,IF(R21&lt;Bewertung_Stammdaten!H$30,Bewertung_Stammdaten!G$30,IF(R21&lt;Bewertung_Stammdaten!H$31,Bewertung_Stammdaten!G$31,IF(R21&lt;Bewertung_Stammdaten!H$32,Bewertung_Stammdaten!G$32,Bewertung_Stammdaten!G$33)))))))))</f>
        <v>8</v>
      </c>
      <c r="V21" s="44"/>
      <c r="W21" s="14">
        <f ca="1">VLOOKUP(A21,Ergebnis_je_Aktie_verwässert!A3:AK68,23,FALSE)</f>
        <v>1.5541111111111112</v>
      </c>
      <c r="X21" s="14">
        <f>VLOOKUP(A21,Ergebnis_je_Aktie_verwässert!A3:AK68,19,FALSE)</f>
        <v>2.1492307692307691</v>
      </c>
      <c r="Y21" s="12">
        <f ca="1">VLOOKUP(A21,Ergebnis_je_Aktie_verwässert!A3:AK68,24,FALSE)</f>
        <v>-0.27689891036347714</v>
      </c>
      <c r="Z21" s="41">
        <f>VLOOKUP(A21,Ergebnis_je_Aktie_verwässert!A3:AK68,37,FALSE)</f>
        <v>-0.61818181818181817</v>
      </c>
      <c r="AA21" s="16">
        <f t="shared" ca="1" si="4"/>
        <v>0.59338787878787891</v>
      </c>
      <c r="AB21" s="12">
        <f t="shared" ca="1" si="5"/>
        <v>-0.72390685668423671</v>
      </c>
      <c r="AC21" s="33">
        <f ca="1">IF(Y21&lt;Bewertung_Stammdaten!L$11,Bewertung_Stammdaten!K$11,IF(Y21&lt;Bewertung_Stammdaten!L$12,Bewertung_Stammdaten!K$12,IF(Y21&lt;Bewertung_Stammdaten!L$13,Bewertung_Stammdaten!K$13,IF(Y21&lt;Bewertung_Stammdaten!L$14,Bewertung_Stammdaten!K$14,IF(Y21&lt;Bewertung_Stammdaten!L$15,Bewertung_Stammdaten!K$15,IF(Y21&lt;Bewertung_Stammdaten!L$16,Bewertung_Stammdaten!K$16,IF(Y21&lt;Bewertung_Stammdaten!L$17,Bewertung_Stammdaten!K$17,IF(Y21&lt;Bewertung_Stammdaten!L$18,Bewertung_Stammdaten!K$18,IF(Y21&lt;Bewertung_Stammdaten!L$19,Bewertung_Stammdaten!K$19,Bewertung_Stammdaten!K$20)))))))))</f>
        <v>2</v>
      </c>
      <c r="AD21" s="33">
        <f>IF(Z21&lt;Bewertung_Stammdaten!R$11,Bewertung_Stammdaten!Q$11,IF(Z21&lt;Bewertung_Stammdaten!R$12,Bewertung_Stammdaten!Q$12,IF(Z21&lt;Bewertung_Stammdaten!R$13,Bewertung_Stammdaten!Q$13,IF(Z21&lt;Bewertung_Stammdaten!R$14,Bewertung_Stammdaten!Q$14,IF(Z21&lt;Bewertung_Stammdaten!R$15,Bewertung_Stammdaten!Q$15,IF(Z21&lt;Bewertung_Stammdaten!R$16,Bewertung_Stammdaten!Q$16,IF(Z21&lt;Bewertung_Stammdaten!R$17,Bewertung_Stammdaten!Q$17,IF(Z21&lt;Bewertung_Stammdaten!R$18,Bewertung_Stammdaten!Q$18,IF(Z21&lt;Bewertung_Stammdaten!R$19,Bewertung_Stammdaten!Q$19,Bewertung_Stammdaten!Q$20)))))))))</f>
        <v>1</v>
      </c>
      <c r="AE21" s="33">
        <f ca="1">IF(AB21&lt;Bewertung_Stammdaten!P$11,Bewertung_Stammdaten!O$11,IF(AB21&lt;Bewertung_Stammdaten!P$12,Bewertung_Stammdaten!O$12,IF(AB21&lt;Bewertung_Stammdaten!P$13,Bewertung_Stammdaten!O$13,IF(AB21&lt;Bewertung_Stammdaten!P$14,Bewertung_Stammdaten!O$14,IF(AB21&lt;Bewertung_Stammdaten!P$15,Bewertung_Stammdaten!O$15,IF(AB21&lt;Bewertung_Stammdaten!P$16,Bewertung_Stammdaten!O$16,IF(AB21&lt;Bewertung_Stammdaten!P$17,Bewertung_Stammdaten!O$17,IF(AB21&lt;Bewertung_Stammdaten!P$18,Bewertung_Stammdaten!O$18,IF(AB21&lt;Bewertung_Stammdaten!P$19,Bewertung_Stammdaten!O$19,Bewertung_Stammdaten!O$20)))))))))</f>
        <v>1</v>
      </c>
      <c r="AF21" s="44"/>
      <c r="AG21" s="14">
        <f ca="1">VLOOKUP(A21,Dividende_je_Aktie!A3:AM68,24,FALSE)</f>
        <v>1.2811666666666666</v>
      </c>
      <c r="AH21" s="14">
        <f>VLOOKUP(A21,Dividende_je_Aktie!A3:AM68,20,FALSE)</f>
        <v>0.88692307692307704</v>
      </c>
      <c r="AI21" s="12">
        <f ca="1">VLOOKUP(A21,Dividende_je_Aktie!A3:AM68,25,FALSE)</f>
        <v>0.44450708297195685</v>
      </c>
      <c r="AJ21" s="41">
        <f>VLOOKUP(A21,Dividende_je_Aktie!A3:AM68,39,FALSE)</f>
        <v>1.7241379310344751E-2</v>
      </c>
      <c r="AK21" s="16">
        <f t="shared" ca="1" si="6"/>
        <v>1.2811666666666666</v>
      </c>
      <c r="AL21" s="12">
        <f t="shared" ca="1" si="7"/>
        <v>0.44450708297195685</v>
      </c>
      <c r="AM21" s="33">
        <f ca="1">IF(AI21&lt;Bewertung_Stammdaten!P$24,Bewertung_Stammdaten!O$24,IF(AI21&lt;Bewertung_Stammdaten!P$25,Bewertung_Stammdaten!O$25,IF(AI21&lt;Bewertung_Stammdaten!P$26,Bewertung_Stammdaten!O$26,IF(AI21&lt;Bewertung_Stammdaten!P$27,Bewertung_Stammdaten!O$27,IF(AI21&lt;Bewertung_Stammdaten!P$28,Bewertung_Stammdaten!O$28,IF(AI21&lt;Bewertung_Stammdaten!P$29,Bewertung_Stammdaten!O$29,IF(AI21&lt;Bewertung_Stammdaten!P$30,Bewertung_Stammdaten!O$30,IF(AI21&lt;Bewertung_Stammdaten!P$31,Bewertung_Stammdaten!O$31,IF(AI21&lt;Bewertung_Stammdaten!P$32,Bewertung_Stammdaten!O$32,Bewertung_Stammdaten!O$33)))))))))</f>
        <v>14</v>
      </c>
      <c r="AN21" s="33">
        <f>IF(AJ21&lt;Bewertung_Stammdaten!R$24,Bewertung_Stammdaten!Q$24,IF(AJ21&lt;Bewertung_Stammdaten!R$25,Bewertung_Stammdaten!Q$25,IF(AJ21&lt;Bewertung_Stammdaten!R$26,Bewertung_Stammdaten!Q$26,IF(AJ21&lt;Bewertung_Stammdaten!R$27,Bewertung_Stammdaten!Q$27,IF(AJ21&lt;Bewertung_Stammdaten!R$28,Bewertung_Stammdaten!Q$28,IF(AJ21&lt;Bewertung_Stammdaten!R$29,Bewertung_Stammdaten!Q$29,IF(AJ21&lt;Bewertung_Stammdaten!R$30,Bewertung_Stammdaten!Q$30,IF(AJ21&lt;Bewertung_Stammdaten!R$31,Bewertung_Stammdaten!Q$31,IF(AJ21&lt;Bewertung_Stammdaten!R$32,Bewertung_Stammdaten!Q$32,Bewertung_Stammdaten!Q$33)))))))))</f>
        <v>8</v>
      </c>
      <c r="AO21" s="33">
        <f ca="1">IF(AL21&lt;Bewertung_Stammdaten!T$24,Bewertung_Stammdaten!S$24,IF(AL21&lt;Bewertung_Stammdaten!T$25,Bewertung_Stammdaten!S$25,IF(AL21&lt;Bewertung_Stammdaten!T$26,Bewertung_Stammdaten!S$26,IF(AL21&lt;Bewertung_Stammdaten!T$27,Bewertung_Stammdaten!S$27,IF(AL21&lt;Bewertung_Stammdaten!T$28,Bewertung_Stammdaten!S$28,IF(AL21&lt;Bewertung_Stammdaten!T$29,Bewertung_Stammdaten!S$29,IF(AL21&lt;Bewertung_Stammdaten!T$30,Bewertung_Stammdaten!S$30,IF(AL21&lt;Bewertung_Stammdaten!T$31,Bewertung_Stammdaten!S$31,IF(AL21&lt;Bewertung_Stammdaten!T$32,Bewertung_Stammdaten!S$32,Bewertung_Stammdaten!S$33)))))))))</f>
        <v>8</v>
      </c>
      <c r="AP21" s="44"/>
      <c r="AQ21" s="12">
        <f ca="1">VLOOKUP(A21,Dividendenrendite!A3:R68,17,FALSE)</f>
        <v>6.2545995706454569E-2</v>
      </c>
      <c r="AR21" s="12">
        <f>VLOOKUP(A21,Dividendenrendite!A3:R68,16,FALSE)</f>
        <v>3.1118554045802889E-2</v>
      </c>
      <c r="AS21" s="12">
        <f ca="1">VLOOKUP(A21,Dividendenrendite!A3:R68,18,FALSE)</f>
        <v>1.0099261557717027</v>
      </c>
      <c r="AT21" s="33">
        <f ca="1">IF(AQ21&lt;Bewertung_Stammdaten!D$11,Bewertung_Stammdaten!C$11,IF(AQ21&lt;Bewertung_Stammdaten!D$12,Bewertung_Stammdaten!C$12,IF(AQ21&lt;Bewertung_Stammdaten!D$13,Bewertung_Stammdaten!C$13,IF(AQ21&lt;Bewertung_Stammdaten!D$14,Bewertung_Stammdaten!C$14,IF(AQ21&lt;Bewertung_Stammdaten!D$15,Bewertung_Stammdaten!C$15,IF(AQ21&lt;Bewertung_Stammdaten!D$16,Bewertung_Stammdaten!C$16,IF(AQ21&lt;Bewertung_Stammdaten!D$17,Bewertung_Stammdaten!C$17,IF(AQ21&lt;Bewertung_Stammdaten!D$18,Bewertung_Stammdaten!C$18,IF(AQ21&lt;Bewertung_Stammdaten!D$19,Bewertung_Stammdaten!C$19,Bewertung_Stammdaten!C$20)))))))))</f>
        <v>15</v>
      </c>
      <c r="AU21" s="33">
        <f>IF(AR21&lt;Bewertung_Stammdaten!T$11,Bewertung_Stammdaten!S$11,IF(AR21&lt;Bewertung_Stammdaten!T$12,Bewertung_Stammdaten!S$12,IF(AR21&lt;Bewertung_Stammdaten!T$13,Bewertung_Stammdaten!S$13,IF(AR21&lt;Bewertung_Stammdaten!T$14,Bewertung_Stammdaten!S$14,IF(AR21&lt;Bewertung_Stammdaten!T$15,Bewertung_Stammdaten!S$15,IF(AR21&lt;Bewertung_Stammdaten!T$16,Bewertung_Stammdaten!S$16,IF(AR21&lt;Bewertung_Stammdaten!T$17,Bewertung_Stammdaten!S$17,IF(AR21&lt;Bewertung_Stammdaten!T$18,Bewertung_Stammdaten!S$18,IF(AR21&lt;Bewertung_Stammdaten!T$19,Bewertung_Stammdaten!S$19,Bewertung_Stammdaten!S$20)))))))))</f>
        <v>7</v>
      </c>
      <c r="AV21" s="33">
        <f ca="1">IF(AS21&lt;Bewertung_Stammdaten!F$11,Bewertung_Stammdaten!E$11,IF(AS21&lt;Bewertung_Stammdaten!F$12,Bewertung_Stammdaten!E$12,IF(AS21&lt;Bewertung_Stammdaten!F$13,Bewertung_Stammdaten!E$13,IF(AS21&lt;Bewertung_Stammdaten!F$14,Bewertung_Stammdaten!E$14,IF(AS21&lt;Bewertung_Stammdaten!F$15,Bewertung_Stammdaten!E$15,IF(AS21&lt;Bewertung_Stammdaten!F$16,Bewertung_Stammdaten!E$16,IF(AS21&lt;Bewertung_Stammdaten!F$17,Bewertung_Stammdaten!E$17,IF(AS21&lt;Bewertung_Stammdaten!F$18,Bewertung_Stammdaten!E$18,IF(AS21&lt;Bewertung_Stammdaten!F$19,Bewertung_Stammdaten!E$19,Bewertung_Stammdaten!E$20)))))))))</f>
        <v>5</v>
      </c>
      <c r="AW21" s="44"/>
      <c r="AX21" s="12">
        <f>VLOOKUP(A21,Aktien_im_Umlauf_splitbereinigt!A3:Z68,26,FALSE)</f>
        <v>0</v>
      </c>
      <c r="AY21" s="12">
        <f>VLOOKUP(A21,Aktien_im_Umlauf_splitbereinigt!A3:Y68,24,FALSE)</f>
        <v>-1.3571846577144671E-2</v>
      </c>
      <c r="AZ21" s="12">
        <f>VLOOKUP(A21,Aktien_im_Umlauf_splitbereinigt!A3:Y68,25,FALSE)</f>
        <v>-1</v>
      </c>
      <c r="BA21" s="42">
        <f>IF(AX21&lt;Bewertung_Stammdaten!J$24,Bewertung_Stammdaten!I$24,IF(AX21&lt;Bewertung_Stammdaten!J$25,Bewertung_Stammdaten!I$25,IF(AX21&lt;Bewertung_Stammdaten!J$26,Bewertung_Stammdaten!I$26,IF(AX21&lt;Bewertung_Stammdaten!J$27,Bewertung_Stammdaten!I$27,IF(AX21&lt;Bewertung_Stammdaten!J$28,Bewertung_Stammdaten!I$28,IF(AX21&lt;Bewertung_Stammdaten!J$29,Bewertung_Stammdaten!I$29,IF(AX21&lt;Bewertung_Stammdaten!J$30,Bewertung_Stammdaten!I$30,IF(AX21&lt;Bewertung_Stammdaten!J$31,Bewertung_Stammdaten!I$31,IF(AX21&lt;Bewertung_Stammdaten!J$32,Bewertung_Stammdaten!I$32,Bewertung_Stammdaten!I$33)))))))))</f>
        <v>2</v>
      </c>
      <c r="BB21" s="42">
        <f>IF(AY21&lt;Bewertung_Stammdaten!L$24,Bewertung_Stammdaten!K$24,IF(AY21&lt;Bewertung_Stammdaten!L$25,Bewertung_Stammdaten!K$25,IF(AY21&lt;Bewertung_Stammdaten!L$26,Bewertung_Stammdaten!K$26,IF(AY21&lt;Bewertung_Stammdaten!L$27,Bewertung_Stammdaten!K$27,IF(AY21&lt;Bewertung_Stammdaten!L$28,Bewertung_Stammdaten!K$28,IF(AY21&lt;Bewertung_Stammdaten!L$29,Bewertung_Stammdaten!K$29,IF(AY21&lt;Bewertung_Stammdaten!L$30,Bewertung_Stammdaten!K$30,IF(AY21&lt;Bewertung_Stammdaten!L$31,Bewertung_Stammdaten!K$31,IF(AY21&lt;Bewertung_Stammdaten!L$32,Bewertung_Stammdaten!K$32,Bewertung_Stammdaten!K$33)))))))))</f>
        <v>5</v>
      </c>
      <c r="BC21" s="42">
        <f>IF(AZ21&lt;Bewertung_Stammdaten!N$24,Bewertung_Stammdaten!M$24,IF(AZ21&lt;Bewertung_Stammdaten!N$25,Bewertung_Stammdaten!M$25,IF(AZ21&lt;Bewertung_Stammdaten!N$26,Bewertung_Stammdaten!M$26,IF(AZ21&lt;Bewertung_Stammdaten!N$27,Bewertung_Stammdaten!M$27,IF(AZ21&lt;Bewertung_Stammdaten!N$28,Bewertung_Stammdaten!M$28,IF(AZ21&lt;Bewertung_Stammdaten!N$29,Bewertung_Stammdaten!M$29,IF(AZ21&lt;Bewertung_Stammdaten!N$30,Bewertung_Stammdaten!M$30,IF(AZ21&lt;Bewertung_Stammdaten!N$31,Bewertung_Stammdaten!M$31,IF(AZ21&lt;Bewertung_Stammdaten!N$32,Bewertung_Stammdaten!M$32,Bewertung_Stammdaten!M$33)))))))))</f>
        <v>1</v>
      </c>
      <c r="BD21" s="44"/>
      <c r="BE21" s="12">
        <f ca="1">VLOOKUP(A21,Ausschüttungsquote!A3:X68,23,FALSE)</f>
        <v>0.82434926184926183</v>
      </c>
      <c r="BF21" s="12">
        <f>VLOOKUP(A21,Ausschüttungsquote!A3:X68,19,FALSE)</f>
        <v>0.45517879156002716</v>
      </c>
      <c r="BG21" s="12">
        <f ca="1">VLOOKUP(A21,Ausschüttungsquote!A3:X68,24,FALSE)</f>
        <v>0.81104497207346249</v>
      </c>
      <c r="BH21" s="33">
        <f ca="1">IF(BE21&lt;Bewertung_Stammdaten!H$11,Bewertung_Stammdaten!G$11,IF(BE21&lt;Bewertung_Stammdaten!H$12,Bewertung_Stammdaten!G$12,IF(BE21&lt;Bewertung_Stammdaten!H$13,Bewertung_Stammdaten!G$13,IF(BE21&lt;Bewertung_Stammdaten!H$14,Bewertung_Stammdaten!G$14,IF(BE21&lt;Bewertung_Stammdaten!H$15,Bewertung_Stammdaten!G$15,IF(BE21&lt;Bewertung_Stammdaten!H$16,Bewertung_Stammdaten!G$16,IF(BE21&lt;Bewertung_Stammdaten!H$17,Bewertung_Stammdaten!G$17,IF(BE21&lt;Bewertung_Stammdaten!H$18,Bewertung_Stammdaten!G$18,IF(BE21&lt;Bewertung_Stammdaten!H$19,Bewertung_Stammdaten!G$19,Bewertung_Stammdaten!G$20)))))))))</f>
        <v>1</v>
      </c>
      <c r="BI21" s="42">
        <f>IF(BF21&lt;Bewertung_Stammdaten!B$24,Bewertung_Stammdaten!A$24,IF(BF21&lt;Bewertung_Stammdaten!B$25,Bewertung_Stammdaten!A$25,IF(BF21&lt;Bewertung_Stammdaten!B$26,Bewertung_Stammdaten!A$26,IF(BF21&lt;Bewertung_Stammdaten!B$27,Bewertung_Stammdaten!A$27,IF(BF21&lt;Bewertung_Stammdaten!B$28,Bewertung_Stammdaten!A$28,IF(BF21&lt;Bewertung_Stammdaten!B$29,Bewertung_Stammdaten!A$29,IF(BF21&lt;Bewertung_Stammdaten!B$30,Bewertung_Stammdaten!A$30,IF(BF21&lt;Bewertung_Stammdaten!B$31,Bewertung_Stammdaten!A$31,IF(BF21&lt;Bewertung_Stammdaten!B$32,Bewertung_Stammdaten!A$32,Bewertung_Stammdaten!A$33)))))))))</f>
        <v>8</v>
      </c>
      <c r="BJ21" s="33">
        <f ca="1">IF(BG21&lt;Bewertung_Stammdaten!J$11,Bewertung_Stammdaten!I$11,IF(BG21&lt;Bewertung_Stammdaten!J$12,Bewertung_Stammdaten!I$12,IF(BG21&lt;Bewertung_Stammdaten!J$13,Bewertung_Stammdaten!I$13,IF(BG21&lt;Bewertung_Stammdaten!J$14,Bewertung_Stammdaten!I$14,IF(BG21&lt;Bewertung_Stammdaten!J$15,Bewertung_Stammdaten!I$15,IF(BG21&lt;Bewertung_Stammdaten!J$16,Bewertung_Stammdaten!I$16,IF(BG21&lt;Bewertung_Stammdaten!J$17,Bewertung_Stammdaten!I$17,IF(BG21&lt;Bewertung_Stammdaten!J$18,Bewertung_Stammdaten!I$18,IF(BG21&lt;Bewertung_Stammdaten!J$19,Bewertung_Stammdaten!I$19,Bewertung_Stammdaten!I$20)))))))))</f>
        <v>1</v>
      </c>
    </row>
    <row r="22" spans="1:62" x14ac:dyDescent="0.25">
      <c r="A22" s="39" t="s">
        <v>38</v>
      </c>
      <c r="B22" s="39" t="s">
        <v>39</v>
      </c>
      <c r="C22" s="33">
        <f t="shared" ca="1" si="8"/>
        <v>118</v>
      </c>
      <c r="D22" s="44"/>
      <c r="E22" s="11">
        <f ca="1">VLOOKUP(A22,KGV!A3:R68,17,FALSE)</f>
        <v>17.701971473679947</v>
      </c>
      <c r="F22" s="11">
        <f>VLOOKUP(A22,KGV!A3:R68,16,FALSE)</f>
        <v>15.51015228426396</v>
      </c>
      <c r="G22" s="12">
        <f ca="1">VLOOKUP(A22,KGV!A3:R68,18,FALSE)</f>
        <v>0.14131513019635067</v>
      </c>
      <c r="H22" s="16">
        <f t="shared" ca="1" si="0"/>
        <v>18.514817102573414</v>
      </c>
      <c r="I22" s="12">
        <f t="shared" ca="1" si="1"/>
        <v>0.19372245760332585</v>
      </c>
      <c r="J22" s="33">
        <f ca="1">IF(G22&lt;Bewertung_Stammdaten!B$11,Bewertung_Stammdaten!A$11,IF(G22&lt;Bewertung_Stammdaten!B$12,Bewertung_Stammdaten!A$12,IF(G22&lt;Bewertung_Stammdaten!B$13,Bewertung_Stammdaten!A$13,IF(G22&lt;Bewertung_Stammdaten!B$14,Bewertung_Stammdaten!A$14,IF(G22&lt;Bewertung_Stammdaten!B$15,Bewertung_Stammdaten!A$15,IF(G22&lt;Bewertung_Stammdaten!B$16,Bewertung_Stammdaten!A$16,IF(G22&lt;Bewertung_Stammdaten!B$17,Bewertung_Stammdaten!A$17,IF(G22&lt;Bewertung_Stammdaten!B$18,Bewertung_Stammdaten!A$18,IF(G22&lt;Bewertung_Stammdaten!B$19,Bewertung_Stammdaten!A$19,Bewertung_Stammdaten!A$20)))))))))</f>
        <v>12</v>
      </c>
      <c r="K22" s="33">
        <f ca="1">IF(I22&lt;Bewertung_Stammdaten!N$11,Bewertung_Stammdaten!M$11,IF(I22&lt;Bewertung_Stammdaten!N$12,Bewertung_Stammdaten!M$12,IF(I22&lt;Bewertung_Stammdaten!N$13,Bewertung_Stammdaten!M$13,IF(I22&lt;Bewertung_Stammdaten!N$14,Bewertung_Stammdaten!M$14,IF(I22&lt;Bewertung_Stammdaten!N$15,Bewertung_Stammdaten!M$15,IF(I22&lt;Bewertung_Stammdaten!N$16,Bewertung_Stammdaten!M$16,IF(I22&lt;Bewertung_Stammdaten!N$17,Bewertung_Stammdaten!M$17,IF(I22&lt;Bewertung_Stammdaten!N$18,Bewertung_Stammdaten!M$18,IF(I22&lt;Bewertung_Stammdaten!N$19,Bewertung_Stammdaten!M$19,Bewertung_Stammdaten!M$20)))))))))</f>
        <v>9</v>
      </c>
      <c r="L22" s="44"/>
      <c r="M22" s="11">
        <f ca="1">VLOOKUP(A22,Buchwert_je_Aktie!A3:AK68,23,FALSE)</f>
        <v>4.1890833333333335</v>
      </c>
      <c r="N22" s="11">
        <f>VLOOKUP(A22,Buchwert_je_Aktie!A3:AK68,19,FALSE)</f>
        <v>3.9027272727272728</v>
      </c>
      <c r="O22" s="12">
        <f ca="1">VLOOKUP(A22,Buchwert_je_Aktie!A3:AK68,24,FALSE)</f>
        <v>7.3373320910008477E-2</v>
      </c>
      <c r="P22" s="12">
        <f>VLOOKUP(A22,Buchwert_je_Aktie!A3:AK68,37,FALSE)</f>
        <v>-0.11382113821138207</v>
      </c>
      <c r="Q22" s="16">
        <f t="shared" ca="1" si="2"/>
        <v>3.7122771002710029</v>
      </c>
      <c r="R22" s="12">
        <f t="shared" ca="1" si="3"/>
        <v>-4.8799252201699672E-2</v>
      </c>
      <c r="S22" s="53">
        <f ca="1">IF(O22&lt;Bewertung_Stammdaten!D$24,Bewertung_Stammdaten!C$24,IF(O22&lt;Bewertung_Stammdaten!D$25,Bewertung_Stammdaten!C$25,IF(O22&lt;Bewertung_Stammdaten!D$26,Bewertung_Stammdaten!C$26,IF(O22&lt;Bewertung_Stammdaten!D$27,Bewertung_Stammdaten!C$27,IF(O22&lt;Bewertung_Stammdaten!D$28,Bewertung_Stammdaten!C$28,IF(O22&lt;Bewertung_Stammdaten!D$29,Bewertung_Stammdaten!C$29,IF(O22&lt;Bewertung_Stammdaten!D$30,Bewertung_Stammdaten!C$30,IF(O22&lt;Bewertung_Stammdaten!D$31,Bewertung_Stammdaten!C$31,IF(O22&lt;Bewertung_Stammdaten!D$32,Bewertung_Stammdaten!C$32,Bewertung_Stammdaten!C$33)))))))))</f>
        <v>4.5</v>
      </c>
      <c r="T22" s="53">
        <f>IF(P22&lt;Bewertung_Stammdaten!F$24,Bewertung_Stammdaten!E$24,IF(P22&lt;Bewertung_Stammdaten!F$25,Bewertung_Stammdaten!E$25,IF(P22&lt;Bewertung_Stammdaten!F$26,Bewertung_Stammdaten!E$26,IF(P22&lt;Bewertung_Stammdaten!F$27,Bewertung_Stammdaten!E$27,IF(P22&lt;Bewertung_Stammdaten!F$28,Bewertung_Stammdaten!E$28,IF(P22&lt;Bewertung_Stammdaten!F$29,Bewertung_Stammdaten!E$29,IF(P22&lt;Bewertung_Stammdaten!F$30,Bewertung_Stammdaten!E$30,IF(P22&lt;Bewertung_Stammdaten!F$31,Bewertung_Stammdaten!E$31,IF(P22&lt;Bewertung_Stammdaten!F$32,Bewertung_Stammdaten!E$32,Bewertung_Stammdaten!E$33)))))))))</f>
        <v>7.5</v>
      </c>
      <c r="U22" s="53">
        <f ca="1">IF(R22&lt;Bewertung_Stammdaten!H$24,Bewertung_Stammdaten!G$24,IF(R22&lt;Bewertung_Stammdaten!H$25,Bewertung_Stammdaten!G$25,IF(R22&lt;Bewertung_Stammdaten!H$26,Bewertung_Stammdaten!G$26,IF(R22&lt;Bewertung_Stammdaten!H$27,Bewertung_Stammdaten!G$27,IF(R22&lt;Bewertung_Stammdaten!H$28,Bewertung_Stammdaten!G$28,IF(R22&lt;Bewertung_Stammdaten!H$29,Bewertung_Stammdaten!G$29,IF(R22&lt;Bewertung_Stammdaten!H$30,Bewertung_Stammdaten!G$30,IF(R22&lt;Bewertung_Stammdaten!H$31,Bewertung_Stammdaten!G$31,IF(R22&lt;Bewertung_Stammdaten!H$32,Bewertung_Stammdaten!G$32,Bewertung_Stammdaten!G$33)))))))))</f>
        <v>2</v>
      </c>
      <c r="V22" s="44"/>
      <c r="W22" s="14">
        <f ca="1">VLOOKUP(A22,Ergebnis_je_Aktie_verwässert!A3:AK68,23,FALSE)</f>
        <v>2.058527777777778</v>
      </c>
      <c r="X22" s="14">
        <f>VLOOKUP(A22,Ergebnis_je_Aktie_verwässert!A3:AK68,19,FALSE)</f>
        <v>1.7545454545454546</v>
      </c>
      <c r="Y22" s="12">
        <f ca="1">VLOOKUP(A22,Ergebnis_je_Aktie_verwässert!A3:AK68,24,FALSE)</f>
        <v>0.17325417386298225</v>
      </c>
      <c r="Z22" s="41">
        <f>VLOOKUP(A22,Ergebnis_je_Aktie_verwässert!A3:AK68,37,FALSE)</f>
        <v>-4.3902439024390172E-2</v>
      </c>
      <c r="AA22" s="16">
        <f t="shared" ca="1" si="4"/>
        <v>1.9681533875338757</v>
      </c>
      <c r="AB22" s="12">
        <f t="shared" ca="1" si="5"/>
        <v>0.12174545403485149</v>
      </c>
      <c r="AC22" s="33">
        <f ca="1">IF(Y22&lt;Bewertung_Stammdaten!L$11,Bewertung_Stammdaten!K$11,IF(Y22&lt;Bewertung_Stammdaten!L$12,Bewertung_Stammdaten!K$12,IF(Y22&lt;Bewertung_Stammdaten!L$13,Bewertung_Stammdaten!K$13,IF(Y22&lt;Bewertung_Stammdaten!L$14,Bewertung_Stammdaten!K$14,IF(Y22&lt;Bewertung_Stammdaten!L$15,Bewertung_Stammdaten!K$15,IF(Y22&lt;Bewertung_Stammdaten!L$16,Bewertung_Stammdaten!K$16,IF(Y22&lt;Bewertung_Stammdaten!L$17,Bewertung_Stammdaten!K$17,IF(Y22&lt;Bewertung_Stammdaten!L$18,Bewertung_Stammdaten!K$18,IF(Y22&lt;Bewertung_Stammdaten!L$19,Bewertung_Stammdaten!K$19,Bewertung_Stammdaten!K$20)))))))))</f>
        <v>8</v>
      </c>
      <c r="AD22" s="33">
        <f>IF(Z22&lt;Bewertung_Stammdaten!R$11,Bewertung_Stammdaten!Q$11,IF(Z22&lt;Bewertung_Stammdaten!R$12,Bewertung_Stammdaten!Q$12,IF(Z22&lt;Bewertung_Stammdaten!R$13,Bewertung_Stammdaten!Q$13,IF(Z22&lt;Bewertung_Stammdaten!R$14,Bewertung_Stammdaten!Q$14,IF(Z22&lt;Bewertung_Stammdaten!R$15,Bewertung_Stammdaten!Q$15,IF(Z22&lt;Bewertung_Stammdaten!R$16,Bewertung_Stammdaten!Q$16,IF(Z22&lt;Bewertung_Stammdaten!R$17,Bewertung_Stammdaten!Q$17,IF(Z22&lt;Bewertung_Stammdaten!R$18,Bewertung_Stammdaten!Q$18,IF(Z22&lt;Bewertung_Stammdaten!R$19,Bewertung_Stammdaten!Q$19,Bewertung_Stammdaten!Q$20)))))))))</f>
        <v>7</v>
      </c>
      <c r="AE22" s="33">
        <f ca="1">IF(AB22&lt;Bewertung_Stammdaten!P$11,Bewertung_Stammdaten!O$11,IF(AB22&lt;Bewertung_Stammdaten!P$12,Bewertung_Stammdaten!O$12,IF(AB22&lt;Bewertung_Stammdaten!P$13,Bewertung_Stammdaten!O$13,IF(AB22&lt;Bewertung_Stammdaten!P$14,Bewertung_Stammdaten!O$14,IF(AB22&lt;Bewertung_Stammdaten!P$15,Bewertung_Stammdaten!O$15,IF(AB22&lt;Bewertung_Stammdaten!P$16,Bewertung_Stammdaten!O$16,IF(AB22&lt;Bewertung_Stammdaten!P$17,Bewertung_Stammdaten!O$17,IF(AB22&lt;Bewertung_Stammdaten!P$18,Bewertung_Stammdaten!O$18,IF(AB22&lt;Bewertung_Stammdaten!P$19,Bewertung_Stammdaten!O$19,Bewertung_Stammdaten!O$20)))))))))</f>
        <v>5</v>
      </c>
      <c r="AF22" s="44"/>
      <c r="AG22" s="14">
        <f ca="1">VLOOKUP(A22,Dividende_je_Aktie!A3:AM68,24,FALSE)</f>
        <v>1.5746111111111112</v>
      </c>
      <c r="AH22" s="14">
        <f>VLOOKUP(A22,Dividende_je_Aktie!A3:AM68,20,FALSE)</f>
        <v>1.2854545454545454</v>
      </c>
      <c r="AI22" s="12">
        <f ca="1">VLOOKUP(A22,Dividende_je_Aktie!A3:AM68,25,FALSE)</f>
        <v>0.22494499449945016</v>
      </c>
      <c r="AJ22" s="41">
        <f>VLOOKUP(A22,Dividende_je_Aktie!A3:AM68,39,FALSE)</f>
        <v>-5.7142857142856718E-3</v>
      </c>
      <c r="AK22" s="16">
        <f t="shared" ca="1" si="6"/>
        <v>1.5656133333333335</v>
      </c>
      <c r="AL22" s="12">
        <f t="shared" ca="1" si="7"/>
        <v>0.21794530881659613</v>
      </c>
      <c r="AM22" s="33">
        <f ca="1">IF(AI22&lt;Bewertung_Stammdaten!P$24,Bewertung_Stammdaten!O$24,IF(AI22&lt;Bewertung_Stammdaten!P$25,Bewertung_Stammdaten!O$25,IF(AI22&lt;Bewertung_Stammdaten!P$26,Bewertung_Stammdaten!O$26,IF(AI22&lt;Bewertung_Stammdaten!P$27,Bewertung_Stammdaten!O$27,IF(AI22&lt;Bewertung_Stammdaten!P$28,Bewertung_Stammdaten!O$28,IF(AI22&lt;Bewertung_Stammdaten!P$29,Bewertung_Stammdaten!O$29,IF(AI22&lt;Bewertung_Stammdaten!P$30,Bewertung_Stammdaten!O$30,IF(AI22&lt;Bewertung_Stammdaten!P$31,Bewertung_Stammdaten!O$31,IF(AI22&lt;Bewertung_Stammdaten!P$32,Bewertung_Stammdaten!O$32,Bewertung_Stammdaten!O$33)))))))))</f>
        <v>10</v>
      </c>
      <c r="AN22" s="33">
        <f>IF(AJ22&lt;Bewertung_Stammdaten!R$24,Bewertung_Stammdaten!Q$24,IF(AJ22&lt;Bewertung_Stammdaten!R$25,Bewertung_Stammdaten!Q$25,IF(AJ22&lt;Bewertung_Stammdaten!R$26,Bewertung_Stammdaten!Q$26,IF(AJ22&lt;Bewertung_Stammdaten!R$27,Bewertung_Stammdaten!Q$27,IF(AJ22&lt;Bewertung_Stammdaten!R$28,Bewertung_Stammdaten!Q$28,IF(AJ22&lt;Bewertung_Stammdaten!R$29,Bewertung_Stammdaten!Q$29,IF(AJ22&lt;Bewertung_Stammdaten!R$30,Bewertung_Stammdaten!Q$30,IF(AJ22&lt;Bewertung_Stammdaten!R$31,Bewertung_Stammdaten!Q$31,IF(AJ22&lt;Bewertung_Stammdaten!R$32,Bewertung_Stammdaten!Q$32,Bewertung_Stammdaten!Q$33)))))))))</f>
        <v>7</v>
      </c>
      <c r="AO22" s="33">
        <f ca="1">IF(AL22&lt;Bewertung_Stammdaten!T$24,Bewertung_Stammdaten!S$24,IF(AL22&lt;Bewertung_Stammdaten!T$25,Bewertung_Stammdaten!S$25,IF(AL22&lt;Bewertung_Stammdaten!T$26,Bewertung_Stammdaten!S$26,IF(AL22&lt;Bewertung_Stammdaten!T$27,Bewertung_Stammdaten!S$27,IF(AL22&lt;Bewertung_Stammdaten!T$28,Bewertung_Stammdaten!S$28,IF(AL22&lt;Bewertung_Stammdaten!T$29,Bewertung_Stammdaten!S$29,IF(AL22&lt;Bewertung_Stammdaten!T$30,Bewertung_Stammdaten!S$30,IF(AL22&lt;Bewertung_Stammdaten!T$31,Bewertung_Stammdaten!S$31,IF(AL22&lt;Bewertung_Stammdaten!T$32,Bewertung_Stammdaten!S$32,Bewertung_Stammdaten!S$33)))))))))</f>
        <v>6</v>
      </c>
      <c r="AP22" s="44"/>
      <c r="AQ22" s="12">
        <f ca="1">VLOOKUP(A22,Dividendenrendite!A3:R68,17,FALSE)</f>
        <v>4.3211062324673748E-2</v>
      </c>
      <c r="AR22" s="12">
        <f>VLOOKUP(A22,Dividendenrendite!A3:R68,16,FALSE)</f>
        <v>3.3534521258823224E-2</v>
      </c>
      <c r="AS22" s="12">
        <f ca="1">VLOOKUP(A22,Dividendenrendite!A3:R68,18,FALSE)</f>
        <v>0.28855462080898331</v>
      </c>
      <c r="AT22" s="33">
        <f ca="1">IF(AQ22&lt;Bewertung_Stammdaten!D$11,Bewertung_Stammdaten!C$11,IF(AQ22&lt;Bewertung_Stammdaten!D$12,Bewertung_Stammdaten!C$12,IF(AQ22&lt;Bewertung_Stammdaten!D$13,Bewertung_Stammdaten!C$13,IF(AQ22&lt;Bewertung_Stammdaten!D$14,Bewertung_Stammdaten!C$14,IF(AQ22&lt;Bewertung_Stammdaten!D$15,Bewertung_Stammdaten!C$15,IF(AQ22&lt;Bewertung_Stammdaten!D$16,Bewertung_Stammdaten!C$16,IF(AQ22&lt;Bewertung_Stammdaten!D$17,Bewertung_Stammdaten!C$17,IF(AQ22&lt;Bewertung_Stammdaten!D$18,Bewertung_Stammdaten!C$18,IF(AQ22&lt;Bewertung_Stammdaten!D$19,Bewertung_Stammdaten!C$19,Bewertung_Stammdaten!C$20)))))))))</f>
        <v>13.5</v>
      </c>
      <c r="AU22" s="33">
        <f>IF(AR22&lt;Bewertung_Stammdaten!T$11,Bewertung_Stammdaten!S$11,IF(AR22&lt;Bewertung_Stammdaten!T$12,Bewertung_Stammdaten!S$12,IF(AR22&lt;Bewertung_Stammdaten!T$13,Bewertung_Stammdaten!S$13,IF(AR22&lt;Bewertung_Stammdaten!T$14,Bewertung_Stammdaten!S$14,IF(AR22&lt;Bewertung_Stammdaten!T$15,Bewertung_Stammdaten!S$15,IF(AR22&lt;Bewertung_Stammdaten!T$16,Bewertung_Stammdaten!S$16,IF(AR22&lt;Bewertung_Stammdaten!T$17,Bewertung_Stammdaten!S$17,IF(AR22&lt;Bewertung_Stammdaten!T$18,Bewertung_Stammdaten!S$18,IF(AR22&lt;Bewertung_Stammdaten!T$19,Bewertung_Stammdaten!S$19,Bewertung_Stammdaten!S$20)))))))))</f>
        <v>7</v>
      </c>
      <c r="AV22" s="33">
        <f ca="1">IF(AS22&lt;Bewertung_Stammdaten!F$11,Bewertung_Stammdaten!E$11,IF(AS22&lt;Bewertung_Stammdaten!F$12,Bewertung_Stammdaten!E$12,IF(AS22&lt;Bewertung_Stammdaten!F$13,Bewertung_Stammdaten!E$13,IF(AS22&lt;Bewertung_Stammdaten!F$14,Bewertung_Stammdaten!E$14,IF(AS22&lt;Bewertung_Stammdaten!F$15,Bewertung_Stammdaten!E$15,IF(AS22&lt;Bewertung_Stammdaten!F$16,Bewertung_Stammdaten!E$16,IF(AS22&lt;Bewertung_Stammdaten!F$17,Bewertung_Stammdaten!E$17,IF(AS22&lt;Bewertung_Stammdaten!F$18,Bewertung_Stammdaten!E$18,IF(AS22&lt;Bewertung_Stammdaten!F$19,Bewertung_Stammdaten!E$19,Bewertung_Stammdaten!E$20)))))))))</f>
        <v>5</v>
      </c>
      <c r="AW22" s="44"/>
      <c r="AX22" s="12">
        <f>VLOOKUP(A22,Aktien_im_Umlauf_splitbereinigt!A3:Z68,26,FALSE)</f>
        <v>0</v>
      </c>
      <c r="AY22" s="12">
        <f>VLOOKUP(A22,Aktien_im_Umlauf_splitbereinigt!A3:Y68,24,FALSE)</f>
        <v>1.4105865372728208E-4</v>
      </c>
      <c r="AZ22" s="12">
        <f>VLOOKUP(A22,Aktien_im_Umlauf_splitbereinigt!A3:Y68,25,FALSE)</f>
        <v>-99.999989999999997</v>
      </c>
      <c r="BA22" s="42">
        <f>IF(AX22&lt;Bewertung_Stammdaten!J$24,Bewertung_Stammdaten!I$24,IF(AX22&lt;Bewertung_Stammdaten!J$25,Bewertung_Stammdaten!I$25,IF(AX22&lt;Bewertung_Stammdaten!J$26,Bewertung_Stammdaten!I$26,IF(AX22&lt;Bewertung_Stammdaten!J$27,Bewertung_Stammdaten!I$27,IF(AX22&lt;Bewertung_Stammdaten!J$28,Bewertung_Stammdaten!I$28,IF(AX22&lt;Bewertung_Stammdaten!J$29,Bewertung_Stammdaten!I$29,IF(AX22&lt;Bewertung_Stammdaten!J$30,Bewertung_Stammdaten!I$30,IF(AX22&lt;Bewertung_Stammdaten!J$31,Bewertung_Stammdaten!I$31,IF(AX22&lt;Bewertung_Stammdaten!J$32,Bewertung_Stammdaten!I$32,Bewertung_Stammdaten!I$33)))))))))</f>
        <v>2</v>
      </c>
      <c r="BB22" s="42">
        <f>IF(AY22&lt;Bewertung_Stammdaten!L$24,Bewertung_Stammdaten!K$24,IF(AY22&lt;Bewertung_Stammdaten!L$25,Bewertung_Stammdaten!K$25,IF(AY22&lt;Bewertung_Stammdaten!L$26,Bewertung_Stammdaten!K$26,IF(AY22&lt;Bewertung_Stammdaten!L$27,Bewertung_Stammdaten!K$27,IF(AY22&lt;Bewertung_Stammdaten!L$28,Bewertung_Stammdaten!K$28,IF(AY22&lt;Bewertung_Stammdaten!L$29,Bewertung_Stammdaten!K$29,IF(AY22&lt;Bewertung_Stammdaten!L$30,Bewertung_Stammdaten!K$30,IF(AY22&lt;Bewertung_Stammdaten!L$31,Bewertung_Stammdaten!K$31,IF(AY22&lt;Bewertung_Stammdaten!L$32,Bewertung_Stammdaten!K$32,Bewertung_Stammdaten!K$33)))))))))</f>
        <v>2</v>
      </c>
      <c r="BC22" s="42">
        <f>IF(AZ22&lt;Bewertung_Stammdaten!N$24,Bewertung_Stammdaten!M$24,IF(AZ22&lt;Bewertung_Stammdaten!N$25,Bewertung_Stammdaten!M$25,IF(AZ22&lt;Bewertung_Stammdaten!N$26,Bewertung_Stammdaten!M$26,IF(AZ22&lt;Bewertung_Stammdaten!N$27,Bewertung_Stammdaten!M$27,IF(AZ22&lt;Bewertung_Stammdaten!N$28,Bewertung_Stammdaten!M$28,IF(AZ22&lt;Bewertung_Stammdaten!N$29,Bewertung_Stammdaten!M$29,IF(AZ22&lt;Bewertung_Stammdaten!N$30,Bewertung_Stammdaten!M$30,IF(AZ22&lt;Bewertung_Stammdaten!N$31,Bewertung_Stammdaten!M$31,IF(AZ22&lt;Bewertung_Stammdaten!N$32,Bewertung_Stammdaten!M$32,Bewertung_Stammdaten!M$33)))))))))</f>
        <v>0.5</v>
      </c>
      <c r="BD22" s="44"/>
      <c r="BE22" s="12">
        <f ca="1">VLOOKUP(A22,Ausschüttungsquote!A3:X68,23,FALSE)</f>
        <v>0.76440727217518134</v>
      </c>
      <c r="BF22" s="12">
        <f>VLOOKUP(A22,Ausschüttungsquote!A3:X68,19,FALSE)</f>
        <v>0.72980541580567393</v>
      </c>
      <c r="BG22" s="12">
        <f ca="1">VLOOKUP(A22,Ausschüttungsquote!A3:X68,24,FALSE)</f>
        <v>4.7412441207096867E-2</v>
      </c>
      <c r="BH22" s="33">
        <f ca="1">IF(BE22&lt;Bewertung_Stammdaten!H$11,Bewertung_Stammdaten!G$11,IF(BE22&lt;Bewertung_Stammdaten!H$12,Bewertung_Stammdaten!G$12,IF(BE22&lt;Bewertung_Stammdaten!H$13,Bewertung_Stammdaten!G$13,IF(BE22&lt;Bewertung_Stammdaten!H$14,Bewertung_Stammdaten!G$14,IF(BE22&lt;Bewertung_Stammdaten!H$15,Bewertung_Stammdaten!G$15,IF(BE22&lt;Bewertung_Stammdaten!H$16,Bewertung_Stammdaten!G$16,IF(BE22&lt;Bewertung_Stammdaten!H$17,Bewertung_Stammdaten!G$17,IF(BE22&lt;Bewertung_Stammdaten!H$18,Bewertung_Stammdaten!G$18,IF(BE22&lt;Bewertung_Stammdaten!H$19,Bewertung_Stammdaten!G$19,Bewertung_Stammdaten!G$20)))))))))</f>
        <v>2</v>
      </c>
      <c r="BI22" s="42">
        <f>IF(BF22&lt;Bewertung_Stammdaten!B$24,Bewertung_Stammdaten!A$24,IF(BF22&lt;Bewertung_Stammdaten!B$25,Bewertung_Stammdaten!A$25,IF(BF22&lt;Bewertung_Stammdaten!B$26,Bewertung_Stammdaten!A$26,IF(BF22&lt;Bewertung_Stammdaten!B$27,Bewertung_Stammdaten!A$27,IF(BF22&lt;Bewertung_Stammdaten!B$28,Bewertung_Stammdaten!A$28,IF(BF22&lt;Bewertung_Stammdaten!B$29,Bewertung_Stammdaten!A$29,IF(BF22&lt;Bewertung_Stammdaten!B$30,Bewertung_Stammdaten!A$30,IF(BF22&lt;Bewertung_Stammdaten!B$31,Bewertung_Stammdaten!A$31,IF(BF22&lt;Bewertung_Stammdaten!B$32,Bewertung_Stammdaten!A$32,Bewertung_Stammdaten!A$33)))))))))</f>
        <v>3</v>
      </c>
      <c r="BJ22" s="33">
        <f ca="1">IF(BG22&lt;Bewertung_Stammdaten!J$11,Bewertung_Stammdaten!I$11,IF(BG22&lt;Bewertung_Stammdaten!J$12,Bewertung_Stammdaten!I$12,IF(BG22&lt;Bewertung_Stammdaten!J$13,Bewertung_Stammdaten!I$13,IF(BG22&lt;Bewertung_Stammdaten!J$14,Bewertung_Stammdaten!I$14,IF(BG22&lt;Bewertung_Stammdaten!J$15,Bewertung_Stammdaten!I$15,IF(BG22&lt;Bewertung_Stammdaten!J$16,Bewertung_Stammdaten!I$16,IF(BG22&lt;Bewertung_Stammdaten!J$17,Bewertung_Stammdaten!I$17,IF(BG22&lt;Bewertung_Stammdaten!J$18,Bewertung_Stammdaten!I$18,IF(BG22&lt;Bewertung_Stammdaten!J$19,Bewertung_Stammdaten!I$19,Bewertung_Stammdaten!I$20)))))))))</f>
        <v>5</v>
      </c>
    </row>
    <row r="23" spans="1:62" x14ac:dyDescent="0.25">
      <c r="A23" s="39" t="s">
        <v>40</v>
      </c>
      <c r="B23" s="39" t="s">
        <v>41</v>
      </c>
      <c r="C23" s="33">
        <f t="shared" ca="1" si="8"/>
        <v>107</v>
      </c>
      <c r="D23" s="44"/>
      <c r="E23" s="11">
        <f ca="1">VLOOKUP(A23,KGV!A3:R68,17,FALSE)</f>
        <v>17.998837284413153</v>
      </c>
      <c r="F23" s="11">
        <f>VLOOKUP(A23,KGV!A3:R68,16,FALSE)</f>
        <v>15.952095808383234</v>
      </c>
      <c r="G23" s="12">
        <f ca="1">VLOOKUP(A23,KGV!A3:R68,18,FALSE)</f>
        <v>0.12830549042680039</v>
      </c>
      <c r="H23" s="16">
        <f t="shared" ca="1" si="0"/>
        <v>46.849914696193061</v>
      </c>
      <c r="I23" s="12">
        <f t="shared" ca="1" si="1"/>
        <v>1.9369128206697601</v>
      </c>
      <c r="J23" s="33">
        <f ca="1">IF(G23&lt;Bewertung_Stammdaten!B$11,Bewertung_Stammdaten!A$11,IF(G23&lt;Bewertung_Stammdaten!B$12,Bewertung_Stammdaten!A$12,IF(G23&lt;Bewertung_Stammdaten!B$13,Bewertung_Stammdaten!A$13,IF(G23&lt;Bewertung_Stammdaten!B$14,Bewertung_Stammdaten!A$14,IF(G23&lt;Bewertung_Stammdaten!B$15,Bewertung_Stammdaten!A$15,IF(G23&lt;Bewertung_Stammdaten!B$16,Bewertung_Stammdaten!A$16,IF(G23&lt;Bewertung_Stammdaten!B$17,Bewertung_Stammdaten!A$17,IF(G23&lt;Bewertung_Stammdaten!B$18,Bewertung_Stammdaten!A$18,IF(G23&lt;Bewertung_Stammdaten!B$19,Bewertung_Stammdaten!A$19,Bewertung_Stammdaten!A$20)))))))))</f>
        <v>12</v>
      </c>
      <c r="K23" s="33">
        <f ca="1">IF(I23&lt;Bewertung_Stammdaten!N$11,Bewertung_Stammdaten!M$11,IF(I23&lt;Bewertung_Stammdaten!N$12,Bewertung_Stammdaten!M$12,IF(I23&lt;Bewertung_Stammdaten!N$13,Bewertung_Stammdaten!M$13,IF(I23&lt;Bewertung_Stammdaten!N$14,Bewertung_Stammdaten!M$14,IF(I23&lt;Bewertung_Stammdaten!N$15,Bewertung_Stammdaten!M$15,IF(I23&lt;Bewertung_Stammdaten!N$16,Bewertung_Stammdaten!M$16,IF(I23&lt;Bewertung_Stammdaten!N$17,Bewertung_Stammdaten!M$17,IF(I23&lt;Bewertung_Stammdaten!N$18,Bewertung_Stammdaten!M$18,IF(I23&lt;Bewertung_Stammdaten!N$19,Bewertung_Stammdaten!M$19,Bewertung_Stammdaten!M$20)))))))))</f>
        <v>1.5</v>
      </c>
      <c r="L23" s="44"/>
      <c r="M23" s="11">
        <f ca="1">VLOOKUP(A23,Buchwert_je_Aktie!A3:AK68,23,FALSE)</f>
        <v>5.1473333333333331</v>
      </c>
      <c r="N23" s="11">
        <f>VLOOKUP(A23,Buchwert_je_Aktie!A3:AK68,19,FALSE)</f>
        <v>5.7110000000000003</v>
      </c>
      <c r="O23" s="12">
        <f ca="1">VLOOKUP(A23,Buchwert_je_Aktie!A3:AK68,24,FALSE)</f>
        <v>-9.8698418257164633E-2</v>
      </c>
      <c r="P23" s="12">
        <f>VLOOKUP(A23,Buchwert_je_Aktie!A3:AK68,37,FALSE)</f>
        <v>-0.21199442119944212</v>
      </c>
      <c r="Q23" s="16">
        <f t="shared" ca="1" si="2"/>
        <v>4.056127382612738</v>
      </c>
      <c r="R23" s="12">
        <f t="shared" ca="1" si="3"/>
        <v>-0.28976932540487865</v>
      </c>
      <c r="S23" s="53">
        <f ca="1">IF(O23&lt;Bewertung_Stammdaten!D$24,Bewertung_Stammdaten!C$24,IF(O23&lt;Bewertung_Stammdaten!D$25,Bewertung_Stammdaten!C$25,IF(O23&lt;Bewertung_Stammdaten!D$26,Bewertung_Stammdaten!C$26,IF(O23&lt;Bewertung_Stammdaten!D$27,Bewertung_Stammdaten!C$27,IF(O23&lt;Bewertung_Stammdaten!D$28,Bewertung_Stammdaten!C$28,IF(O23&lt;Bewertung_Stammdaten!D$29,Bewertung_Stammdaten!C$29,IF(O23&lt;Bewertung_Stammdaten!D$30,Bewertung_Stammdaten!C$30,IF(O23&lt;Bewertung_Stammdaten!D$31,Bewertung_Stammdaten!C$31,IF(O23&lt;Bewertung_Stammdaten!D$32,Bewertung_Stammdaten!C$32,Bewertung_Stammdaten!C$33)))))))))</f>
        <v>3</v>
      </c>
      <c r="T23" s="53">
        <f>IF(P23&lt;Bewertung_Stammdaten!F$24,Bewertung_Stammdaten!E$24,IF(P23&lt;Bewertung_Stammdaten!F$25,Bewertung_Stammdaten!E$25,IF(P23&lt;Bewertung_Stammdaten!F$26,Bewertung_Stammdaten!E$26,IF(P23&lt;Bewertung_Stammdaten!F$27,Bewertung_Stammdaten!E$27,IF(P23&lt;Bewertung_Stammdaten!F$28,Bewertung_Stammdaten!E$28,IF(P23&lt;Bewertung_Stammdaten!F$29,Bewertung_Stammdaten!E$29,IF(P23&lt;Bewertung_Stammdaten!F$30,Bewertung_Stammdaten!E$30,IF(P23&lt;Bewertung_Stammdaten!F$31,Bewertung_Stammdaten!E$31,IF(P23&lt;Bewertung_Stammdaten!F$32,Bewertung_Stammdaten!E$32,Bewertung_Stammdaten!E$33)))))))))</f>
        <v>4.5</v>
      </c>
      <c r="U23" s="53">
        <f ca="1">IF(R23&lt;Bewertung_Stammdaten!H$24,Bewertung_Stammdaten!G$24,IF(R23&lt;Bewertung_Stammdaten!H$25,Bewertung_Stammdaten!G$25,IF(R23&lt;Bewertung_Stammdaten!H$26,Bewertung_Stammdaten!G$26,IF(R23&lt;Bewertung_Stammdaten!H$27,Bewertung_Stammdaten!G$27,IF(R23&lt;Bewertung_Stammdaten!H$28,Bewertung_Stammdaten!G$28,IF(R23&lt;Bewertung_Stammdaten!H$29,Bewertung_Stammdaten!G$29,IF(R23&lt;Bewertung_Stammdaten!H$30,Bewertung_Stammdaten!G$30,IF(R23&lt;Bewertung_Stammdaten!H$31,Bewertung_Stammdaten!G$31,IF(R23&lt;Bewertung_Stammdaten!H$32,Bewertung_Stammdaten!G$32,Bewertung_Stammdaten!G$33)))))))))</f>
        <v>1</v>
      </c>
      <c r="V23" s="44"/>
      <c r="W23" s="14">
        <f ca="1">VLOOKUP(A23,Ergebnis_je_Aktie_verwässert!A3:AK68,23,FALSE)</f>
        <v>1.7201111111111111</v>
      </c>
      <c r="X23" s="14">
        <f>VLOOKUP(A23,Ergebnis_je_Aktie_verwässert!A3:AK68,19,FALSE)</f>
        <v>1.2827272727272729</v>
      </c>
      <c r="Y23" s="12">
        <f ca="1">VLOOKUP(A23,Ergebnis_je_Aktie_verwässert!A3:AK68,24,FALSE)</f>
        <v>0.3409796046932827</v>
      </c>
      <c r="Z23" s="41">
        <f>VLOOKUP(A23,Ergebnis_je_Aktie_verwässert!A3:AK68,37,FALSE)</f>
        <v>-0.61581920903954801</v>
      </c>
      <c r="AA23" s="16">
        <f t="shared" ca="1" si="4"/>
        <v>0.6608336472065286</v>
      </c>
      <c r="AB23" s="12">
        <f t="shared" ca="1" si="5"/>
        <v>-0.4848213948071004</v>
      </c>
      <c r="AC23" s="33">
        <f ca="1">IF(Y23&lt;Bewertung_Stammdaten!L$11,Bewertung_Stammdaten!K$11,IF(Y23&lt;Bewertung_Stammdaten!L$12,Bewertung_Stammdaten!K$12,IF(Y23&lt;Bewertung_Stammdaten!L$13,Bewertung_Stammdaten!K$13,IF(Y23&lt;Bewertung_Stammdaten!L$14,Bewertung_Stammdaten!K$14,IF(Y23&lt;Bewertung_Stammdaten!L$15,Bewertung_Stammdaten!K$15,IF(Y23&lt;Bewertung_Stammdaten!L$16,Bewertung_Stammdaten!K$16,IF(Y23&lt;Bewertung_Stammdaten!L$17,Bewertung_Stammdaten!K$17,IF(Y23&lt;Bewertung_Stammdaten!L$18,Bewertung_Stammdaten!K$18,IF(Y23&lt;Bewertung_Stammdaten!L$19,Bewertung_Stammdaten!K$19,Bewertung_Stammdaten!K$20)))))))))</f>
        <v>12</v>
      </c>
      <c r="AD23" s="33">
        <f>IF(Z23&lt;Bewertung_Stammdaten!R$11,Bewertung_Stammdaten!Q$11,IF(Z23&lt;Bewertung_Stammdaten!R$12,Bewertung_Stammdaten!Q$12,IF(Z23&lt;Bewertung_Stammdaten!R$13,Bewertung_Stammdaten!Q$13,IF(Z23&lt;Bewertung_Stammdaten!R$14,Bewertung_Stammdaten!Q$14,IF(Z23&lt;Bewertung_Stammdaten!R$15,Bewertung_Stammdaten!Q$15,IF(Z23&lt;Bewertung_Stammdaten!R$16,Bewertung_Stammdaten!Q$16,IF(Z23&lt;Bewertung_Stammdaten!R$17,Bewertung_Stammdaten!Q$17,IF(Z23&lt;Bewertung_Stammdaten!R$18,Bewertung_Stammdaten!Q$18,IF(Z23&lt;Bewertung_Stammdaten!R$19,Bewertung_Stammdaten!Q$19,Bewertung_Stammdaten!Q$20)))))))))</f>
        <v>1</v>
      </c>
      <c r="AE23" s="33">
        <f ca="1">IF(AB23&lt;Bewertung_Stammdaten!P$11,Bewertung_Stammdaten!O$11,IF(AB23&lt;Bewertung_Stammdaten!P$12,Bewertung_Stammdaten!O$12,IF(AB23&lt;Bewertung_Stammdaten!P$13,Bewertung_Stammdaten!O$13,IF(AB23&lt;Bewertung_Stammdaten!P$14,Bewertung_Stammdaten!O$14,IF(AB23&lt;Bewertung_Stammdaten!P$15,Bewertung_Stammdaten!O$15,IF(AB23&lt;Bewertung_Stammdaten!P$16,Bewertung_Stammdaten!O$16,IF(AB23&lt;Bewertung_Stammdaten!P$17,Bewertung_Stammdaten!O$17,IF(AB23&lt;Bewertung_Stammdaten!P$18,Bewertung_Stammdaten!O$18,IF(AB23&lt;Bewertung_Stammdaten!P$19,Bewertung_Stammdaten!O$19,Bewertung_Stammdaten!O$20)))))))))</f>
        <v>1</v>
      </c>
      <c r="AF23" s="44"/>
      <c r="AG23" s="14">
        <f ca="1">VLOOKUP(A23,Dividende_je_Aktie!A3:AM68,24,FALSE)</f>
        <v>1.4692222222222222</v>
      </c>
      <c r="AH23" s="14">
        <f>VLOOKUP(A23,Dividende_je_Aktie!A3:AM68,20,FALSE)</f>
        <v>1.080909090909091</v>
      </c>
      <c r="AI23" s="12">
        <f ca="1">VLOOKUP(A23,Dividende_je_Aktie!A3:AM68,25,FALSE)</f>
        <v>0.35924679936454518</v>
      </c>
      <c r="AJ23" s="41">
        <f>VLOOKUP(A23,Dividende_je_Aktie!A3:AM68,39,FALSE)</f>
        <v>5.0000000000000044E-2</v>
      </c>
      <c r="AK23" s="16">
        <f t="shared" ca="1" si="6"/>
        <v>1.4692222222222222</v>
      </c>
      <c r="AL23" s="12">
        <f t="shared" ca="1" si="7"/>
        <v>0.35924679936454518</v>
      </c>
      <c r="AM23" s="33">
        <f ca="1">IF(AI23&lt;Bewertung_Stammdaten!P$24,Bewertung_Stammdaten!O$24,IF(AI23&lt;Bewertung_Stammdaten!P$25,Bewertung_Stammdaten!O$25,IF(AI23&lt;Bewertung_Stammdaten!P$26,Bewertung_Stammdaten!O$26,IF(AI23&lt;Bewertung_Stammdaten!P$27,Bewertung_Stammdaten!O$27,IF(AI23&lt;Bewertung_Stammdaten!P$28,Bewertung_Stammdaten!O$28,IF(AI23&lt;Bewertung_Stammdaten!P$29,Bewertung_Stammdaten!O$29,IF(AI23&lt;Bewertung_Stammdaten!P$30,Bewertung_Stammdaten!O$30,IF(AI23&lt;Bewertung_Stammdaten!P$31,Bewertung_Stammdaten!O$31,IF(AI23&lt;Bewertung_Stammdaten!P$32,Bewertung_Stammdaten!O$32,Bewertung_Stammdaten!O$33)))))))))</f>
        <v>12</v>
      </c>
      <c r="AN23" s="33">
        <f>IF(AJ23&lt;Bewertung_Stammdaten!R$24,Bewertung_Stammdaten!Q$24,IF(AJ23&lt;Bewertung_Stammdaten!R$25,Bewertung_Stammdaten!Q$25,IF(AJ23&lt;Bewertung_Stammdaten!R$26,Bewertung_Stammdaten!Q$26,IF(AJ23&lt;Bewertung_Stammdaten!R$27,Bewertung_Stammdaten!Q$27,IF(AJ23&lt;Bewertung_Stammdaten!R$28,Bewertung_Stammdaten!Q$28,IF(AJ23&lt;Bewertung_Stammdaten!R$29,Bewertung_Stammdaten!Q$29,IF(AJ23&lt;Bewertung_Stammdaten!R$30,Bewertung_Stammdaten!Q$30,IF(AJ23&lt;Bewertung_Stammdaten!R$31,Bewertung_Stammdaten!Q$31,IF(AJ23&lt;Bewertung_Stammdaten!R$32,Bewertung_Stammdaten!Q$32,Bewertung_Stammdaten!Q$33)))))))))</f>
        <v>8</v>
      </c>
      <c r="AO23" s="33">
        <f ca="1">IF(AL23&lt;Bewertung_Stammdaten!T$24,Bewertung_Stammdaten!S$24,IF(AL23&lt;Bewertung_Stammdaten!T$25,Bewertung_Stammdaten!S$25,IF(AL23&lt;Bewertung_Stammdaten!T$26,Bewertung_Stammdaten!S$26,IF(AL23&lt;Bewertung_Stammdaten!T$27,Bewertung_Stammdaten!S$27,IF(AL23&lt;Bewertung_Stammdaten!T$28,Bewertung_Stammdaten!S$28,IF(AL23&lt;Bewertung_Stammdaten!T$29,Bewertung_Stammdaten!S$29,IF(AL23&lt;Bewertung_Stammdaten!T$30,Bewertung_Stammdaten!S$30,IF(AL23&lt;Bewertung_Stammdaten!T$31,Bewertung_Stammdaten!S$31,IF(AL23&lt;Bewertung_Stammdaten!T$32,Bewertung_Stammdaten!S$32,Bewertung_Stammdaten!S$33)))))))))</f>
        <v>8</v>
      </c>
      <c r="AP23" s="44"/>
      <c r="AQ23" s="12">
        <f ca="1">VLOOKUP(A23,Dividendenrendite!A3:R68,17,FALSE)</f>
        <v>4.7455498133792705E-2</v>
      </c>
      <c r="AR23" s="12">
        <f>VLOOKUP(A23,Dividendenrendite!A3:R68,16,FALSE)</f>
        <v>3.3114505149790995E-2</v>
      </c>
      <c r="AS23" s="12">
        <f ca="1">VLOOKUP(A23,Dividendenrendite!A3:R68,18,FALSE)</f>
        <v>0.43307284584599093</v>
      </c>
      <c r="AT23" s="33">
        <f ca="1">IF(AQ23&lt;Bewertung_Stammdaten!D$11,Bewertung_Stammdaten!C$11,IF(AQ23&lt;Bewertung_Stammdaten!D$12,Bewertung_Stammdaten!C$12,IF(AQ23&lt;Bewertung_Stammdaten!D$13,Bewertung_Stammdaten!C$13,IF(AQ23&lt;Bewertung_Stammdaten!D$14,Bewertung_Stammdaten!C$14,IF(AQ23&lt;Bewertung_Stammdaten!D$15,Bewertung_Stammdaten!C$15,IF(AQ23&lt;Bewertung_Stammdaten!D$16,Bewertung_Stammdaten!C$16,IF(AQ23&lt;Bewertung_Stammdaten!D$17,Bewertung_Stammdaten!C$17,IF(AQ23&lt;Bewertung_Stammdaten!D$18,Bewertung_Stammdaten!C$18,IF(AQ23&lt;Bewertung_Stammdaten!D$19,Bewertung_Stammdaten!C$19,Bewertung_Stammdaten!C$20)))))))))</f>
        <v>15</v>
      </c>
      <c r="AU23" s="33">
        <f>IF(AR23&lt;Bewertung_Stammdaten!T$11,Bewertung_Stammdaten!S$11,IF(AR23&lt;Bewertung_Stammdaten!T$12,Bewertung_Stammdaten!S$12,IF(AR23&lt;Bewertung_Stammdaten!T$13,Bewertung_Stammdaten!S$13,IF(AR23&lt;Bewertung_Stammdaten!T$14,Bewertung_Stammdaten!S$14,IF(AR23&lt;Bewertung_Stammdaten!T$15,Bewertung_Stammdaten!S$15,IF(AR23&lt;Bewertung_Stammdaten!T$16,Bewertung_Stammdaten!S$16,IF(AR23&lt;Bewertung_Stammdaten!T$17,Bewertung_Stammdaten!S$17,IF(AR23&lt;Bewertung_Stammdaten!T$18,Bewertung_Stammdaten!S$18,IF(AR23&lt;Bewertung_Stammdaten!T$19,Bewertung_Stammdaten!S$19,Bewertung_Stammdaten!S$20)))))))))</f>
        <v>7</v>
      </c>
      <c r="AV23" s="33">
        <f ca="1">IF(AS23&lt;Bewertung_Stammdaten!F$11,Bewertung_Stammdaten!E$11,IF(AS23&lt;Bewertung_Stammdaten!F$12,Bewertung_Stammdaten!E$12,IF(AS23&lt;Bewertung_Stammdaten!F$13,Bewertung_Stammdaten!E$13,IF(AS23&lt;Bewertung_Stammdaten!F$14,Bewertung_Stammdaten!E$14,IF(AS23&lt;Bewertung_Stammdaten!F$15,Bewertung_Stammdaten!E$15,IF(AS23&lt;Bewertung_Stammdaten!F$16,Bewertung_Stammdaten!E$16,IF(AS23&lt;Bewertung_Stammdaten!F$17,Bewertung_Stammdaten!E$17,IF(AS23&lt;Bewertung_Stammdaten!F$18,Bewertung_Stammdaten!E$18,IF(AS23&lt;Bewertung_Stammdaten!F$19,Bewertung_Stammdaten!E$19,Bewertung_Stammdaten!E$20)))))))))</f>
        <v>5</v>
      </c>
      <c r="AW23" s="44"/>
      <c r="AX23" s="12">
        <f>VLOOKUP(A23,Aktien_im_Umlauf_splitbereinigt!A3:Z68,26,FALSE)</f>
        <v>0</v>
      </c>
      <c r="AY23" s="12">
        <f>VLOOKUP(A23,Aktien_im_Umlauf_splitbereinigt!A3:Y68,24,FALSE)</f>
        <v>0</v>
      </c>
      <c r="AZ23" s="12">
        <f>VLOOKUP(A23,Aktien_im_Umlauf_splitbereinigt!A3:Y68,25,FALSE)</f>
        <v>0</v>
      </c>
      <c r="BA23" s="42">
        <f>IF(AX23&lt;Bewertung_Stammdaten!J$24,Bewertung_Stammdaten!I$24,IF(AX23&lt;Bewertung_Stammdaten!J$25,Bewertung_Stammdaten!I$25,IF(AX23&lt;Bewertung_Stammdaten!J$26,Bewertung_Stammdaten!I$26,IF(AX23&lt;Bewertung_Stammdaten!J$27,Bewertung_Stammdaten!I$27,IF(AX23&lt;Bewertung_Stammdaten!J$28,Bewertung_Stammdaten!I$28,IF(AX23&lt;Bewertung_Stammdaten!J$29,Bewertung_Stammdaten!I$29,IF(AX23&lt;Bewertung_Stammdaten!J$30,Bewertung_Stammdaten!I$30,IF(AX23&lt;Bewertung_Stammdaten!J$31,Bewertung_Stammdaten!I$31,IF(AX23&lt;Bewertung_Stammdaten!J$32,Bewertung_Stammdaten!I$32,Bewertung_Stammdaten!I$33)))))))))</f>
        <v>2</v>
      </c>
      <c r="BB23" s="42">
        <f>IF(AY23&lt;Bewertung_Stammdaten!L$24,Bewertung_Stammdaten!K$24,IF(AY23&lt;Bewertung_Stammdaten!L$25,Bewertung_Stammdaten!K$25,IF(AY23&lt;Bewertung_Stammdaten!L$26,Bewertung_Stammdaten!K$26,IF(AY23&lt;Bewertung_Stammdaten!L$27,Bewertung_Stammdaten!K$27,IF(AY23&lt;Bewertung_Stammdaten!L$28,Bewertung_Stammdaten!K$28,IF(AY23&lt;Bewertung_Stammdaten!L$29,Bewertung_Stammdaten!K$29,IF(AY23&lt;Bewertung_Stammdaten!L$30,Bewertung_Stammdaten!K$30,IF(AY23&lt;Bewertung_Stammdaten!L$31,Bewertung_Stammdaten!K$31,IF(AY23&lt;Bewertung_Stammdaten!L$32,Bewertung_Stammdaten!K$32,Bewertung_Stammdaten!K$33)))))))))</f>
        <v>2</v>
      </c>
      <c r="BC23" s="42">
        <f>IF(AZ23&lt;Bewertung_Stammdaten!N$24,Bewertung_Stammdaten!M$24,IF(AZ23&lt;Bewertung_Stammdaten!N$25,Bewertung_Stammdaten!M$25,IF(AZ23&lt;Bewertung_Stammdaten!N$26,Bewertung_Stammdaten!M$26,IF(AZ23&lt;Bewertung_Stammdaten!N$27,Bewertung_Stammdaten!M$27,IF(AZ23&lt;Bewertung_Stammdaten!N$28,Bewertung_Stammdaten!M$28,IF(AZ23&lt;Bewertung_Stammdaten!N$29,Bewertung_Stammdaten!M$29,IF(AZ23&lt;Bewertung_Stammdaten!N$30,Bewertung_Stammdaten!M$30,IF(AZ23&lt;Bewertung_Stammdaten!N$31,Bewertung_Stammdaten!M$31,IF(AZ23&lt;Bewertung_Stammdaten!N$32,Bewertung_Stammdaten!M$32,Bewertung_Stammdaten!M$33)))))))))</f>
        <v>3</v>
      </c>
      <c r="BD23" s="44"/>
      <c r="BE23" s="12">
        <f ca="1">VLOOKUP(A23,Ausschüttungsquote!A3:X68,23,FALSE)</f>
        <v>0.8538129733043277</v>
      </c>
      <c r="BF23" s="12">
        <f>VLOOKUP(A23,Ausschüttungsquote!A3:X68,19,FALSE)</f>
        <v>0.92724054831939184</v>
      </c>
      <c r="BG23" s="12">
        <f ca="1">VLOOKUP(A23,Ausschüttungsquote!A3:X68,24,FALSE)</f>
        <v>-7.9189348597999087E-2</v>
      </c>
      <c r="BH23" s="33">
        <f ca="1">IF(BE23&lt;Bewertung_Stammdaten!H$11,Bewertung_Stammdaten!G$11,IF(BE23&lt;Bewertung_Stammdaten!H$12,Bewertung_Stammdaten!G$12,IF(BE23&lt;Bewertung_Stammdaten!H$13,Bewertung_Stammdaten!G$13,IF(BE23&lt;Bewertung_Stammdaten!H$14,Bewertung_Stammdaten!G$14,IF(BE23&lt;Bewertung_Stammdaten!H$15,Bewertung_Stammdaten!G$15,IF(BE23&lt;Bewertung_Stammdaten!H$16,Bewertung_Stammdaten!G$16,IF(BE23&lt;Bewertung_Stammdaten!H$17,Bewertung_Stammdaten!G$17,IF(BE23&lt;Bewertung_Stammdaten!H$18,Bewertung_Stammdaten!G$18,IF(BE23&lt;Bewertung_Stammdaten!H$19,Bewertung_Stammdaten!G$19,Bewertung_Stammdaten!G$20)))))))))</f>
        <v>1</v>
      </c>
      <c r="BI23" s="42">
        <f>IF(BF23&lt;Bewertung_Stammdaten!B$24,Bewertung_Stammdaten!A$24,IF(BF23&lt;Bewertung_Stammdaten!B$25,Bewertung_Stammdaten!A$25,IF(BF23&lt;Bewertung_Stammdaten!B$26,Bewertung_Stammdaten!A$26,IF(BF23&lt;Bewertung_Stammdaten!B$27,Bewertung_Stammdaten!A$27,IF(BF23&lt;Bewertung_Stammdaten!B$28,Bewertung_Stammdaten!A$28,IF(BF23&lt;Bewertung_Stammdaten!B$29,Bewertung_Stammdaten!A$29,IF(BF23&lt;Bewertung_Stammdaten!B$30,Bewertung_Stammdaten!A$30,IF(BF23&lt;Bewertung_Stammdaten!B$31,Bewertung_Stammdaten!A$31,IF(BF23&lt;Bewertung_Stammdaten!B$32,Bewertung_Stammdaten!A$32,Bewertung_Stammdaten!A$33)))))))))</f>
        <v>1</v>
      </c>
      <c r="BJ23" s="33">
        <f ca="1">IF(BG23&lt;Bewertung_Stammdaten!J$11,Bewertung_Stammdaten!I$11,IF(BG23&lt;Bewertung_Stammdaten!J$12,Bewertung_Stammdaten!I$12,IF(BG23&lt;Bewertung_Stammdaten!J$13,Bewertung_Stammdaten!I$13,IF(BG23&lt;Bewertung_Stammdaten!J$14,Bewertung_Stammdaten!I$14,IF(BG23&lt;Bewertung_Stammdaten!J$15,Bewertung_Stammdaten!I$15,IF(BG23&lt;Bewertung_Stammdaten!J$16,Bewertung_Stammdaten!I$16,IF(BG23&lt;Bewertung_Stammdaten!J$17,Bewertung_Stammdaten!I$17,IF(BG23&lt;Bewertung_Stammdaten!J$18,Bewertung_Stammdaten!I$18,IF(BG23&lt;Bewertung_Stammdaten!J$19,Bewertung_Stammdaten!I$19,Bewertung_Stammdaten!I$20)))))))))</f>
        <v>7</v>
      </c>
    </row>
    <row r="24" spans="1:62" x14ac:dyDescent="0.25">
      <c r="A24" s="39" t="s">
        <v>42</v>
      </c>
      <c r="B24" s="39" t="s">
        <v>43</v>
      </c>
      <c r="C24" s="33">
        <f t="shared" ca="1" si="8"/>
        <v>97</v>
      </c>
      <c r="D24" s="44"/>
      <c r="E24" s="11">
        <f ca="1">VLOOKUP(A24,KGV!A3:R68,17,FALSE)</f>
        <v>9.8252715733227785</v>
      </c>
      <c r="F24" s="11">
        <f>VLOOKUP(A24,KGV!A3:R68,16,FALSE)</f>
        <v>11.158852307692307</v>
      </c>
      <c r="G24" s="12">
        <f ca="1">VLOOKUP(A24,KGV!A3:R68,18,FALSE)</f>
        <v>-0.11950877183402009</v>
      </c>
      <c r="H24" s="16">
        <f t="shared" ca="1" si="0"/>
        <v>34.074878009608781</v>
      </c>
      <c r="I24" s="12">
        <f t="shared" ca="1" si="1"/>
        <v>2.0536185147032917</v>
      </c>
      <c r="J24" s="33">
        <f ca="1">IF(G24&lt;Bewertung_Stammdaten!B$11,Bewertung_Stammdaten!A$11,IF(G24&lt;Bewertung_Stammdaten!B$12,Bewertung_Stammdaten!A$12,IF(G24&lt;Bewertung_Stammdaten!B$13,Bewertung_Stammdaten!A$13,IF(G24&lt;Bewertung_Stammdaten!B$14,Bewertung_Stammdaten!A$14,IF(G24&lt;Bewertung_Stammdaten!B$15,Bewertung_Stammdaten!A$15,IF(G24&lt;Bewertung_Stammdaten!B$16,Bewertung_Stammdaten!A$16,IF(G24&lt;Bewertung_Stammdaten!B$17,Bewertung_Stammdaten!A$17,IF(G24&lt;Bewertung_Stammdaten!B$18,Bewertung_Stammdaten!A$18,IF(G24&lt;Bewertung_Stammdaten!B$19,Bewertung_Stammdaten!A$19,Bewertung_Stammdaten!A$20)))))))))</f>
        <v>27</v>
      </c>
      <c r="K24" s="33">
        <f ca="1">IF(I24&lt;Bewertung_Stammdaten!N$11,Bewertung_Stammdaten!M$11,IF(I24&lt;Bewertung_Stammdaten!N$12,Bewertung_Stammdaten!M$12,IF(I24&lt;Bewertung_Stammdaten!N$13,Bewertung_Stammdaten!M$13,IF(I24&lt;Bewertung_Stammdaten!N$14,Bewertung_Stammdaten!M$14,IF(I24&lt;Bewertung_Stammdaten!N$15,Bewertung_Stammdaten!M$15,IF(I24&lt;Bewertung_Stammdaten!N$16,Bewertung_Stammdaten!M$16,IF(I24&lt;Bewertung_Stammdaten!N$17,Bewertung_Stammdaten!M$17,IF(I24&lt;Bewertung_Stammdaten!N$18,Bewertung_Stammdaten!M$18,IF(I24&lt;Bewertung_Stammdaten!N$19,Bewertung_Stammdaten!M$19,Bewertung_Stammdaten!M$20)))))))))</f>
        <v>1.5</v>
      </c>
      <c r="L24" s="44"/>
      <c r="M24" s="11">
        <f ca="1">VLOOKUP(A24,Buchwert_je_Aktie!A3:AK68,23,FALSE)</f>
        <v>9.8006944444444457</v>
      </c>
      <c r="N24" s="11">
        <f>VLOOKUP(A24,Buchwert_je_Aktie!A3:AK68,19,FALSE)</f>
        <v>9.2061538461538461</v>
      </c>
      <c r="O24" s="12">
        <f ca="1">VLOOKUP(A24,Buchwert_je_Aktie!A3:AK68,24,FALSE)</f>
        <v>6.458078022875835E-2</v>
      </c>
      <c r="P24" s="12">
        <f>VLOOKUP(A24,Buchwert_je_Aktie!A3:AK68,37,FALSE)</f>
        <v>-0.28624192059095099</v>
      </c>
      <c r="Q24" s="16">
        <f t="shared" ca="1" si="2"/>
        <v>6.9953248435416038</v>
      </c>
      <c r="R24" s="12">
        <f t="shared" ca="1" si="3"/>
        <v>-0.24014686692813458</v>
      </c>
      <c r="S24" s="53">
        <f ca="1">IF(O24&lt;Bewertung_Stammdaten!D$24,Bewertung_Stammdaten!C$24,IF(O24&lt;Bewertung_Stammdaten!D$25,Bewertung_Stammdaten!C$25,IF(O24&lt;Bewertung_Stammdaten!D$26,Bewertung_Stammdaten!C$26,IF(O24&lt;Bewertung_Stammdaten!D$27,Bewertung_Stammdaten!C$27,IF(O24&lt;Bewertung_Stammdaten!D$28,Bewertung_Stammdaten!C$28,IF(O24&lt;Bewertung_Stammdaten!D$29,Bewertung_Stammdaten!C$29,IF(O24&lt;Bewertung_Stammdaten!D$30,Bewertung_Stammdaten!C$30,IF(O24&lt;Bewertung_Stammdaten!D$31,Bewertung_Stammdaten!C$31,IF(O24&lt;Bewertung_Stammdaten!D$32,Bewertung_Stammdaten!C$32,Bewertung_Stammdaten!C$33)))))))))</f>
        <v>4.5</v>
      </c>
      <c r="T24" s="53">
        <f>IF(P24&lt;Bewertung_Stammdaten!F$24,Bewertung_Stammdaten!E$24,IF(P24&lt;Bewertung_Stammdaten!F$25,Bewertung_Stammdaten!E$25,IF(P24&lt;Bewertung_Stammdaten!F$26,Bewertung_Stammdaten!E$26,IF(P24&lt;Bewertung_Stammdaten!F$27,Bewertung_Stammdaten!E$27,IF(P24&lt;Bewertung_Stammdaten!F$28,Bewertung_Stammdaten!E$28,IF(P24&lt;Bewertung_Stammdaten!F$29,Bewertung_Stammdaten!E$29,IF(P24&lt;Bewertung_Stammdaten!F$30,Bewertung_Stammdaten!E$30,IF(P24&lt;Bewertung_Stammdaten!F$31,Bewertung_Stammdaten!E$31,IF(P24&lt;Bewertung_Stammdaten!F$32,Bewertung_Stammdaten!E$32,Bewertung_Stammdaten!E$33)))))))))</f>
        <v>3</v>
      </c>
      <c r="U24" s="53">
        <f ca="1">IF(R24&lt;Bewertung_Stammdaten!H$24,Bewertung_Stammdaten!G$24,IF(R24&lt;Bewertung_Stammdaten!H$25,Bewertung_Stammdaten!G$25,IF(R24&lt;Bewertung_Stammdaten!H$26,Bewertung_Stammdaten!G$26,IF(R24&lt;Bewertung_Stammdaten!H$27,Bewertung_Stammdaten!G$27,IF(R24&lt;Bewertung_Stammdaten!H$28,Bewertung_Stammdaten!G$28,IF(R24&lt;Bewertung_Stammdaten!H$29,Bewertung_Stammdaten!G$29,IF(R24&lt;Bewertung_Stammdaten!H$30,Bewertung_Stammdaten!G$30,IF(R24&lt;Bewertung_Stammdaten!H$31,Bewertung_Stammdaten!G$31,IF(R24&lt;Bewertung_Stammdaten!H$32,Bewertung_Stammdaten!G$32,Bewertung_Stammdaten!G$33)))))))))</f>
        <v>1</v>
      </c>
      <c r="V24" s="44"/>
      <c r="W24" s="14">
        <f ca="1">VLOOKUP(A24,Ergebnis_je_Aktie_verwässert!A3:AK68,23,FALSE)</f>
        <v>0.84216666666666673</v>
      </c>
      <c r="X24" s="14">
        <f>VLOOKUP(A24,Ergebnis_je_Aktie_verwässert!A3:AK68,19,FALSE)</f>
        <v>0.90000000000000013</v>
      </c>
      <c r="Y24" s="12">
        <f ca="1">VLOOKUP(A24,Ergebnis_je_Aktie_verwässert!A3:AK68,24,FALSE)</f>
        <v>-6.4259259259259349E-2</v>
      </c>
      <c r="Z24" s="41">
        <f>VLOOKUP(A24,Ergebnis_je_Aktie_verwässert!A3:AK68,37,FALSE)</f>
        <v>-0.71165644171779141</v>
      </c>
      <c r="AA24" s="16">
        <f t="shared" ca="1" si="4"/>
        <v>0.24283333333333335</v>
      </c>
      <c r="AB24" s="12">
        <f t="shared" ca="1" si="5"/>
        <v>-0.73018518518518527</v>
      </c>
      <c r="AC24" s="33">
        <f ca="1">IF(Y24&lt;Bewertung_Stammdaten!L$11,Bewertung_Stammdaten!K$11,IF(Y24&lt;Bewertung_Stammdaten!L$12,Bewertung_Stammdaten!K$12,IF(Y24&lt;Bewertung_Stammdaten!L$13,Bewertung_Stammdaten!K$13,IF(Y24&lt;Bewertung_Stammdaten!L$14,Bewertung_Stammdaten!K$14,IF(Y24&lt;Bewertung_Stammdaten!L$15,Bewertung_Stammdaten!K$15,IF(Y24&lt;Bewertung_Stammdaten!L$16,Bewertung_Stammdaten!K$16,IF(Y24&lt;Bewertung_Stammdaten!L$17,Bewertung_Stammdaten!K$17,IF(Y24&lt;Bewertung_Stammdaten!L$18,Bewertung_Stammdaten!K$18,IF(Y24&lt;Bewertung_Stammdaten!L$19,Bewertung_Stammdaten!K$19,Bewertung_Stammdaten!K$20)))))))))</f>
        <v>4</v>
      </c>
      <c r="AD24" s="33">
        <f>IF(Z24&lt;Bewertung_Stammdaten!R$11,Bewertung_Stammdaten!Q$11,IF(Z24&lt;Bewertung_Stammdaten!R$12,Bewertung_Stammdaten!Q$12,IF(Z24&lt;Bewertung_Stammdaten!R$13,Bewertung_Stammdaten!Q$13,IF(Z24&lt;Bewertung_Stammdaten!R$14,Bewertung_Stammdaten!Q$14,IF(Z24&lt;Bewertung_Stammdaten!R$15,Bewertung_Stammdaten!Q$15,IF(Z24&lt;Bewertung_Stammdaten!R$16,Bewertung_Stammdaten!Q$16,IF(Z24&lt;Bewertung_Stammdaten!R$17,Bewertung_Stammdaten!Q$17,IF(Z24&lt;Bewertung_Stammdaten!R$18,Bewertung_Stammdaten!Q$18,IF(Z24&lt;Bewertung_Stammdaten!R$19,Bewertung_Stammdaten!Q$19,Bewertung_Stammdaten!Q$20)))))))))</f>
        <v>1</v>
      </c>
      <c r="AE24" s="33">
        <f ca="1">IF(AB24&lt;Bewertung_Stammdaten!P$11,Bewertung_Stammdaten!O$11,IF(AB24&lt;Bewertung_Stammdaten!P$12,Bewertung_Stammdaten!O$12,IF(AB24&lt;Bewertung_Stammdaten!P$13,Bewertung_Stammdaten!O$13,IF(AB24&lt;Bewertung_Stammdaten!P$14,Bewertung_Stammdaten!O$14,IF(AB24&lt;Bewertung_Stammdaten!P$15,Bewertung_Stammdaten!O$15,IF(AB24&lt;Bewertung_Stammdaten!P$16,Bewertung_Stammdaten!O$16,IF(AB24&lt;Bewertung_Stammdaten!P$17,Bewertung_Stammdaten!O$17,IF(AB24&lt;Bewertung_Stammdaten!P$18,Bewertung_Stammdaten!O$18,IF(AB24&lt;Bewertung_Stammdaten!P$19,Bewertung_Stammdaten!O$19,Bewertung_Stammdaten!O$20)))))))))</f>
        <v>1</v>
      </c>
      <c r="AF24" s="44"/>
      <c r="AG24" s="14">
        <f ca="1">VLOOKUP(A24,Dividende_je_Aktie!A3:AM68,24,FALSE)</f>
        <v>0.53608333333333336</v>
      </c>
      <c r="AH24" s="14">
        <f>VLOOKUP(A24,Dividende_je_Aktie!A3:AM68,20,FALSE)</f>
        <v>0.57999999999999996</v>
      </c>
      <c r="AI24" s="12">
        <f ca="1">VLOOKUP(A24,Dividende_je_Aktie!A3:AM68,25,FALSE)</f>
        <v>-7.5718390804597635E-2</v>
      </c>
      <c r="AJ24" s="41">
        <f>VLOOKUP(A24,Dividende_je_Aktie!A3:AM68,39,FALSE)</f>
        <v>-0.65591397849462374</v>
      </c>
      <c r="AK24" s="16">
        <f t="shared" ca="1" si="6"/>
        <v>0.18445878136200713</v>
      </c>
      <c r="AL24" s="12">
        <f t="shared" ca="1" si="7"/>
        <v>-0.68196761834136699</v>
      </c>
      <c r="AM24" s="33">
        <f ca="1">IF(AI24&lt;Bewertung_Stammdaten!P$24,Bewertung_Stammdaten!O$24,IF(AI24&lt;Bewertung_Stammdaten!P$25,Bewertung_Stammdaten!O$25,IF(AI24&lt;Bewertung_Stammdaten!P$26,Bewertung_Stammdaten!O$26,IF(AI24&lt;Bewertung_Stammdaten!P$27,Bewertung_Stammdaten!O$27,IF(AI24&lt;Bewertung_Stammdaten!P$28,Bewertung_Stammdaten!O$28,IF(AI24&lt;Bewertung_Stammdaten!P$29,Bewertung_Stammdaten!O$29,IF(AI24&lt;Bewertung_Stammdaten!P$30,Bewertung_Stammdaten!O$30,IF(AI24&lt;Bewertung_Stammdaten!P$31,Bewertung_Stammdaten!O$31,IF(AI24&lt;Bewertung_Stammdaten!P$32,Bewertung_Stammdaten!O$32,Bewertung_Stammdaten!O$33)))))))))</f>
        <v>4</v>
      </c>
      <c r="AN24" s="33">
        <f>IF(AJ24&lt;Bewertung_Stammdaten!R$24,Bewertung_Stammdaten!Q$24,IF(AJ24&lt;Bewertung_Stammdaten!R$25,Bewertung_Stammdaten!Q$25,IF(AJ24&lt;Bewertung_Stammdaten!R$26,Bewertung_Stammdaten!Q$26,IF(AJ24&lt;Bewertung_Stammdaten!R$27,Bewertung_Stammdaten!Q$27,IF(AJ24&lt;Bewertung_Stammdaten!R$28,Bewertung_Stammdaten!Q$28,IF(AJ24&lt;Bewertung_Stammdaten!R$29,Bewertung_Stammdaten!Q$29,IF(AJ24&lt;Bewertung_Stammdaten!R$30,Bewertung_Stammdaten!Q$30,IF(AJ24&lt;Bewertung_Stammdaten!R$31,Bewertung_Stammdaten!Q$31,IF(AJ24&lt;Bewertung_Stammdaten!R$32,Bewertung_Stammdaten!Q$32,Bewertung_Stammdaten!Q$33)))))))))</f>
        <v>1</v>
      </c>
      <c r="AO24" s="33">
        <f ca="1">IF(AL24&lt;Bewertung_Stammdaten!T$24,Bewertung_Stammdaten!S$24,IF(AL24&lt;Bewertung_Stammdaten!T$25,Bewertung_Stammdaten!S$25,IF(AL24&lt;Bewertung_Stammdaten!T$26,Bewertung_Stammdaten!S$26,IF(AL24&lt;Bewertung_Stammdaten!T$27,Bewertung_Stammdaten!S$27,IF(AL24&lt;Bewertung_Stammdaten!T$28,Bewertung_Stammdaten!S$28,IF(AL24&lt;Bewertung_Stammdaten!T$29,Bewertung_Stammdaten!S$29,IF(AL24&lt;Bewertung_Stammdaten!T$30,Bewertung_Stammdaten!S$30,IF(AL24&lt;Bewertung_Stammdaten!T$31,Bewertung_Stammdaten!S$31,IF(AL24&lt;Bewertung_Stammdaten!T$32,Bewertung_Stammdaten!S$32,Bewertung_Stammdaten!S$33)))))))))</f>
        <v>1</v>
      </c>
      <c r="AP24" s="44"/>
      <c r="AQ24" s="12">
        <f ca="1">VLOOKUP(A24,Dividendenrendite!A3:R68,17,FALSE)</f>
        <v>6.4787272116943906E-2</v>
      </c>
      <c r="AR24" s="12">
        <f>VLOOKUP(A24,Dividendenrendite!A3:R68,16,FALSE)</f>
        <v>5.5547319260898349E-2</v>
      </c>
      <c r="AS24" s="12">
        <f ca="1">VLOOKUP(A24,Dividendenrendite!A3:R68,18,FALSE)</f>
        <v>0.16634381242858409</v>
      </c>
      <c r="AT24" s="33">
        <f ca="1">IF(AQ24&lt;Bewertung_Stammdaten!D$11,Bewertung_Stammdaten!C$11,IF(AQ24&lt;Bewertung_Stammdaten!D$12,Bewertung_Stammdaten!C$12,IF(AQ24&lt;Bewertung_Stammdaten!D$13,Bewertung_Stammdaten!C$13,IF(AQ24&lt;Bewertung_Stammdaten!D$14,Bewertung_Stammdaten!C$14,IF(AQ24&lt;Bewertung_Stammdaten!D$15,Bewertung_Stammdaten!C$15,IF(AQ24&lt;Bewertung_Stammdaten!D$16,Bewertung_Stammdaten!C$16,IF(AQ24&lt;Bewertung_Stammdaten!D$17,Bewertung_Stammdaten!C$17,IF(AQ24&lt;Bewertung_Stammdaten!D$18,Bewertung_Stammdaten!C$18,IF(AQ24&lt;Bewertung_Stammdaten!D$19,Bewertung_Stammdaten!C$19,Bewertung_Stammdaten!C$20)))))))))</f>
        <v>15</v>
      </c>
      <c r="AU24" s="33">
        <f>IF(AR24&lt;Bewertung_Stammdaten!T$11,Bewertung_Stammdaten!S$11,IF(AR24&lt;Bewertung_Stammdaten!T$12,Bewertung_Stammdaten!S$12,IF(AR24&lt;Bewertung_Stammdaten!T$13,Bewertung_Stammdaten!S$13,IF(AR24&lt;Bewertung_Stammdaten!T$14,Bewertung_Stammdaten!S$14,IF(AR24&lt;Bewertung_Stammdaten!T$15,Bewertung_Stammdaten!S$15,IF(AR24&lt;Bewertung_Stammdaten!T$16,Bewertung_Stammdaten!S$16,IF(AR24&lt;Bewertung_Stammdaten!T$17,Bewertung_Stammdaten!S$17,IF(AR24&lt;Bewertung_Stammdaten!T$18,Bewertung_Stammdaten!S$18,IF(AR24&lt;Bewertung_Stammdaten!T$19,Bewertung_Stammdaten!S$19,Bewertung_Stammdaten!S$20)))))))))</f>
        <v>10</v>
      </c>
      <c r="AV24" s="33">
        <f ca="1">IF(AS24&lt;Bewertung_Stammdaten!F$11,Bewertung_Stammdaten!E$11,IF(AS24&lt;Bewertung_Stammdaten!F$12,Bewertung_Stammdaten!E$12,IF(AS24&lt;Bewertung_Stammdaten!F$13,Bewertung_Stammdaten!E$13,IF(AS24&lt;Bewertung_Stammdaten!F$14,Bewertung_Stammdaten!E$14,IF(AS24&lt;Bewertung_Stammdaten!F$15,Bewertung_Stammdaten!E$15,IF(AS24&lt;Bewertung_Stammdaten!F$16,Bewertung_Stammdaten!E$16,IF(AS24&lt;Bewertung_Stammdaten!F$17,Bewertung_Stammdaten!E$17,IF(AS24&lt;Bewertung_Stammdaten!F$18,Bewertung_Stammdaten!E$18,IF(AS24&lt;Bewertung_Stammdaten!F$19,Bewertung_Stammdaten!E$19,Bewertung_Stammdaten!E$20)))))))))</f>
        <v>4.5</v>
      </c>
      <c r="AW24" s="44"/>
      <c r="AX24" s="12">
        <f>VLOOKUP(A24,Aktien_im_Umlauf_splitbereinigt!A3:Z68,26,FALSE)</f>
        <v>2.0605416887944816E-2</v>
      </c>
      <c r="AY24" s="12">
        <f>VLOOKUP(A24,Aktien_im_Umlauf_splitbereinigt!A3:Y68,24,FALSE)</f>
        <v>6.7186275915048332E-2</v>
      </c>
      <c r="AZ24" s="12">
        <f>VLOOKUP(A24,Aktien_im_Umlauf_splitbereinigt!A3:Y68,25,FALSE)</f>
        <v>-99.999989999999997</v>
      </c>
      <c r="BA24" s="42">
        <f>IF(AX24&lt;Bewertung_Stammdaten!J$24,Bewertung_Stammdaten!I$24,IF(AX24&lt;Bewertung_Stammdaten!J$25,Bewertung_Stammdaten!I$25,IF(AX24&lt;Bewertung_Stammdaten!J$26,Bewertung_Stammdaten!I$26,IF(AX24&lt;Bewertung_Stammdaten!J$27,Bewertung_Stammdaten!I$27,IF(AX24&lt;Bewertung_Stammdaten!J$28,Bewertung_Stammdaten!I$28,IF(AX24&lt;Bewertung_Stammdaten!J$29,Bewertung_Stammdaten!I$29,IF(AX24&lt;Bewertung_Stammdaten!J$30,Bewertung_Stammdaten!I$30,IF(AX24&lt;Bewertung_Stammdaten!J$31,Bewertung_Stammdaten!I$31,IF(AX24&lt;Bewertung_Stammdaten!J$32,Bewertung_Stammdaten!I$32,Bewertung_Stammdaten!I$33)))))))))</f>
        <v>1</v>
      </c>
      <c r="BB24" s="42">
        <f>IF(AY24&lt;Bewertung_Stammdaten!L$24,Bewertung_Stammdaten!K$24,IF(AY24&lt;Bewertung_Stammdaten!L$25,Bewertung_Stammdaten!K$25,IF(AY24&lt;Bewertung_Stammdaten!L$26,Bewertung_Stammdaten!K$26,IF(AY24&lt;Bewertung_Stammdaten!L$27,Bewertung_Stammdaten!K$27,IF(AY24&lt;Bewertung_Stammdaten!L$28,Bewertung_Stammdaten!K$28,IF(AY24&lt;Bewertung_Stammdaten!L$29,Bewertung_Stammdaten!K$29,IF(AY24&lt;Bewertung_Stammdaten!L$30,Bewertung_Stammdaten!K$30,IF(AY24&lt;Bewertung_Stammdaten!L$31,Bewertung_Stammdaten!K$31,IF(AY24&lt;Bewertung_Stammdaten!L$32,Bewertung_Stammdaten!K$32,Bewertung_Stammdaten!K$33)))))))))</f>
        <v>1</v>
      </c>
      <c r="BC24" s="42">
        <f>IF(AZ24&lt;Bewertung_Stammdaten!N$24,Bewertung_Stammdaten!M$24,IF(AZ24&lt;Bewertung_Stammdaten!N$25,Bewertung_Stammdaten!M$25,IF(AZ24&lt;Bewertung_Stammdaten!N$26,Bewertung_Stammdaten!M$26,IF(AZ24&lt;Bewertung_Stammdaten!N$27,Bewertung_Stammdaten!M$27,IF(AZ24&lt;Bewertung_Stammdaten!N$28,Bewertung_Stammdaten!M$28,IF(AZ24&lt;Bewertung_Stammdaten!N$29,Bewertung_Stammdaten!M$29,IF(AZ24&lt;Bewertung_Stammdaten!N$30,Bewertung_Stammdaten!M$30,IF(AZ24&lt;Bewertung_Stammdaten!N$31,Bewertung_Stammdaten!M$31,IF(AZ24&lt;Bewertung_Stammdaten!N$32,Bewertung_Stammdaten!M$32,Bewertung_Stammdaten!M$33)))))))))</f>
        <v>0.5</v>
      </c>
      <c r="BD24" s="44"/>
      <c r="BE24" s="12">
        <f ca="1">VLOOKUP(A24,Ausschüttungsquote!A3:X68,23,FALSE)</f>
        <v>0.63666012364062996</v>
      </c>
      <c r="BF24" s="12">
        <f>VLOOKUP(A24,Ausschüttungsquote!A3:X68,19,FALSE)</f>
        <v>0.71549751814542095</v>
      </c>
      <c r="BG24" s="12">
        <f ca="1">VLOOKUP(A24,Ausschüttungsquote!A3:X68,24,FALSE)</f>
        <v>-0.1101854199426695</v>
      </c>
      <c r="BH24" s="33">
        <f ca="1">IF(BE24&lt;Bewertung_Stammdaten!H$11,Bewertung_Stammdaten!G$11,IF(BE24&lt;Bewertung_Stammdaten!H$12,Bewertung_Stammdaten!G$12,IF(BE24&lt;Bewertung_Stammdaten!H$13,Bewertung_Stammdaten!G$13,IF(BE24&lt;Bewertung_Stammdaten!H$14,Bewertung_Stammdaten!G$14,IF(BE24&lt;Bewertung_Stammdaten!H$15,Bewertung_Stammdaten!G$15,IF(BE24&lt;Bewertung_Stammdaten!H$16,Bewertung_Stammdaten!G$16,IF(BE24&lt;Bewertung_Stammdaten!H$17,Bewertung_Stammdaten!G$17,IF(BE24&lt;Bewertung_Stammdaten!H$18,Bewertung_Stammdaten!G$18,IF(BE24&lt;Bewertung_Stammdaten!H$19,Bewertung_Stammdaten!G$19,Bewertung_Stammdaten!G$20)))))))))</f>
        <v>5</v>
      </c>
      <c r="BI24" s="42">
        <f>IF(BF24&lt;Bewertung_Stammdaten!B$24,Bewertung_Stammdaten!A$24,IF(BF24&lt;Bewertung_Stammdaten!B$25,Bewertung_Stammdaten!A$25,IF(BF24&lt;Bewertung_Stammdaten!B$26,Bewertung_Stammdaten!A$26,IF(BF24&lt;Bewertung_Stammdaten!B$27,Bewertung_Stammdaten!A$27,IF(BF24&lt;Bewertung_Stammdaten!B$28,Bewertung_Stammdaten!A$28,IF(BF24&lt;Bewertung_Stammdaten!B$29,Bewertung_Stammdaten!A$29,IF(BF24&lt;Bewertung_Stammdaten!B$30,Bewertung_Stammdaten!A$30,IF(BF24&lt;Bewertung_Stammdaten!B$31,Bewertung_Stammdaten!A$31,IF(BF24&lt;Bewertung_Stammdaten!B$32,Bewertung_Stammdaten!A$32,Bewertung_Stammdaten!A$33)))))))))</f>
        <v>3</v>
      </c>
      <c r="BJ24" s="33">
        <f ca="1">IF(BG24&lt;Bewertung_Stammdaten!J$11,Bewertung_Stammdaten!I$11,IF(BG24&lt;Bewertung_Stammdaten!J$12,Bewertung_Stammdaten!I$12,IF(BG24&lt;Bewertung_Stammdaten!J$13,Bewertung_Stammdaten!I$13,IF(BG24&lt;Bewertung_Stammdaten!J$14,Bewertung_Stammdaten!I$14,IF(BG24&lt;Bewertung_Stammdaten!J$15,Bewertung_Stammdaten!I$15,IF(BG24&lt;Bewertung_Stammdaten!J$16,Bewertung_Stammdaten!I$16,IF(BG24&lt;Bewertung_Stammdaten!J$17,Bewertung_Stammdaten!I$17,IF(BG24&lt;Bewertung_Stammdaten!J$18,Bewertung_Stammdaten!I$18,IF(BG24&lt;Bewertung_Stammdaten!J$19,Bewertung_Stammdaten!I$19,Bewertung_Stammdaten!I$20)))))))))</f>
        <v>8</v>
      </c>
    </row>
    <row r="25" spans="1:62" x14ac:dyDescent="0.25">
      <c r="A25" s="39" t="s">
        <v>44</v>
      </c>
      <c r="B25" s="39" t="s">
        <v>45</v>
      </c>
      <c r="C25" s="33">
        <f t="shared" ca="1" si="8"/>
        <v>102.5</v>
      </c>
      <c r="D25" s="44"/>
      <c r="E25" s="11">
        <f ca="1">VLOOKUP(A25,KGV!A3:R68,17,FALSE)</f>
        <v>10.485119909705912</v>
      </c>
      <c r="F25" s="11">
        <f>VLOOKUP(A25,KGV!A3:R68,16,FALSE)</f>
        <v>8.4454603992582609</v>
      </c>
      <c r="G25" s="12">
        <f ca="1">VLOOKUP(A25,KGV!A3:R68,18,FALSE)</f>
        <v>0.24150957011494456</v>
      </c>
      <c r="H25" s="16">
        <f t="shared" ca="1" si="0"/>
        <v>99</v>
      </c>
      <c r="I25" s="12">
        <f t="shared" ca="1" si="1"/>
        <v>10.722273898613611</v>
      </c>
      <c r="J25" s="33">
        <f ca="1">IF(G25&lt;Bewertung_Stammdaten!B$11,Bewertung_Stammdaten!A$11,IF(G25&lt;Bewertung_Stammdaten!B$12,Bewertung_Stammdaten!A$12,IF(G25&lt;Bewertung_Stammdaten!B$13,Bewertung_Stammdaten!A$13,IF(G25&lt;Bewertung_Stammdaten!B$14,Bewertung_Stammdaten!A$14,IF(G25&lt;Bewertung_Stammdaten!B$15,Bewertung_Stammdaten!A$15,IF(G25&lt;Bewertung_Stammdaten!B$16,Bewertung_Stammdaten!A$16,IF(G25&lt;Bewertung_Stammdaten!B$17,Bewertung_Stammdaten!A$17,IF(G25&lt;Bewertung_Stammdaten!B$18,Bewertung_Stammdaten!A$18,IF(G25&lt;Bewertung_Stammdaten!B$19,Bewertung_Stammdaten!A$19,Bewertung_Stammdaten!A$20)))))))))</f>
        <v>6</v>
      </c>
      <c r="K25" s="33">
        <f ca="1">IF(I25&lt;Bewertung_Stammdaten!N$11,Bewertung_Stammdaten!M$11,IF(I25&lt;Bewertung_Stammdaten!N$12,Bewertung_Stammdaten!M$12,IF(I25&lt;Bewertung_Stammdaten!N$13,Bewertung_Stammdaten!M$13,IF(I25&lt;Bewertung_Stammdaten!N$14,Bewertung_Stammdaten!M$14,IF(I25&lt;Bewertung_Stammdaten!N$15,Bewertung_Stammdaten!M$15,IF(I25&lt;Bewertung_Stammdaten!N$16,Bewertung_Stammdaten!M$16,IF(I25&lt;Bewertung_Stammdaten!N$17,Bewertung_Stammdaten!M$17,IF(I25&lt;Bewertung_Stammdaten!N$18,Bewertung_Stammdaten!M$18,IF(I25&lt;Bewertung_Stammdaten!N$19,Bewertung_Stammdaten!M$19,Bewertung_Stammdaten!M$20)))))))))</f>
        <v>1.5</v>
      </c>
      <c r="L25" s="44"/>
      <c r="M25" s="11">
        <f ca="1">VLOOKUP(A25,Buchwert_je_Aktie!A3:AK68,23,FALSE)</f>
        <v>28.046111111111113</v>
      </c>
      <c r="N25" s="11">
        <f>VLOOKUP(A25,Buchwert_je_Aktie!A3:AK68,19,FALSE)</f>
        <v>30.328749999999999</v>
      </c>
      <c r="O25" s="12">
        <f ca="1">VLOOKUP(A25,Buchwert_je_Aktie!A3:AK68,24,FALSE)</f>
        <v>-7.526320368920203E-2</v>
      </c>
      <c r="P25" s="12">
        <f>VLOOKUP(A25,Buchwert_je_Aktie!A3:AK68,37,FALSE)</f>
        <v>-9.1919495343947055E-2</v>
      </c>
      <c r="Q25" s="16">
        <f t="shared" ca="1" si="2"/>
        <v>25.468126731417513</v>
      </c>
      <c r="R25" s="12">
        <f t="shared" ca="1" si="3"/>
        <v>-0.16026454333206896</v>
      </c>
      <c r="S25" s="53">
        <f ca="1">IF(O25&lt;Bewertung_Stammdaten!D$24,Bewertung_Stammdaten!C$24,IF(O25&lt;Bewertung_Stammdaten!D$25,Bewertung_Stammdaten!C$25,IF(O25&lt;Bewertung_Stammdaten!D$26,Bewertung_Stammdaten!C$26,IF(O25&lt;Bewertung_Stammdaten!D$27,Bewertung_Stammdaten!C$27,IF(O25&lt;Bewertung_Stammdaten!D$28,Bewertung_Stammdaten!C$28,IF(O25&lt;Bewertung_Stammdaten!D$29,Bewertung_Stammdaten!C$29,IF(O25&lt;Bewertung_Stammdaten!D$30,Bewertung_Stammdaten!C$30,IF(O25&lt;Bewertung_Stammdaten!D$31,Bewertung_Stammdaten!C$31,IF(O25&lt;Bewertung_Stammdaten!D$32,Bewertung_Stammdaten!C$32,Bewertung_Stammdaten!C$33)))))))))</f>
        <v>3</v>
      </c>
      <c r="T25" s="53">
        <f>IF(P25&lt;Bewertung_Stammdaten!F$24,Bewertung_Stammdaten!E$24,IF(P25&lt;Bewertung_Stammdaten!F$25,Bewertung_Stammdaten!E$25,IF(P25&lt;Bewertung_Stammdaten!F$26,Bewertung_Stammdaten!E$26,IF(P25&lt;Bewertung_Stammdaten!F$27,Bewertung_Stammdaten!E$27,IF(P25&lt;Bewertung_Stammdaten!F$28,Bewertung_Stammdaten!E$28,IF(P25&lt;Bewertung_Stammdaten!F$29,Bewertung_Stammdaten!E$29,IF(P25&lt;Bewertung_Stammdaten!F$30,Bewertung_Stammdaten!E$30,IF(P25&lt;Bewertung_Stammdaten!F$31,Bewertung_Stammdaten!E$31,IF(P25&lt;Bewertung_Stammdaten!F$32,Bewertung_Stammdaten!E$32,Bewertung_Stammdaten!E$33)))))))))</f>
        <v>9</v>
      </c>
      <c r="U25" s="53">
        <f ca="1">IF(R25&lt;Bewertung_Stammdaten!H$24,Bewertung_Stammdaten!G$24,IF(R25&lt;Bewertung_Stammdaten!H$25,Bewertung_Stammdaten!G$25,IF(R25&lt;Bewertung_Stammdaten!H$26,Bewertung_Stammdaten!G$26,IF(R25&lt;Bewertung_Stammdaten!H$27,Bewertung_Stammdaten!G$27,IF(R25&lt;Bewertung_Stammdaten!H$28,Bewertung_Stammdaten!G$28,IF(R25&lt;Bewertung_Stammdaten!H$29,Bewertung_Stammdaten!G$29,IF(R25&lt;Bewertung_Stammdaten!H$30,Bewertung_Stammdaten!G$30,IF(R25&lt;Bewertung_Stammdaten!H$31,Bewertung_Stammdaten!G$31,IF(R25&lt;Bewertung_Stammdaten!H$32,Bewertung_Stammdaten!G$32,Bewertung_Stammdaten!G$33)))))))))</f>
        <v>1</v>
      </c>
      <c r="V25" s="44"/>
      <c r="W25" s="14">
        <f ca="1">VLOOKUP(A25,Ergebnis_je_Aktie_verwässert!A3:AK68,23,FALSE)</f>
        <v>3.9500555555555557</v>
      </c>
      <c r="X25" s="14">
        <f>VLOOKUP(A25,Ergebnis_je_Aktie_verwässert!A3:AK68,19,FALSE)</f>
        <v>3.7015384615384619</v>
      </c>
      <c r="Y25" s="12">
        <f ca="1">VLOOKUP(A25,Ergebnis_je_Aktie_verwässert!A3:AK68,24,FALSE)</f>
        <v>6.7138865798466618E-2</v>
      </c>
      <c r="Z25" s="41">
        <f>VLOOKUP(A25,Ergebnis_je_Aktie_verwässert!A3:AK68,37,FALSE)</f>
        <v>-1.5331125827814569</v>
      </c>
      <c r="AA25" s="16">
        <f t="shared" ca="1" si="4"/>
        <v>-2.1058243193524651</v>
      </c>
      <c r="AB25" s="12">
        <f t="shared" ca="1" si="5"/>
        <v>-1.5689051569322952</v>
      </c>
      <c r="AC25" s="33">
        <f ca="1">IF(Y25&lt;Bewertung_Stammdaten!L$11,Bewertung_Stammdaten!K$11,IF(Y25&lt;Bewertung_Stammdaten!L$12,Bewertung_Stammdaten!K$12,IF(Y25&lt;Bewertung_Stammdaten!L$13,Bewertung_Stammdaten!K$13,IF(Y25&lt;Bewertung_Stammdaten!L$14,Bewertung_Stammdaten!K$14,IF(Y25&lt;Bewertung_Stammdaten!L$15,Bewertung_Stammdaten!K$15,IF(Y25&lt;Bewertung_Stammdaten!L$16,Bewertung_Stammdaten!K$16,IF(Y25&lt;Bewertung_Stammdaten!L$17,Bewertung_Stammdaten!K$17,IF(Y25&lt;Bewertung_Stammdaten!L$18,Bewertung_Stammdaten!K$18,IF(Y25&lt;Bewertung_Stammdaten!L$19,Bewertung_Stammdaten!K$19,Bewertung_Stammdaten!K$20)))))))))</f>
        <v>6</v>
      </c>
      <c r="AD25" s="33">
        <f>IF(Z25&lt;Bewertung_Stammdaten!R$11,Bewertung_Stammdaten!Q$11,IF(Z25&lt;Bewertung_Stammdaten!R$12,Bewertung_Stammdaten!Q$12,IF(Z25&lt;Bewertung_Stammdaten!R$13,Bewertung_Stammdaten!Q$13,IF(Z25&lt;Bewertung_Stammdaten!R$14,Bewertung_Stammdaten!Q$14,IF(Z25&lt;Bewertung_Stammdaten!R$15,Bewertung_Stammdaten!Q$15,IF(Z25&lt;Bewertung_Stammdaten!R$16,Bewertung_Stammdaten!Q$16,IF(Z25&lt;Bewertung_Stammdaten!R$17,Bewertung_Stammdaten!Q$17,IF(Z25&lt;Bewertung_Stammdaten!R$18,Bewertung_Stammdaten!Q$18,IF(Z25&lt;Bewertung_Stammdaten!R$19,Bewertung_Stammdaten!Q$19,Bewertung_Stammdaten!Q$20)))))))))</f>
        <v>1</v>
      </c>
      <c r="AE25" s="33">
        <f ca="1">IF(AB25&lt;Bewertung_Stammdaten!P$11,Bewertung_Stammdaten!O$11,IF(AB25&lt;Bewertung_Stammdaten!P$12,Bewertung_Stammdaten!O$12,IF(AB25&lt;Bewertung_Stammdaten!P$13,Bewertung_Stammdaten!O$13,IF(AB25&lt;Bewertung_Stammdaten!P$14,Bewertung_Stammdaten!O$14,IF(AB25&lt;Bewertung_Stammdaten!P$15,Bewertung_Stammdaten!O$15,IF(AB25&lt;Bewertung_Stammdaten!P$16,Bewertung_Stammdaten!O$16,IF(AB25&lt;Bewertung_Stammdaten!P$17,Bewertung_Stammdaten!O$17,IF(AB25&lt;Bewertung_Stammdaten!P$18,Bewertung_Stammdaten!O$18,IF(AB25&lt;Bewertung_Stammdaten!P$19,Bewertung_Stammdaten!O$19,Bewertung_Stammdaten!O$20)))))))))</f>
        <v>1</v>
      </c>
      <c r="AF25" s="44"/>
      <c r="AG25" s="14">
        <f ca="1">VLOOKUP(A25,Dividende_je_Aktie!A3:AM68,24,FALSE)</f>
        <v>2.3524444444444441</v>
      </c>
      <c r="AH25" s="14">
        <f>VLOOKUP(A25,Dividende_je_Aktie!A3:AM68,20,FALSE)</f>
        <v>1.7864285714285715</v>
      </c>
      <c r="AI25" s="12">
        <f ca="1">VLOOKUP(A25,Dividende_je_Aktie!A3:AM68,25,FALSE)</f>
        <v>0.31684215202807753</v>
      </c>
      <c r="AJ25" s="41">
        <f>VLOOKUP(A25,Dividende_je_Aktie!A3:AM68,39,FALSE)</f>
        <v>-0.25735294117647067</v>
      </c>
      <c r="AK25" s="16">
        <f t="shared" ca="1" si="6"/>
        <v>1.7470359477124178</v>
      </c>
      <c r="AL25" s="12">
        <f t="shared" ca="1" si="7"/>
        <v>-2.2051048861501443E-2</v>
      </c>
      <c r="AM25" s="33">
        <f ca="1">IF(AI25&lt;Bewertung_Stammdaten!P$24,Bewertung_Stammdaten!O$24,IF(AI25&lt;Bewertung_Stammdaten!P$25,Bewertung_Stammdaten!O$25,IF(AI25&lt;Bewertung_Stammdaten!P$26,Bewertung_Stammdaten!O$26,IF(AI25&lt;Bewertung_Stammdaten!P$27,Bewertung_Stammdaten!O$27,IF(AI25&lt;Bewertung_Stammdaten!P$28,Bewertung_Stammdaten!O$28,IF(AI25&lt;Bewertung_Stammdaten!P$29,Bewertung_Stammdaten!O$29,IF(AI25&lt;Bewertung_Stammdaten!P$30,Bewertung_Stammdaten!O$30,IF(AI25&lt;Bewertung_Stammdaten!P$31,Bewertung_Stammdaten!O$31,IF(AI25&lt;Bewertung_Stammdaten!P$32,Bewertung_Stammdaten!O$32,Bewertung_Stammdaten!O$33)))))))))</f>
        <v>12</v>
      </c>
      <c r="AN25" s="33">
        <f>IF(AJ25&lt;Bewertung_Stammdaten!R$24,Bewertung_Stammdaten!Q$24,IF(AJ25&lt;Bewertung_Stammdaten!R$25,Bewertung_Stammdaten!Q$25,IF(AJ25&lt;Bewertung_Stammdaten!R$26,Bewertung_Stammdaten!Q$26,IF(AJ25&lt;Bewertung_Stammdaten!R$27,Bewertung_Stammdaten!Q$27,IF(AJ25&lt;Bewertung_Stammdaten!R$28,Bewertung_Stammdaten!Q$28,IF(AJ25&lt;Bewertung_Stammdaten!R$29,Bewertung_Stammdaten!Q$29,IF(AJ25&lt;Bewertung_Stammdaten!R$30,Bewertung_Stammdaten!Q$30,IF(AJ25&lt;Bewertung_Stammdaten!R$31,Bewertung_Stammdaten!Q$31,IF(AJ25&lt;Bewertung_Stammdaten!R$32,Bewertung_Stammdaten!Q$32,Bewertung_Stammdaten!Q$33)))))))))</f>
        <v>5</v>
      </c>
      <c r="AO25" s="33">
        <f ca="1">IF(AL25&lt;Bewertung_Stammdaten!T$24,Bewertung_Stammdaten!S$24,IF(AL25&lt;Bewertung_Stammdaten!T$25,Bewertung_Stammdaten!S$25,IF(AL25&lt;Bewertung_Stammdaten!T$26,Bewertung_Stammdaten!S$26,IF(AL25&lt;Bewertung_Stammdaten!T$27,Bewertung_Stammdaten!S$27,IF(AL25&lt;Bewertung_Stammdaten!T$28,Bewertung_Stammdaten!S$28,IF(AL25&lt;Bewertung_Stammdaten!T$29,Bewertung_Stammdaten!S$29,IF(AL25&lt;Bewertung_Stammdaten!T$30,Bewertung_Stammdaten!S$30,IF(AL25&lt;Bewertung_Stammdaten!T$31,Bewertung_Stammdaten!S$31,IF(AL25&lt;Bewertung_Stammdaten!T$32,Bewertung_Stammdaten!S$32,Bewertung_Stammdaten!S$33)))))))))</f>
        <v>4</v>
      </c>
      <c r="AP25" s="44"/>
      <c r="AQ25" s="12">
        <f ca="1">VLOOKUP(A25,Dividendenrendite!A3:R68,17,FALSE)</f>
        <v>5.6799272158373423E-2</v>
      </c>
      <c r="AR25" s="12">
        <f>VLOOKUP(A25,Dividendenrendite!A3:R68,16,FALSE)</f>
        <v>3.9161332325667764E-2</v>
      </c>
      <c r="AS25" s="12">
        <f ca="1">VLOOKUP(A25,Dividendenrendite!A3:R68,18,FALSE)</f>
        <v>0.45039172023126262</v>
      </c>
      <c r="AT25" s="33">
        <f ca="1">IF(AQ25&lt;Bewertung_Stammdaten!D$11,Bewertung_Stammdaten!C$11,IF(AQ25&lt;Bewertung_Stammdaten!D$12,Bewertung_Stammdaten!C$12,IF(AQ25&lt;Bewertung_Stammdaten!D$13,Bewertung_Stammdaten!C$13,IF(AQ25&lt;Bewertung_Stammdaten!D$14,Bewertung_Stammdaten!C$14,IF(AQ25&lt;Bewertung_Stammdaten!D$15,Bewertung_Stammdaten!C$15,IF(AQ25&lt;Bewertung_Stammdaten!D$16,Bewertung_Stammdaten!C$16,IF(AQ25&lt;Bewertung_Stammdaten!D$17,Bewertung_Stammdaten!C$17,IF(AQ25&lt;Bewertung_Stammdaten!D$18,Bewertung_Stammdaten!C$18,IF(AQ25&lt;Bewertung_Stammdaten!D$19,Bewertung_Stammdaten!C$19,Bewertung_Stammdaten!C$20)))))))))</f>
        <v>15</v>
      </c>
      <c r="AU25" s="33">
        <f>IF(AR25&lt;Bewertung_Stammdaten!T$11,Bewertung_Stammdaten!S$11,IF(AR25&lt;Bewertung_Stammdaten!T$12,Bewertung_Stammdaten!S$12,IF(AR25&lt;Bewertung_Stammdaten!T$13,Bewertung_Stammdaten!S$13,IF(AR25&lt;Bewertung_Stammdaten!T$14,Bewertung_Stammdaten!S$14,IF(AR25&lt;Bewertung_Stammdaten!T$15,Bewertung_Stammdaten!S$15,IF(AR25&lt;Bewertung_Stammdaten!T$16,Bewertung_Stammdaten!S$16,IF(AR25&lt;Bewertung_Stammdaten!T$17,Bewertung_Stammdaten!S$17,IF(AR25&lt;Bewertung_Stammdaten!T$18,Bewertung_Stammdaten!S$18,IF(AR25&lt;Bewertung_Stammdaten!T$19,Bewertung_Stammdaten!S$19,Bewertung_Stammdaten!S$20)))))))))</f>
        <v>8</v>
      </c>
      <c r="AV25" s="33">
        <f ca="1">IF(AS25&lt;Bewertung_Stammdaten!F$11,Bewertung_Stammdaten!E$11,IF(AS25&lt;Bewertung_Stammdaten!F$12,Bewertung_Stammdaten!E$12,IF(AS25&lt;Bewertung_Stammdaten!F$13,Bewertung_Stammdaten!E$13,IF(AS25&lt;Bewertung_Stammdaten!F$14,Bewertung_Stammdaten!E$14,IF(AS25&lt;Bewertung_Stammdaten!F$15,Bewertung_Stammdaten!E$15,IF(AS25&lt;Bewertung_Stammdaten!F$16,Bewertung_Stammdaten!E$16,IF(AS25&lt;Bewertung_Stammdaten!F$17,Bewertung_Stammdaten!E$17,IF(AS25&lt;Bewertung_Stammdaten!F$18,Bewertung_Stammdaten!E$18,IF(AS25&lt;Bewertung_Stammdaten!F$19,Bewertung_Stammdaten!E$19,Bewertung_Stammdaten!E$20)))))))))</f>
        <v>5</v>
      </c>
      <c r="AW25" s="44"/>
      <c r="AX25" s="12">
        <f>VLOOKUP(A25,Aktien_im_Umlauf_splitbereinigt!A3:Z68,26,FALSE)</f>
        <v>1.0828370330264736E-3</v>
      </c>
      <c r="AY25" s="12">
        <f>VLOOKUP(A25,Aktien_im_Umlauf_splitbereinigt!A3:Y68,24,FALSE)</f>
        <v>-1.4327784065483962E-2</v>
      </c>
      <c r="AZ25" s="12">
        <f>VLOOKUP(A25,Aktien_im_Umlauf_splitbereinigt!A3:Y68,25,FALSE)</f>
        <v>-1.0755760296272932</v>
      </c>
      <c r="BA25" s="42">
        <f>IF(AX25&lt;Bewertung_Stammdaten!J$24,Bewertung_Stammdaten!I$24,IF(AX25&lt;Bewertung_Stammdaten!J$25,Bewertung_Stammdaten!I$25,IF(AX25&lt;Bewertung_Stammdaten!J$26,Bewertung_Stammdaten!I$26,IF(AX25&lt;Bewertung_Stammdaten!J$27,Bewertung_Stammdaten!I$27,IF(AX25&lt;Bewertung_Stammdaten!J$28,Bewertung_Stammdaten!I$28,IF(AX25&lt;Bewertung_Stammdaten!J$29,Bewertung_Stammdaten!I$29,IF(AX25&lt;Bewertung_Stammdaten!J$30,Bewertung_Stammdaten!I$30,IF(AX25&lt;Bewertung_Stammdaten!J$31,Bewertung_Stammdaten!I$31,IF(AX25&lt;Bewertung_Stammdaten!J$32,Bewertung_Stammdaten!I$32,Bewertung_Stammdaten!I$33)))))))))</f>
        <v>2</v>
      </c>
      <c r="BB25" s="42">
        <f>IF(AY25&lt;Bewertung_Stammdaten!L$24,Bewertung_Stammdaten!K$24,IF(AY25&lt;Bewertung_Stammdaten!L$25,Bewertung_Stammdaten!K$25,IF(AY25&lt;Bewertung_Stammdaten!L$26,Bewertung_Stammdaten!K$26,IF(AY25&lt;Bewertung_Stammdaten!L$27,Bewertung_Stammdaten!K$27,IF(AY25&lt;Bewertung_Stammdaten!L$28,Bewertung_Stammdaten!K$28,IF(AY25&lt;Bewertung_Stammdaten!L$29,Bewertung_Stammdaten!K$29,IF(AY25&lt;Bewertung_Stammdaten!L$30,Bewertung_Stammdaten!K$30,IF(AY25&lt;Bewertung_Stammdaten!L$31,Bewertung_Stammdaten!K$31,IF(AY25&lt;Bewertung_Stammdaten!L$32,Bewertung_Stammdaten!K$32,Bewertung_Stammdaten!K$33)))))))))</f>
        <v>5</v>
      </c>
      <c r="BC25" s="42">
        <f>IF(AZ25&lt;Bewertung_Stammdaten!N$24,Bewertung_Stammdaten!M$24,IF(AZ25&lt;Bewertung_Stammdaten!N$25,Bewertung_Stammdaten!M$25,IF(AZ25&lt;Bewertung_Stammdaten!N$26,Bewertung_Stammdaten!M$26,IF(AZ25&lt;Bewertung_Stammdaten!N$27,Bewertung_Stammdaten!M$27,IF(AZ25&lt;Bewertung_Stammdaten!N$28,Bewertung_Stammdaten!M$28,IF(AZ25&lt;Bewertung_Stammdaten!N$29,Bewertung_Stammdaten!M$29,IF(AZ25&lt;Bewertung_Stammdaten!N$30,Bewertung_Stammdaten!M$30,IF(AZ25&lt;Bewertung_Stammdaten!N$31,Bewertung_Stammdaten!M$31,IF(AZ25&lt;Bewertung_Stammdaten!N$32,Bewertung_Stammdaten!M$32,Bewertung_Stammdaten!M$33)))))))))</f>
        <v>1</v>
      </c>
      <c r="BD25" s="44"/>
      <c r="BE25" s="12">
        <f ca="1">VLOOKUP(A25,Ausschüttungsquote!A3:X68,23,FALSE)</f>
        <v>0.59749362392766059</v>
      </c>
      <c r="BF25" s="12">
        <f>VLOOKUP(A25,Ausschüttungsquote!A3:X68,19,FALSE)</f>
        <v>1.2457061906140605</v>
      </c>
      <c r="BG25" s="12">
        <f ca="1">VLOOKUP(A25,Ausschüttungsquote!A3:X68,24,FALSE)</f>
        <v>-0.52035750610412312</v>
      </c>
      <c r="BH25" s="33">
        <f ca="1">IF(BE25&lt;Bewertung_Stammdaten!H$11,Bewertung_Stammdaten!G$11,IF(BE25&lt;Bewertung_Stammdaten!H$12,Bewertung_Stammdaten!G$12,IF(BE25&lt;Bewertung_Stammdaten!H$13,Bewertung_Stammdaten!G$13,IF(BE25&lt;Bewertung_Stammdaten!H$14,Bewertung_Stammdaten!G$14,IF(BE25&lt;Bewertung_Stammdaten!H$15,Bewertung_Stammdaten!G$15,IF(BE25&lt;Bewertung_Stammdaten!H$16,Bewertung_Stammdaten!G$16,IF(BE25&lt;Bewertung_Stammdaten!H$17,Bewertung_Stammdaten!G$17,IF(BE25&lt;Bewertung_Stammdaten!H$18,Bewertung_Stammdaten!G$18,IF(BE25&lt;Bewertung_Stammdaten!H$19,Bewertung_Stammdaten!G$19,Bewertung_Stammdaten!G$20)))))))))</f>
        <v>6</v>
      </c>
      <c r="BI25" s="42">
        <f>IF(BF25&lt;Bewertung_Stammdaten!B$24,Bewertung_Stammdaten!A$24,IF(BF25&lt;Bewertung_Stammdaten!B$25,Bewertung_Stammdaten!A$25,IF(BF25&lt;Bewertung_Stammdaten!B$26,Bewertung_Stammdaten!A$26,IF(BF25&lt;Bewertung_Stammdaten!B$27,Bewertung_Stammdaten!A$27,IF(BF25&lt;Bewertung_Stammdaten!B$28,Bewertung_Stammdaten!A$28,IF(BF25&lt;Bewertung_Stammdaten!B$29,Bewertung_Stammdaten!A$29,IF(BF25&lt;Bewertung_Stammdaten!B$30,Bewertung_Stammdaten!A$30,IF(BF25&lt;Bewertung_Stammdaten!B$31,Bewertung_Stammdaten!A$31,IF(BF25&lt;Bewertung_Stammdaten!B$32,Bewertung_Stammdaten!A$32,Bewertung_Stammdaten!A$33)))))))))</f>
        <v>1</v>
      </c>
      <c r="BJ25" s="33">
        <f ca="1">IF(BG25&lt;Bewertung_Stammdaten!J$11,Bewertung_Stammdaten!I$11,IF(BG25&lt;Bewertung_Stammdaten!J$12,Bewertung_Stammdaten!I$12,IF(BG25&lt;Bewertung_Stammdaten!J$13,Bewertung_Stammdaten!I$13,IF(BG25&lt;Bewertung_Stammdaten!J$14,Bewertung_Stammdaten!I$14,IF(BG25&lt;Bewertung_Stammdaten!J$15,Bewertung_Stammdaten!I$15,IF(BG25&lt;Bewertung_Stammdaten!J$16,Bewertung_Stammdaten!I$16,IF(BG25&lt;Bewertung_Stammdaten!J$17,Bewertung_Stammdaten!I$17,IF(BG25&lt;Bewertung_Stammdaten!J$18,Bewertung_Stammdaten!I$18,IF(BG25&lt;Bewertung_Stammdaten!J$19,Bewertung_Stammdaten!I$19,Bewertung_Stammdaten!I$20)))))))))</f>
        <v>10</v>
      </c>
    </row>
    <row r="26" spans="1:62" x14ac:dyDescent="0.25">
      <c r="A26" s="39" t="s">
        <v>46</v>
      </c>
      <c r="B26" s="39" t="s">
        <v>47</v>
      </c>
      <c r="C26" s="33">
        <f t="shared" ca="1" si="8"/>
        <v>90.5</v>
      </c>
      <c r="D26" s="44"/>
      <c r="E26" s="11">
        <f ca="1">VLOOKUP(A26,KGV!A3:R68,17,FALSE)</f>
        <v>15.869434253235148</v>
      </c>
      <c r="F26" s="11">
        <f>VLOOKUP(A26,KGV!A3:R68,16,FALSE)</f>
        <v>10.030932641012573</v>
      </c>
      <c r="G26" s="12">
        <f ca="1">VLOOKUP(A26,KGV!A3:R68,18,FALSE)</f>
        <v>0.58204972769443386</v>
      </c>
      <c r="H26" s="16">
        <f t="shared" ca="1" si="0"/>
        <v>99</v>
      </c>
      <c r="I26" s="12">
        <f t="shared" ca="1" si="1"/>
        <v>8.8694711192883098</v>
      </c>
      <c r="J26" s="33">
        <f ca="1">IF(G26&lt;Bewertung_Stammdaten!B$11,Bewertung_Stammdaten!A$11,IF(G26&lt;Bewertung_Stammdaten!B$12,Bewertung_Stammdaten!A$12,IF(G26&lt;Bewertung_Stammdaten!B$13,Bewertung_Stammdaten!A$13,IF(G26&lt;Bewertung_Stammdaten!B$14,Bewertung_Stammdaten!A$14,IF(G26&lt;Bewertung_Stammdaten!B$15,Bewertung_Stammdaten!A$15,IF(G26&lt;Bewertung_Stammdaten!B$16,Bewertung_Stammdaten!A$16,IF(G26&lt;Bewertung_Stammdaten!B$17,Bewertung_Stammdaten!A$17,IF(G26&lt;Bewertung_Stammdaten!B$18,Bewertung_Stammdaten!A$18,IF(G26&lt;Bewertung_Stammdaten!B$19,Bewertung_Stammdaten!A$19,Bewertung_Stammdaten!A$20)))))))))</f>
        <v>3</v>
      </c>
      <c r="K26" s="33">
        <f ca="1">IF(I26&lt;Bewertung_Stammdaten!N$11,Bewertung_Stammdaten!M$11,IF(I26&lt;Bewertung_Stammdaten!N$12,Bewertung_Stammdaten!M$12,IF(I26&lt;Bewertung_Stammdaten!N$13,Bewertung_Stammdaten!M$13,IF(I26&lt;Bewertung_Stammdaten!N$14,Bewertung_Stammdaten!M$14,IF(I26&lt;Bewertung_Stammdaten!N$15,Bewertung_Stammdaten!M$15,IF(I26&lt;Bewertung_Stammdaten!N$16,Bewertung_Stammdaten!M$16,IF(I26&lt;Bewertung_Stammdaten!N$17,Bewertung_Stammdaten!M$17,IF(I26&lt;Bewertung_Stammdaten!N$18,Bewertung_Stammdaten!M$18,IF(I26&lt;Bewertung_Stammdaten!N$19,Bewertung_Stammdaten!M$19,Bewertung_Stammdaten!M$20)))))))))</f>
        <v>1.5</v>
      </c>
      <c r="L26" s="44"/>
      <c r="M26" s="11">
        <f ca="1">VLOOKUP(A26,Buchwert_je_Aktie!A3:AK68,23,FALSE)</f>
        <v>6.1363611111111114</v>
      </c>
      <c r="N26" s="11">
        <f>VLOOKUP(A26,Buchwert_je_Aktie!A3:AK68,19,FALSE)</f>
        <v>5.53</v>
      </c>
      <c r="O26" s="12">
        <f ca="1">VLOOKUP(A26,Buchwert_je_Aktie!A3:AK68,24,FALSE)</f>
        <v>0.10964938718103268</v>
      </c>
      <c r="P26" s="12">
        <f>VLOOKUP(A26,Buchwert_je_Aktie!A3:AK68,37,FALSE)</f>
        <v>-0.11942446043165467</v>
      </c>
      <c r="Q26" s="16">
        <f t="shared" ca="1" si="2"/>
        <v>5.4035294964028777</v>
      </c>
      <c r="R26" s="12">
        <f t="shared" ca="1" si="3"/>
        <v>-2.2869892151378357E-2</v>
      </c>
      <c r="S26" s="53">
        <f ca="1">IF(O26&lt;Bewertung_Stammdaten!D$24,Bewertung_Stammdaten!C$24,IF(O26&lt;Bewertung_Stammdaten!D$25,Bewertung_Stammdaten!C$25,IF(O26&lt;Bewertung_Stammdaten!D$26,Bewertung_Stammdaten!C$26,IF(O26&lt;Bewertung_Stammdaten!D$27,Bewertung_Stammdaten!C$27,IF(O26&lt;Bewertung_Stammdaten!D$28,Bewertung_Stammdaten!C$28,IF(O26&lt;Bewertung_Stammdaten!D$29,Bewertung_Stammdaten!C$29,IF(O26&lt;Bewertung_Stammdaten!D$30,Bewertung_Stammdaten!C$30,IF(O26&lt;Bewertung_Stammdaten!D$31,Bewertung_Stammdaten!C$31,IF(O26&lt;Bewertung_Stammdaten!D$32,Bewertung_Stammdaten!C$32,Bewertung_Stammdaten!C$33)))))))))</f>
        <v>6</v>
      </c>
      <c r="T26" s="53">
        <f>IF(P26&lt;Bewertung_Stammdaten!F$24,Bewertung_Stammdaten!E$24,IF(P26&lt;Bewertung_Stammdaten!F$25,Bewertung_Stammdaten!E$25,IF(P26&lt;Bewertung_Stammdaten!F$26,Bewertung_Stammdaten!E$26,IF(P26&lt;Bewertung_Stammdaten!F$27,Bewertung_Stammdaten!E$27,IF(P26&lt;Bewertung_Stammdaten!F$28,Bewertung_Stammdaten!E$28,IF(P26&lt;Bewertung_Stammdaten!F$29,Bewertung_Stammdaten!E$29,IF(P26&lt;Bewertung_Stammdaten!F$30,Bewertung_Stammdaten!E$30,IF(P26&lt;Bewertung_Stammdaten!F$31,Bewertung_Stammdaten!E$31,IF(P26&lt;Bewertung_Stammdaten!F$32,Bewertung_Stammdaten!E$32,Bewertung_Stammdaten!E$33)))))))))</f>
        <v>7.5</v>
      </c>
      <c r="U26" s="53">
        <f ca="1">IF(R26&lt;Bewertung_Stammdaten!H$24,Bewertung_Stammdaten!G$24,IF(R26&lt;Bewertung_Stammdaten!H$25,Bewertung_Stammdaten!G$25,IF(R26&lt;Bewertung_Stammdaten!H$26,Bewertung_Stammdaten!G$26,IF(R26&lt;Bewertung_Stammdaten!H$27,Bewertung_Stammdaten!G$27,IF(R26&lt;Bewertung_Stammdaten!H$28,Bewertung_Stammdaten!G$28,IF(R26&lt;Bewertung_Stammdaten!H$29,Bewertung_Stammdaten!G$29,IF(R26&lt;Bewertung_Stammdaten!H$30,Bewertung_Stammdaten!G$30,IF(R26&lt;Bewertung_Stammdaten!H$31,Bewertung_Stammdaten!G$31,IF(R26&lt;Bewertung_Stammdaten!H$32,Bewertung_Stammdaten!G$32,Bewertung_Stammdaten!G$33)))))))))</f>
        <v>2</v>
      </c>
      <c r="V26" s="44"/>
      <c r="W26" s="14">
        <f ca="1">VLOOKUP(A26,Ergebnis_je_Aktie_verwässert!A3:AK68,23,FALSE)</f>
        <v>0.38852777777777775</v>
      </c>
      <c r="X26" s="14">
        <f>VLOOKUP(A26,Ergebnis_je_Aktie_verwässert!A3:AK68,19,FALSE)</f>
        <v>0.76384615384615384</v>
      </c>
      <c r="Y26" s="12">
        <f ca="1">VLOOKUP(A26,Ergebnis_je_Aktie_verwässert!A3:AK68,24,FALSE)</f>
        <v>-0.49135336242587002</v>
      </c>
      <c r="Z26" s="41">
        <f>VLOOKUP(A26,Ergebnis_je_Aktie_verwässert!A3:AK68,37,FALSE)</f>
        <v>-1.2272727272727273</v>
      </c>
      <c r="AA26" s="16">
        <f t="shared" ca="1" si="4"/>
        <v>-8.8301767676767673E-2</v>
      </c>
      <c r="AB26" s="12">
        <f t="shared" ca="1" si="5"/>
        <v>-1.115601508539575</v>
      </c>
      <c r="AC26" s="33">
        <f ca="1">IF(Y26&lt;Bewertung_Stammdaten!L$11,Bewertung_Stammdaten!K$11,IF(Y26&lt;Bewertung_Stammdaten!L$12,Bewertung_Stammdaten!K$12,IF(Y26&lt;Bewertung_Stammdaten!L$13,Bewertung_Stammdaten!K$13,IF(Y26&lt;Bewertung_Stammdaten!L$14,Bewertung_Stammdaten!K$14,IF(Y26&lt;Bewertung_Stammdaten!L$15,Bewertung_Stammdaten!K$15,IF(Y26&lt;Bewertung_Stammdaten!L$16,Bewertung_Stammdaten!K$16,IF(Y26&lt;Bewertung_Stammdaten!L$17,Bewertung_Stammdaten!K$17,IF(Y26&lt;Bewertung_Stammdaten!L$18,Bewertung_Stammdaten!K$18,IF(Y26&lt;Bewertung_Stammdaten!L$19,Bewertung_Stammdaten!K$19,Bewertung_Stammdaten!K$20)))))))))</f>
        <v>2</v>
      </c>
      <c r="AD26" s="33">
        <f>IF(Z26&lt;Bewertung_Stammdaten!R$11,Bewertung_Stammdaten!Q$11,IF(Z26&lt;Bewertung_Stammdaten!R$12,Bewertung_Stammdaten!Q$12,IF(Z26&lt;Bewertung_Stammdaten!R$13,Bewertung_Stammdaten!Q$13,IF(Z26&lt;Bewertung_Stammdaten!R$14,Bewertung_Stammdaten!Q$14,IF(Z26&lt;Bewertung_Stammdaten!R$15,Bewertung_Stammdaten!Q$15,IF(Z26&lt;Bewertung_Stammdaten!R$16,Bewertung_Stammdaten!Q$16,IF(Z26&lt;Bewertung_Stammdaten!R$17,Bewertung_Stammdaten!Q$17,IF(Z26&lt;Bewertung_Stammdaten!R$18,Bewertung_Stammdaten!Q$18,IF(Z26&lt;Bewertung_Stammdaten!R$19,Bewertung_Stammdaten!Q$19,Bewertung_Stammdaten!Q$20)))))))))</f>
        <v>1</v>
      </c>
      <c r="AE26" s="33">
        <f ca="1">IF(AB26&lt;Bewertung_Stammdaten!P$11,Bewertung_Stammdaten!O$11,IF(AB26&lt;Bewertung_Stammdaten!P$12,Bewertung_Stammdaten!O$12,IF(AB26&lt;Bewertung_Stammdaten!P$13,Bewertung_Stammdaten!O$13,IF(AB26&lt;Bewertung_Stammdaten!P$14,Bewertung_Stammdaten!O$14,IF(AB26&lt;Bewertung_Stammdaten!P$15,Bewertung_Stammdaten!O$15,IF(AB26&lt;Bewertung_Stammdaten!P$16,Bewertung_Stammdaten!O$16,IF(AB26&lt;Bewertung_Stammdaten!P$17,Bewertung_Stammdaten!O$17,IF(AB26&lt;Bewertung_Stammdaten!P$18,Bewertung_Stammdaten!O$18,IF(AB26&lt;Bewertung_Stammdaten!P$19,Bewertung_Stammdaten!O$19,Bewertung_Stammdaten!O$20)))))))))</f>
        <v>1</v>
      </c>
      <c r="AF26" s="44"/>
      <c r="AG26" s="14">
        <f ca="1">VLOOKUP(A26,Dividende_je_Aktie!A3:AM68,24,FALSE)</f>
        <v>0.40202777777777776</v>
      </c>
      <c r="AH26" s="14">
        <f>VLOOKUP(A26,Dividende_je_Aktie!A3:AM68,20,FALSE)</f>
        <v>0.35571428571428571</v>
      </c>
      <c r="AI26" s="12">
        <f ca="1">VLOOKUP(A26,Dividende_je_Aktie!A3:AM68,25,FALSE)</f>
        <v>0.13019857206604191</v>
      </c>
      <c r="AJ26" s="41">
        <f>VLOOKUP(A26,Dividende_je_Aktie!A3:AM68,39,FALSE)</f>
        <v>-0.75</v>
      </c>
      <c r="AK26" s="16">
        <f t="shared" ca="1" si="6"/>
        <v>0.10050694444444444</v>
      </c>
      <c r="AL26" s="12">
        <f t="shared" ca="1" si="7"/>
        <v>-0.71745035698348958</v>
      </c>
      <c r="AM26" s="33">
        <f ca="1">IF(AI26&lt;Bewertung_Stammdaten!P$24,Bewertung_Stammdaten!O$24,IF(AI26&lt;Bewertung_Stammdaten!P$25,Bewertung_Stammdaten!O$25,IF(AI26&lt;Bewertung_Stammdaten!P$26,Bewertung_Stammdaten!O$26,IF(AI26&lt;Bewertung_Stammdaten!P$27,Bewertung_Stammdaten!O$27,IF(AI26&lt;Bewertung_Stammdaten!P$28,Bewertung_Stammdaten!O$28,IF(AI26&lt;Bewertung_Stammdaten!P$29,Bewertung_Stammdaten!O$29,IF(AI26&lt;Bewertung_Stammdaten!P$30,Bewertung_Stammdaten!O$30,IF(AI26&lt;Bewertung_Stammdaten!P$31,Bewertung_Stammdaten!O$31,IF(AI26&lt;Bewertung_Stammdaten!P$32,Bewertung_Stammdaten!O$32,Bewertung_Stammdaten!O$33)))))))))</f>
        <v>8</v>
      </c>
      <c r="AN26" s="33">
        <f>IF(AJ26&lt;Bewertung_Stammdaten!R$24,Bewertung_Stammdaten!Q$24,IF(AJ26&lt;Bewertung_Stammdaten!R$25,Bewertung_Stammdaten!Q$25,IF(AJ26&lt;Bewertung_Stammdaten!R$26,Bewertung_Stammdaten!Q$26,IF(AJ26&lt;Bewertung_Stammdaten!R$27,Bewertung_Stammdaten!Q$27,IF(AJ26&lt;Bewertung_Stammdaten!R$28,Bewertung_Stammdaten!Q$28,IF(AJ26&lt;Bewertung_Stammdaten!R$29,Bewertung_Stammdaten!Q$29,IF(AJ26&lt;Bewertung_Stammdaten!R$30,Bewertung_Stammdaten!Q$30,IF(AJ26&lt;Bewertung_Stammdaten!R$31,Bewertung_Stammdaten!Q$31,IF(AJ26&lt;Bewertung_Stammdaten!R$32,Bewertung_Stammdaten!Q$32,Bewertung_Stammdaten!Q$33)))))))))</f>
        <v>1</v>
      </c>
      <c r="AO26" s="33">
        <f ca="1">IF(AL26&lt;Bewertung_Stammdaten!T$24,Bewertung_Stammdaten!S$24,IF(AL26&lt;Bewertung_Stammdaten!T$25,Bewertung_Stammdaten!S$25,IF(AL26&lt;Bewertung_Stammdaten!T$26,Bewertung_Stammdaten!S$26,IF(AL26&lt;Bewertung_Stammdaten!T$27,Bewertung_Stammdaten!S$27,IF(AL26&lt;Bewertung_Stammdaten!T$28,Bewertung_Stammdaten!S$28,IF(AL26&lt;Bewertung_Stammdaten!T$29,Bewertung_Stammdaten!S$29,IF(AL26&lt;Bewertung_Stammdaten!T$30,Bewertung_Stammdaten!S$30,IF(AL26&lt;Bewertung_Stammdaten!T$31,Bewertung_Stammdaten!S$31,IF(AL26&lt;Bewertung_Stammdaten!T$32,Bewertung_Stammdaten!S$32,Bewertung_Stammdaten!S$33)))))))))</f>
        <v>1</v>
      </c>
      <c r="AP26" s="44"/>
      <c r="AQ26" s="12">
        <f ca="1">VLOOKUP(A26,Dividendenrendite!A3:R68,17,FALSE)</f>
        <v>6.5203745379722997E-2</v>
      </c>
      <c r="AR26" s="12">
        <f>VLOOKUP(A26,Dividendenrendite!A3:R68,16,FALSE)</f>
        <v>4.3114466778329794E-2</v>
      </c>
      <c r="AS26" s="12">
        <f ca="1">VLOOKUP(A26,Dividendenrendite!A3:R68,18,FALSE)</f>
        <v>0.51234029438340922</v>
      </c>
      <c r="AT26" s="33">
        <f ca="1">IF(AQ26&lt;Bewertung_Stammdaten!D$11,Bewertung_Stammdaten!C$11,IF(AQ26&lt;Bewertung_Stammdaten!D$12,Bewertung_Stammdaten!C$12,IF(AQ26&lt;Bewertung_Stammdaten!D$13,Bewertung_Stammdaten!C$13,IF(AQ26&lt;Bewertung_Stammdaten!D$14,Bewertung_Stammdaten!C$14,IF(AQ26&lt;Bewertung_Stammdaten!D$15,Bewertung_Stammdaten!C$15,IF(AQ26&lt;Bewertung_Stammdaten!D$16,Bewertung_Stammdaten!C$16,IF(AQ26&lt;Bewertung_Stammdaten!D$17,Bewertung_Stammdaten!C$17,IF(AQ26&lt;Bewertung_Stammdaten!D$18,Bewertung_Stammdaten!C$18,IF(AQ26&lt;Bewertung_Stammdaten!D$19,Bewertung_Stammdaten!C$19,Bewertung_Stammdaten!C$20)))))))))</f>
        <v>15</v>
      </c>
      <c r="AU26" s="33">
        <f>IF(AR26&lt;Bewertung_Stammdaten!T$11,Bewertung_Stammdaten!S$11,IF(AR26&lt;Bewertung_Stammdaten!T$12,Bewertung_Stammdaten!S$12,IF(AR26&lt;Bewertung_Stammdaten!T$13,Bewertung_Stammdaten!S$13,IF(AR26&lt;Bewertung_Stammdaten!T$14,Bewertung_Stammdaten!S$14,IF(AR26&lt;Bewertung_Stammdaten!T$15,Bewertung_Stammdaten!S$15,IF(AR26&lt;Bewertung_Stammdaten!T$16,Bewertung_Stammdaten!S$16,IF(AR26&lt;Bewertung_Stammdaten!T$17,Bewertung_Stammdaten!S$17,IF(AR26&lt;Bewertung_Stammdaten!T$18,Bewertung_Stammdaten!S$18,IF(AR26&lt;Bewertung_Stammdaten!T$19,Bewertung_Stammdaten!S$19,Bewertung_Stammdaten!S$20)))))))))</f>
        <v>9</v>
      </c>
      <c r="AV26" s="33">
        <f ca="1">IF(AS26&lt;Bewertung_Stammdaten!F$11,Bewertung_Stammdaten!E$11,IF(AS26&lt;Bewertung_Stammdaten!F$12,Bewertung_Stammdaten!E$12,IF(AS26&lt;Bewertung_Stammdaten!F$13,Bewertung_Stammdaten!E$13,IF(AS26&lt;Bewertung_Stammdaten!F$14,Bewertung_Stammdaten!E$14,IF(AS26&lt;Bewertung_Stammdaten!F$15,Bewertung_Stammdaten!E$15,IF(AS26&lt;Bewertung_Stammdaten!F$16,Bewertung_Stammdaten!E$16,IF(AS26&lt;Bewertung_Stammdaten!F$17,Bewertung_Stammdaten!E$17,IF(AS26&lt;Bewertung_Stammdaten!F$18,Bewertung_Stammdaten!E$18,IF(AS26&lt;Bewertung_Stammdaten!F$19,Bewertung_Stammdaten!E$19,Bewertung_Stammdaten!E$20)))))))))</f>
        <v>5</v>
      </c>
      <c r="AW26" s="44"/>
      <c r="AX26" s="12">
        <f>VLOOKUP(A26,Aktien_im_Umlauf_splitbereinigt!A3:Z68,26,FALSE)</f>
        <v>-2.2083713932620541E-2</v>
      </c>
      <c r="AY26" s="12">
        <f>VLOOKUP(A26,Aktien_im_Umlauf_splitbereinigt!A3:Y68,24,FALSE)</f>
        <v>-1.6193644756036449E-2</v>
      </c>
      <c r="AZ26" s="12">
        <f>VLOOKUP(A26,Aktien_im_Umlauf_splitbereinigt!A3:Y68,25,FALSE)</f>
        <v>0.36372720689630245</v>
      </c>
      <c r="BA26" s="42">
        <f>IF(AX26&lt;Bewertung_Stammdaten!J$24,Bewertung_Stammdaten!I$24,IF(AX26&lt;Bewertung_Stammdaten!J$25,Bewertung_Stammdaten!I$25,IF(AX26&lt;Bewertung_Stammdaten!J$26,Bewertung_Stammdaten!I$26,IF(AX26&lt;Bewertung_Stammdaten!J$27,Bewertung_Stammdaten!I$27,IF(AX26&lt;Bewertung_Stammdaten!J$28,Bewertung_Stammdaten!I$28,IF(AX26&lt;Bewertung_Stammdaten!J$29,Bewertung_Stammdaten!I$29,IF(AX26&lt;Bewertung_Stammdaten!J$30,Bewertung_Stammdaten!I$30,IF(AX26&lt;Bewertung_Stammdaten!J$31,Bewertung_Stammdaten!I$31,IF(AX26&lt;Bewertung_Stammdaten!J$32,Bewertung_Stammdaten!I$32,Bewertung_Stammdaten!I$33)))))))))</f>
        <v>7</v>
      </c>
      <c r="BB26" s="42">
        <f>IF(AY26&lt;Bewertung_Stammdaten!L$24,Bewertung_Stammdaten!K$24,IF(AY26&lt;Bewertung_Stammdaten!L$25,Bewertung_Stammdaten!K$25,IF(AY26&lt;Bewertung_Stammdaten!L$26,Bewertung_Stammdaten!K$26,IF(AY26&lt;Bewertung_Stammdaten!L$27,Bewertung_Stammdaten!K$27,IF(AY26&lt;Bewertung_Stammdaten!L$28,Bewertung_Stammdaten!K$28,IF(AY26&lt;Bewertung_Stammdaten!L$29,Bewertung_Stammdaten!K$29,IF(AY26&lt;Bewertung_Stammdaten!L$30,Bewertung_Stammdaten!K$30,IF(AY26&lt;Bewertung_Stammdaten!L$31,Bewertung_Stammdaten!K$31,IF(AY26&lt;Bewertung_Stammdaten!L$32,Bewertung_Stammdaten!K$32,Bewertung_Stammdaten!K$33)))))))))</f>
        <v>6</v>
      </c>
      <c r="BC26" s="42">
        <f>IF(AZ26&lt;Bewertung_Stammdaten!N$24,Bewertung_Stammdaten!M$24,IF(AZ26&lt;Bewertung_Stammdaten!N$25,Bewertung_Stammdaten!M$25,IF(AZ26&lt;Bewertung_Stammdaten!N$26,Bewertung_Stammdaten!M$26,IF(AZ26&lt;Bewertung_Stammdaten!N$27,Bewertung_Stammdaten!M$27,IF(AZ26&lt;Bewertung_Stammdaten!N$28,Bewertung_Stammdaten!M$28,IF(AZ26&lt;Bewertung_Stammdaten!N$29,Bewertung_Stammdaten!M$29,IF(AZ26&lt;Bewertung_Stammdaten!N$30,Bewertung_Stammdaten!M$30,IF(AZ26&lt;Bewertung_Stammdaten!N$31,Bewertung_Stammdaten!M$31,IF(AZ26&lt;Bewertung_Stammdaten!N$32,Bewertung_Stammdaten!M$32,Bewertung_Stammdaten!M$33)))))))))</f>
        <v>3.5</v>
      </c>
      <c r="BD26" s="44"/>
      <c r="BE26" s="12">
        <f ca="1">VLOOKUP(A26,Ausschüttungsquote!A3:X68,23,FALSE)</f>
        <v>1.0650720164609053</v>
      </c>
      <c r="BF26" s="12">
        <f>VLOOKUP(A26,Ausschüttungsquote!A3:X68,19,FALSE)</f>
        <v>1.295609602669497</v>
      </c>
      <c r="BG26" s="12">
        <f ca="1">VLOOKUP(A26,Ausschüttungsquote!A3:X68,24,FALSE)</f>
        <v>-0.17793754054739019</v>
      </c>
      <c r="BH26" s="33">
        <f ca="1">IF(BE26&lt;Bewertung_Stammdaten!H$11,Bewertung_Stammdaten!G$11,IF(BE26&lt;Bewertung_Stammdaten!H$12,Bewertung_Stammdaten!G$12,IF(BE26&lt;Bewertung_Stammdaten!H$13,Bewertung_Stammdaten!G$13,IF(BE26&lt;Bewertung_Stammdaten!H$14,Bewertung_Stammdaten!G$14,IF(BE26&lt;Bewertung_Stammdaten!H$15,Bewertung_Stammdaten!G$15,IF(BE26&lt;Bewertung_Stammdaten!H$16,Bewertung_Stammdaten!G$16,IF(BE26&lt;Bewertung_Stammdaten!H$17,Bewertung_Stammdaten!G$17,IF(BE26&lt;Bewertung_Stammdaten!H$18,Bewertung_Stammdaten!G$18,IF(BE26&lt;Bewertung_Stammdaten!H$19,Bewertung_Stammdaten!G$19,Bewertung_Stammdaten!G$20)))))))))</f>
        <v>1</v>
      </c>
      <c r="BI26" s="42">
        <f>IF(BF26&lt;Bewertung_Stammdaten!B$24,Bewertung_Stammdaten!A$24,IF(BF26&lt;Bewertung_Stammdaten!B$25,Bewertung_Stammdaten!A$25,IF(BF26&lt;Bewertung_Stammdaten!B$26,Bewertung_Stammdaten!A$26,IF(BF26&lt;Bewertung_Stammdaten!B$27,Bewertung_Stammdaten!A$27,IF(BF26&lt;Bewertung_Stammdaten!B$28,Bewertung_Stammdaten!A$28,IF(BF26&lt;Bewertung_Stammdaten!B$29,Bewertung_Stammdaten!A$29,IF(BF26&lt;Bewertung_Stammdaten!B$30,Bewertung_Stammdaten!A$30,IF(BF26&lt;Bewertung_Stammdaten!B$31,Bewertung_Stammdaten!A$31,IF(BF26&lt;Bewertung_Stammdaten!B$32,Bewertung_Stammdaten!A$32,Bewertung_Stammdaten!A$33)))))))))</f>
        <v>1</v>
      </c>
      <c r="BJ26" s="33">
        <f ca="1">IF(BG26&lt;Bewertung_Stammdaten!J$11,Bewertung_Stammdaten!I$11,IF(BG26&lt;Bewertung_Stammdaten!J$12,Bewertung_Stammdaten!I$12,IF(BG26&lt;Bewertung_Stammdaten!J$13,Bewertung_Stammdaten!I$13,IF(BG26&lt;Bewertung_Stammdaten!J$14,Bewertung_Stammdaten!I$14,IF(BG26&lt;Bewertung_Stammdaten!J$15,Bewertung_Stammdaten!I$15,IF(BG26&lt;Bewertung_Stammdaten!J$16,Bewertung_Stammdaten!I$16,IF(BG26&lt;Bewertung_Stammdaten!J$17,Bewertung_Stammdaten!I$17,IF(BG26&lt;Bewertung_Stammdaten!J$18,Bewertung_Stammdaten!I$18,IF(BG26&lt;Bewertung_Stammdaten!J$19,Bewertung_Stammdaten!I$19,Bewertung_Stammdaten!I$20)))))))))</f>
        <v>9</v>
      </c>
    </row>
    <row r="27" spans="1:62" x14ac:dyDescent="0.25">
      <c r="A27" s="39" t="s">
        <v>48</v>
      </c>
      <c r="B27" s="39" t="s">
        <v>49</v>
      </c>
      <c r="C27" s="33">
        <f t="shared" ca="1" si="8"/>
        <v>102</v>
      </c>
      <c r="D27" s="44"/>
      <c r="E27" s="11">
        <f ca="1">VLOOKUP(A27,KGV!A3:R68,17,FALSE)</f>
        <v>10.436512400102067</v>
      </c>
      <c r="F27" s="11">
        <f>VLOOKUP(A27,KGV!A3:R68,16,FALSE)</f>
        <v>8.9883729113924034</v>
      </c>
      <c r="G27" s="12">
        <f ca="1">VLOOKUP(A27,KGV!A3:R68,18,FALSE)</f>
        <v>0.16111252870630288</v>
      </c>
      <c r="H27" s="16">
        <f t="shared" ca="1" si="0"/>
        <v>21.793893541389611</v>
      </c>
      <c r="I27" s="12">
        <f t="shared" ca="1" si="1"/>
        <v>1.4246761628866915</v>
      </c>
      <c r="J27" s="33">
        <f ca="1">IF(G27&lt;Bewertung_Stammdaten!B$11,Bewertung_Stammdaten!A$11,IF(G27&lt;Bewertung_Stammdaten!B$12,Bewertung_Stammdaten!A$12,IF(G27&lt;Bewertung_Stammdaten!B$13,Bewertung_Stammdaten!A$13,IF(G27&lt;Bewertung_Stammdaten!B$14,Bewertung_Stammdaten!A$14,IF(G27&lt;Bewertung_Stammdaten!B$15,Bewertung_Stammdaten!A$15,IF(G27&lt;Bewertung_Stammdaten!B$16,Bewertung_Stammdaten!A$16,IF(G27&lt;Bewertung_Stammdaten!B$17,Bewertung_Stammdaten!A$17,IF(G27&lt;Bewertung_Stammdaten!B$18,Bewertung_Stammdaten!A$18,IF(G27&lt;Bewertung_Stammdaten!B$19,Bewertung_Stammdaten!A$19,Bewertung_Stammdaten!A$20)))))))))</f>
        <v>9</v>
      </c>
      <c r="K27" s="33">
        <f ca="1">IF(I27&lt;Bewertung_Stammdaten!N$11,Bewertung_Stammdaten!M$11,IF(I27&lt;Bewertung_Stammdaten!N$12,Bewertung_Stammdaten!M$12,IF(I27&lt;Bewertung_Stammdaten!N$13,Bewertung_Stammdaten!M$13,IF(I27&lt;Bewertung_Stammdaten!N$14,Bewertung_Stammdaten!M$14,IF(I27&lt;Bewertung_Stammdaten!N$15,Bewertung_Stammdaten!M$15,IF(I27&lt;Bewertung_Stammdaten!N$16,Bewertung_Stammdaten!M$16,IF(I27&lt;Bewertung_Stammdaten!N$17,Bewertung_Stammdaten!M$17,IF(I27&lt;Bewertung_Stammdaten!N$18,Bewertung_Stammdaten!M$18,IF(I27&lt;Bewertung_Stammdaten!N$19,Bewertung_Stammdaten!M$19,Bewertung_Stammdaten!M$20)))))))))</f>
        <v>1.5</v>
      </c>
      <c r="L27" s="44"/>
      <c r="M27" s="11">
        <f ca="1">VLOOKUP(A27,Buchwert_je_Aktie!A3:AK68,23,FALSE)</f>
        <v>29.667777777777783</v>
      </c>
      <c r="N27" s="11">
        <f>VLOOKUP(A27,Buchwert_je_Aktie!A3:AK68,19,FALSE)</f>
        <v>24.96769230769231</v>
      </c>
      <c r="O27" s="12">
        <f ca="1">VLOOKUP(A27,Buchwert_je_Aktie!A3:AK68,24,FALSE)</f>
        <v>0.18824669145083228</v>
      </c>
      <c r="P27" s="12">
        <f>VLOOKUP(A27,Buchwert_je_Aktie!A3:AK68,37,FALSE)</f>
        <v>-4.7619047619047672E-2</v>
      </c>
      <c r="Q27" s="16">
        <f t="shared" ca="1" si="2"/>
        <v>28.255026455026456</v>
      </c>
      <c r="R27" s="12">
        <f t="shared" ca="1" si="3"/>
        <v>0.13166351566745926</v>
      </c>
      <c r="S27" s="53">
        <f ca="1">IF(O27&lt;Bewertung_Stammdaten!D$24,Bewertung_Stammdaten!C$24,IF(O27&lt;Bewertung_Stammdaten!D$25,Bewertung_Stammdaten!C$25,IF(O27&lt;Bewertung_Stammdaten!D$26,Bewertung_Stammdaten!C$26,IF(O27&lt;Bewertung_Stammdaten!D$27,Bewertung_Stammdaten!C$27,IF(O27&lt;Bewertung_Stammdaten!D$28,Bewertung_Stammdaten!C$28,IF(O27&lt;Bewertung_Stammdaten!D$29,Bewertung_Stammdaten!C$29,IF(O27&lt;Bewertung_Stammdaten!D$30,Bewertung_Stammdaten!C$30,IF(O27&lt;Bewertung_Stammdaten!D$31,Bewertung_Stammdaten!C$31,IF(O27&lt;Bewertung_Stammdaten!D$32,Bewertung_Stammdaten!C$32,Bewertung_Stammdaten!C$33)))))))))</f>
        <v>6</v>
      </c>
      <c r="T27" s="53">
        <f>IF(P27&lt;Bewertung_Stammdaten!F$24,Bewertung_Stammdaten!E$24,IF(P27&lt;Bewertung_Stammdaten!F$25,Bewertung_Stammdaten!E$25,IF(P27&lt;Bewertung_Stammdaten!F$26,Bewertung_Stammdaten!E$26,IF(P27&lt;Bewertung_Stammdaten!F$27,Bewertung_Stammdaten!E$27,IF(P27&lt;Bewertung_Stammdaten!F$28,Bewertung_Stammdaten!E$28,IF(P27&lt;Bewertung_Stammdaten!F$29,Bewertung_Stammdaten!E$29,IF(P27&lt;Bewertung_Stammdaten!F$30,Bewertung_Stammdaten!E$30,IF(P27&lt;Bewertung_Stammdaten!F$31,Bewertung_Stammdaten!E$31,IF(P27&lt;Bewertung_Stammdaten!F$32,Bewertung_Stammdaten!E$32,Bewertung_Stammdaten!E$33)))))))))</f>
        <v>10.5</v>
      </c>
      <c r="U27" s="53">
        <f ca="1">IF(R27&lt;Bewertung_Stammdaten!H$24,Bewertung_Stammdaten!G$24,IF(R27&lt;Bewertung_Stammdaten!H$25,Bewertung_Stammdaten!G$25,IF(R27&lt;Bewertung_Stammdaten!H$26,Bewertung_Stammdaten!G$26,IF(R27&lt;Bewertung_Stammdaten!H$27,Bewertung_Stammdaten!G$27,IF(R27&lt;Bewertung_Stammdaten!H$28,Bewertung_Stammdaten!G$28,IF(R27&lt;Bewertung_Stammdaten!H$29,Bewertung_Stammdaten!G$29,IF(R27&lt;Bewertung_Stammdaten!H$30,Bewertung_Stammdaten!G$30,IF(R27&lt;Bewertung_Stammdaten!H$31,Bewertung_Stammdaten!G$31,IF(R27&lt;Bewertung_Stammdaten!H$32,Bewertung_Stammdaten!G$32,Bewertung_Stammdaten!G$33)))))))))</f>
        <v>4</v>
      </c>
      <c r="V27" s="44"/>
      <c r="W27" s="14">
        <f ca="1">VLOOKUP(A27,Ergebnis_je_Aktie_verwässert!A3:AK68,23,FALSE)</f>
        <v>2.7215277777777773</v>
      </c>
      <c r="X27" s="14">
        <f>VLOOKUP(A27,Ergebnis_je_Aktie_verwässert!A3:AK68,19,FALSE)</f>
        <v>3.5276923076923081</v>
      </c>
      <c r="Y27" s="12">
        <f ca="1">VLOOKUP(A27,Ergebnis_je_Aktie_verwässert!A3:AK68,24,FALSE)</f>
        <v>-0.22852461598100526</v>
      </c>
      <c r="Z27" s="41">
        <f>VLOOKUP(A27,Ergebnis_je_Aktie_verwässert!A3:AK68,37,FALSE)</f>
        <v>-0.52112676056338025</v>
      </c>
      <c r="AA27" s="16">
        <f t="shared" ca="1" si="4"/>
        <v>1.3032668231611892</v>
      </c>
      <c r="AB27" s="12">
        <f t="shared" ca="1" si="5"/>
        <v>-0.63056108370921371</v>
      </c>
      <c r="AC27" s="33">
        <f ca="1">IF(Y27&lt;Bewertung_Stammdaten!L$11,Bewertung_Stammdaten!K$11,IF(Y27&lt;Bewertung_Stammdaten!L$12,Bewertung_Stammdaten!K$12,IF(Y27&lt;Bewertung_Stammdaten!L$13,Bewertung_Stammdaten!K$13,IF(Y27&lt;Bewertung_Stammdaten!L$14,Bewertung_Stammdaten!K$14,IF(Y27&lt;Bewertung_Stammdaten!L$15,Bewertung_Stammdaten!K$15,IF(Y27&lt;Bewertung_Stammdaten!L$16,Bewertung_Stammdaten!K$16,IF(Y27&lt;Bewertung_Stammdaten!L$17,Bewertung_Stammdaten!K$17,IF(Y27&lt;Bewertung_Stammdaten!L$18,Bewertung_Stammdaten!K$18,IF(Y27&lt;Bewertung_Stammdaten!L$19,Bewertung_Stammdaten!K$19,Bewertung_Stammdaten!K$20)))))))))</f>
        <v>2</v>
      </c>
      <c r="AD27" s="33">
        <f>IF(Z27&lt;Bewertung_Stammdaten!R$11,Bewertung_Stammdaten!Q$11,IF(Z27&lt;Bewertung_Stammdaten!R$12,Bewertung_Stammdaten!Q$12,IF(Z27&lt;Bewertung_Stammdaten!R$13,Bewertung_Stammdaten!Q$13,IF(Z27&lt;Bewertung_Stammdaten!R$14,Bewertung_Stammdaten!Q$14,IF(Z27&lt;Bewertung_Stammdaten!R$15,Bewertung_Stammdaten!Q$15,IF(Z27&lt;Bewertung_Stammdaten!R$16,Bewertung_Stammdaten!Q$16,IF(Z27&lt;Bewertung_Stammdaten!R$17,Bewertung_Stammdaten!Q$17,IF(Z27&lt;Bewertung_Stammdaten!R$18,Bewertung_Stammdaten!Q$18,IF(Z27&lt;Bewertung_Stammdaten!R$19,Bewertung_Stammdaten!Q$19,Bewertung_Stammdaten!Q$20)))))))))</f>
        <v>2</v>
      </c>
      <c r="AE27" s="33">
        <f ca="1">IF(AB27&lt;Bewertung_Stammdaten!P$11,Bewertung_Stammdaten!O$11,IF(AB27&lt;Bewertung_Stammdaten!P$12,Bewertung_Stammdaten!O$12,IF(AB27&lt;Bewertung_Stammdaten!P$13,Bewertung_Stammdaten!O$13,IF(AB27&lt;Bewertung_Stammdaten!P$14,Bewertung_Stammdaten!O$14,IF(AB27&lt;Bewertung_Stammdaten!P$15,Bewertung_Stammdaten!O$15,IF(AB27&lt;Bewertung_Stammdaten!P$16,Bewertung_Stammdaten!O$16,IF(AB27&lt;Bewertung_Stammdaten!P$17,Bewertung_Stammdaten!O$17,IF(AB27&lt;Bewertung_Stammdaten!P$18,Bewertung_Stammdaten!O$18,IF(AB27&lt;Bewertung_Stammdaten!P$19,Bewertung_Stammdaten!O$19,Bewertung_Stammdaten!O$20)))))))))</f>
        <v>1</v>
      </c>
      <c r="AF27" s="44"/>
      <c r="AG27" s="14">
        <f ca="1">VLOOKUP(A27,Dividende_je_Aktie!A3:AM68,24,FALSE)</f>
        <v>1.9840555555555555</v>
      </c>
      <c r="AH27" s="14">
        <f>VLOOKUP(A27,Dividende_je_Aktie!A3:AM68,20,FALSE)</f>
        <v>1.6707692307692308</v>
      </c>
      <c r="AI27" s="12">
        <f ca="1">VLOOKUP(A27,Dividende_je_Aktie!A3:AM68,25,FALSE)</f>
        <v>0.18751023122570087</v>
      </c>
      <c r="AJ27" s="41">
        <f>VLOOKUP(A27,Dividende_je_Aktie!A3:AM68,39,FALSE)</f>
        <v>-6.0000000000000053E-2</v>
      </c>
      <c r="AK27" s="16">
        <f t="shared" ca="1" si="6"/>
        <v>1.8650122222222221</v>
      </c>
      <c r="AL27" s="12">
        <f t="shared" ca="1" si="7"/>
        <v>0.11625961735215862</v>
      </c>
      <c r="AM27" s="33">
        <f ca="1">IF(AI27&lt;Bewertung_Stammdaten!P$24,Bewertung_Stammdaten!O$24,IF(AI27&lt;Bewertung_Stammdaten!P$25,Bewertung_Stammdaten!O$25,IF(AI27&lt;Bewertung_Stammdaten!P$26,Bewertung_Stammdaten!O$26,IF(AI27&lt;Bewertung_Stammdaten!P$27,Bewertung_Stammdaten!O$27,IF(AI27&lt;Bewertung_Stammdaten!P$28,Bewertung_Stammdaten!O$28,IF(AI27&lt;Bewertung_Stammdaten!P$29,Bewertung_Stammdaten!O$29,IF(AI27&lt;Bewertung_Stammdaten!P$30,Bewertung_Stammdaten!O$30,IF(AI27&lt;Bewertung_Stammdaten!P$31,Bewertung_Stammdaten!O$31,IF(AI27&lt;Bewertung_Stammdaten!P$32,Bewertung_Stammdaten!O$32,Bewertung_Stammdaten!O$33)))))))))</f>
        <v>8</v>
      </c>
      <c r="AN27" s="33">
        <f>IF(AJ27&lt;Bewertung_Stammdaten!R$24,Bewertung_Stammdaten!Q$24,IF(AJ27&lt;Bewertung_Stammdaten!R$25,Bewertung_Stammdaten!Q$25,IF(AJ27&lt;Bewertung_Stammdaten!R$26,Bewertung_Stammdaten!Q$26,IF(AJ27&lt;Bewertung_Stammdaten!R$27,Bewertung_Stammdaten!Q$27,IF(AJ27&lt;Bewertung_Stammdaten!R$28,Bewertung_Stammdaten!Q$28,IF(AJ27&lt;Bewertung_Stammdaten!R$29,Bewertung_Stammdaten!Q$29,IF(AJ27&lt;Bewertung_Stammdaten!R$30,Bewertung_Stammdaten!Q$30,IF(AJ27&lt;Bewertung_Stammdaten!R$31,Bewertung_Stammdaten!Q$31,IF(AJ27&lt;Bewertung_Stammdaten!R$32,Bewertung_Stammdaten!Q$32,Bewertung_Stammdaten!Q$33)))))))))</f>
        <v>7</v>
      </c>
      <c r="AO27" s="33">
        <f ca="1">IF(AL27&lt;Bewertung_Stammdaten!T$24,Bewertung_Stammdaten!S$24,IF(AL27&lt;Bewertung_Stammdaten!T$25,Bewertung_Stammdaten!S$25,IF(AL27&lt;Bewertung_Stammdaten!T$26,Bewertung_Stammdaten!S$26,IF(AL27&lt;Bewertung_Stammdaten!T$27,Bewertung_Stammdaten!S$27,IF(AL27&lt;Bewertung_Stammdaten!T$28,Bewertung_Stammdaten!S$28,IF(AL27&lt;Bewertung_Stammdaten!T$29,Bewertung_Stammdaten!S$29,IF(AL27&lt;Bewertung_Stammdaten!T$30,Bewertung_Stammdaten!S$30,IF(AL27&lt;Bewertung_Stammdaten!T$31,Bewertung_Stammdaten!S$31,IF(AL27&lt;Bewertung_Stammdaten!T$32,Bewertung_Stammdaten!S$32,Bewertung_Stammdaten!S$33)))))))))</f>
        <v>5</v>
      </c>
      <c r="AP27" s="44"/>
      <c r="AQ27" s="12">
        <f ca="1">VLOOKUP(A27,Dividendenrendite!A3:R68,17,FALSE)</f>
        <v>6.9853096698073061E-2</v>
      </c>
      <c r="AR27" s="12">
        <f>VLOOKUP(A27,Dividendenrendite!A3:R68,16,FALSE)</f>
        <v>4.7384609869781873E-2</v>
      </c>
      <c r="AS27" s="12">
        <f ca="1">VLOOKUP(A27,Dividendenrendite!A3:R68,18,FALSE)</f>
        <v>0.4741726668223516</v>
      </c>
      <c r="AT27" s="33">
        <f ca="1">IF(AQ27&lt;Bewertung_Stammdaten!D$11,Bewertung_Stammdaten!C$11,IF(AQ27&lt;Bewertung_Stammdaten!D$12,Bewertung_Stammdaten!C$12,IF(AQ27&lt;Bewertung_Stammdaten!D$13,Bewertung_Stammdaten!C$13,IF(AQ27&lt;Bewertung_Stammdaten!D$14,Bewertung_Stammdaten!C$14,IF(AQ27&lt;Bewertung_Stammdaten!D$15,Bewertung_Stammdaten!C$15,IF(AQ27&lt;Bewertung_Stammdaten!D$16,Bewertung_Stammdaten!C$16,IF(AQ27&lt;Bewertung_Stammdaten!D$17,Bewertung_Stammdaten!C$17,IF(AQ27&lt;Bewertung_Stammdaten!D$18,Bewertung_Stammdaten!C$18,IF(AQ27&lt;Bewertung_Stammdaten!D$19,Bewertung_Stammdaten!C$19,Bewertung_Stammdaten!C$20)))))))))</f>
        <v>15</v>
      </c>
      <c r="AU27" s="33">
        <f>IF(AR27&lt;Bewertung_Stammdaten!T$11,Bewertung_Stammdaten!S$11,IF(AR27&lt;Bewertung_Stammdaten!T$12,Bewertung_Stammdaten!S$12,IF(AR27&lt;Bewertung_Stammdaten!T$13,Bewertung_Stammdaten!S$13,IF(AR27&lt;Bewertung_Stammdaten!T$14,Bewertung_Stammdaten!S$14,IF(AR27&lt;Bewertung_Stammdaten!T$15,Bewertung_Stammdaten!S$15,IF(AR27&lt;Bewertung_Stammdaten!T$16,Bewertung_Stammdaten!S$16,IF(AR27&lt;Bewertung_Stammdaten!T$17,Bewertung_Stammdaten!S$17,IF(AR27&lt;Bewertung_Stammdaten!T$18,Bewertung_Stammdaten!S$18,IF(AR27&lt;Bewertung_Stammdaten!T$19,Bewertung_Stammdaten!S$19,Bewertung_Stammdaten!S$20)))))))))</f>
        <v>10</v>
      </c>
      <c r="AV27" s="33">
        <f ca="1">IF(AS27&lt;Bewertung_Stammdaten!F$11,Bewertung_Stammdaten!E$11,IF(AS27&lt;Bewertung_Stammdaten!F$12,Bewertung_Stammdaten!E$12,IF(AS27&lt;Bewertung_Stammdaten!F$13,Bewertung_Stammdaten!E$13,IF(AS27&lt;Bewertung_Stammdaten!F$14,Bewertung_Stammdaten!E$14,IF(AS27&lt;Bewertung_Stammdaten!F$15,Bewertung_Stammdaten!E$15,IF(AS27&lt;Bewertung_Stammdaten!F$16,Bewertung_Stammdaten!E$16,IF(AS27&lt;Bewertung_Stammdaten!F$17,Bewertung_Stammdaten!E$17,IF(AS27&lt;Bewertung_Stammdaten!F$18,Bewertung_Stammdaten!E$18,IF(AS27&lt;Bewertung_Stammdaten!F$19,Bewertung_Stammdaten!E$19,Bewertung_Stammdaten!E$20)))))))))</f>
        <v>5</v>
      </c>
      <c r="AW27" s="44"/>
      <c r="AX27" s="12">
        <f>VLOOKUP(A27,Aktien_im_Umlauf_splitbereinigt!A3:Z68,26,FALSE)</f>
        <v>1.254964257347102E-2</v>
      </c>
      <c r="AY27" s="12">
        <f>VLOOKUP(A27,Aktien_im_Umlauf_splitbereinigt!A3:Y68,24,FALSE)</f>
        <v>-4.7543796225334939E-3</v>
      </c>
      <c r="AZ27" s="12">
        <f>VLOOKUP(A27,Aktien_im_Umlauf_splitbereinigt!A3:Y68,25,FALSE)</f>
        <v>-3.6395962396422226</v>
      </c>
      <c r="BA27" s="42">
        <f>IF(AX27&lt;Bewertung_Stammdaten!J$24,Bewertung_Stammdaten!I$24,IF(AX27&lt;Bewertung_Stammdaten!J$25,Bewertung_Stammdaten!I$25,IF(AX27&lt;Bewertung_Stammdaten!J$26,Bewertung_Stammdaten!I$26,IF(AX27&lt;Bewertung_Stammdaten!J$27,Bewertung_Stammdaten!I$27,IF(AX27&lt;Bewertung_Stammdaten!J$28,Bewertung_Stammdaten!I$28,IF(AX27&lt;Bewertung_Stammdaten!J$29,Bewertung_Stammdaten!I$29,IF(AX27&lt;Bewertung_Stammdaten!J$30,Bewertung_Stammdaten!I$30,IF(AX27&lt;Bewertung_Stammdaten!J$31,Bewertung_Stammdaten!I$31,IF(AX27&lt;Bewertung_Stammdaten!J$32,Bewertung_Stammdaten!I$32,Bewertung_Stammdaten!I$33)))))))))</f>
        <v>1</v>
      </c>
      <c r="BB27" s="42">
        <f>IF(AY27&lt;Bewertung_Stammdaten!L$24,Bewertung_Stammdaten!K$24,IF(AY27&lt;Bewertung_Stammdaten!L$25,Bewertung_Stammdaten!K$25,IF(AY27&lt;Bewertung_Stammdaten!L$26,Bewertung_Stammdaten!K$26,IF(AY27&lt;Bewertung_Stammdaten!L$27,Bewertung_Stammdaten!K$27,IF(AY27&lt;Bewertung_Stammdaten!L$28,Bewertung_Stammdaten!K$28,IF(AY27&lt;Bewertung_Stammdaten!L$29,Bewertung_Stammdaten!K$29,IF(AY27&lt;Bewertung_Stammdaten!L$30,Bewertung_Stammdaten!K$30,IF(AY27&lt;Bewertung_Stammdaten!L$31,Bewertung_Stammdaten!K$31,IF(AY27&lt;Bewertung_Stammdaten!L$32,Bewertung_Stammdaten!K$32,Bewertung_Stammdaten!K$33)))))))))</f>
        <v>3</v>
      </c>
      <c r="BC27" s="42">
        <f>IF(AZ27&lt;Bewertung_Stammdaten!N$24,Bewertung_Stammdaten!M$24,IF(AZ27&lt;Bewertung_Stammdaten!N$25,Bewertung_Stammdaten!M$25,IF(AZ27&lt;Bewertung_Stammdaten!N$26,Bewertung_Stammdaten!M$26,IF(AZ27&lt;Bewertung_Stammdaten!N$27,Bewertung_Stammdaten!M$27,IF(AZ27&lt;Bewertung_Stammdaten!N$28,Bewertung_Stammdaten!M$28,IF(AZ27&lt;Bewertung_Stammdaten!N$29,Bewertung_Stammdaten!M$29,IF(AZ27&lt;Bewertung_Stammdaten!N$30,Bewertung_Stammdaten!M$30,IF(AZ27&lt;Bewertung_Stammdaten!N$31,Bewertung_Stammdaten!M$31,IF(AZ27&lt;Bewertung_Stammdaten!N$32,Bewertung_Stammdaten!M$32,Bewertung_Stammdaten!M$33)))))))))</f>
        <v>1</v>
      </c>
      <c r="BD27" s="44"/>
      <c r="BE27" s="12">
        <f ca="1">VLOOKUP(A27,Ausschüttungsquote!A3:X68,23,FALSE)</f>
        <v>0.73312963771278927</v>
      </c>
      <c r="BF27" s="12">
        <f>VLOOKUP(A27,Ausschüttungsquote!A3:X68,19,FALSE)</f>
        <v>0.5192470705037584</v>
      </c>
      <c r="BG27" s="12">
        <f ca="1">VLOOKUP(A27,Ausschüttungsquote!A3:X68,24,FALSE)</f>
        <v>0.41190904938862394</v>
      </c>
      <c r="BH27" s="33">
        <f ca="1">IF(BE27&lt;Bewertung_Stammdaten!H$11,Bewertung_Stammdaten!G$11,IF(BE27&lt;Bewertung_Stammdaten!H$12,Bewertung_Stammdaten!G$12,IF(BE27&lt;Bewertung_Stammdaten!H$13,Bewertung_Stammdaten!G$13,IF(BE27&lt;Bewertung_Stammdaten!H$14,Bewertung_Stammdaten!G$14,IF(BE27&lt;Bewertung_Stammdaten!H$15,Bewertung_Stammdaten!G$15,IF(BE27&lt;Bewertung_Stammdaten!H$16,Bewertung_Stammdaten!G$16,IF(BE27&lt;Bewertung_Stammdaten!H$17,Bewertung_Stammdaten!G$17,IF(BE27&lt;Bewertung_Stammdaten!H$18,Bewertung_Stammdaten!G$18,IF(BE27&lt;Bewertung_Stammdaten!H$19,Bewertung_Stammdaten!G$19,Bewertung_Stammdaten!G$20)))))))))</f>
        <v>3</v>
      </c>
      <c r="BI27" s="42">
        <f>IF(BF27&lt;Bewertung_Stammdaten!B$24,Bewertung_Stammdaten!A$24,IF(BF27&lt;Bewertung_Stammdaten!B$25,Bewertung_Stammdaten!A$25,IF(BF27&lt;Bewertung_Stammdaten!B$26,Bewertung_Stammdaten!A$26,IF(BF27&lt;Bewertung_Stammdaten!B$27,Bewertung_Stammdaten!A$27,IF(BF27&lt;Bewertung_Stammdaten!B$28,Bewertung_Stammdaten!A$28,IF(BF27&lt;Bewertung_Stammdaten!B$29,Bewertung_Stammdaten!A$29,IF(BF27&lt;Bewertung_Stammdaten!B$30,Bewertung_Stammdaten!A$30,IF(BF27&lt;Bewertung_Stammdaten!B$31,Bewertung_Stammdaten!A$31,IF(BF27&lt;Bewertung_Stammdaten!B$32,Bewertung_Stammdaten!A$32,Bewertung_Stammdaten!A$33)))))))))</f>
        <v>7</v>
      </c>
      <c r="BJ27" s="33">
        <f ca="1">IF(BG27&lt;Bewertung_Stammdaten!J$11,Bewertung_Stammdaten!I$11,IF(BG27&lt;Bewertung_Stammdaten!J$12,Bewertung_Stammdaten!I$12,IF(BG27&lt;Bewertung_Stammdaten!J$13,Bewertung_Stammdaten!I$13,IF(BG27&lt;Bewertung_Stammdaten!J$14,Bewertung_Stammdaten!I$14,IF(BG27&lt;Bewertung_Stammdaten!J$15,Bewertung_Stammdaten!I$15,IF(BG27&lt;Bewertung_Stammdaten!J$16,Bewertung_Stammdaten!I$16,IF(BG27&lt;Bewertung_Stammdaten!J$17,Bewertung_Stammdaten!I$17,IF(BG27&lt;Bewertung_Stammdaten!J$18,Bewertung_Stammdaten!I$18,IF(BG27&lt;Bewertung_Stammdaten!J$19,Bewertung_Stammdaten!I$19,Bewertung_Stammdaten!I$20)))))))))</f>
        <v>1</v>
      </c>
    </row>
    <row r="28" spans="1:62" x14ac:dyDescent="0.25">
      <c r="A28" s="39" t="s">
        <v>50</v>
      </c>
      <c r="B28" s="39" t="s">
        <v>51</v>
      </c>
      <c r="C28" s="33">
        <f t="shared" ca="1" si="8"/>
        <v>95</v>
      </c>
      <c r="D28" s="44"/>
      <c r="E28" s="11">
        <f ca="1">VLOOKUP(A28,KGV!A3:R68,17,FALSE)</f>
        <v>52.260220386405528</v>
      </c>
      <c r="F28" s="11">
        <f>VLOOKUP(A28,KGV!A3:R68,16,FALSE)</f>
        <v>12.526735270379337</v>
      </c>
      <c r="G28" s="12">
        <f ca="1">VLOOKUP(A28,KGV!A3:R68,18,FALSE)</f>
        <v>3.1718946923050106</v>
      </c>
      <c r="H28" s="16">
        <f t="shared" ca="1" si="0"/>
        <v>99</v>
      </c>
      <c r="I28" s="12">
        <f t="shared" ca="1" si="1"/>
        <v>6.9030966858615557</v>
      </c>
      <c r="J28" s="33">
        <f ca="1">IF(G28&lt;Bewertung_Stammdaten!B$11,Bewertung_Stammdaten!A$11,IF(G28&lt;Bewertung_Stammdaten!B$12,Bewertung_Stammdaten!A$12,IF(G28&lt;Bewertung_Stammdaten!B$13,Bewertung_Stammdaten!A$13,IF(G28&lt;Bewertung_Stammdaten!B$14,Bewertung_Stammdaten!A$14,IF(G28&lt;Bewertung_Stammdaten!B$15,Bewertung_Stammdaten!A$15,IF(G28&lt;Bewertung_Stammdaten!B$16,Bewertung_Stammdaten!A$16,IF(G28&lt;Bewertung_Stammdaten!B$17,Bewertung_Stammdaten!A$17,IF(G28&lt;Bewertung_Stammdaten!B$18,Bewertung_Stammdaten!A$18,IF(G28&lt;Bewertung_Stammdaten!B$19,Bewertung_Stammdaten!A$19,Bewertung_Stammdaten!A$20)))))))))</f>
        <v>3</v>
      </c>
      <c r="K28" s="33">
        <f ca="1">IF(I28&lt;Bewertung_Stammdaten!N$11,Bewertung_Stammdaten!M$11,IF(I28&lt;Bewertung_Stammdaten!N$12,Bewertung_Stammdaten!M$12,IF(I28&lt;Bewertung_Stammdaten!N$13,Bewertung_Stammdaten!M$13,IF(I28&lt;Bewertung_Stammdaten!N$14,Bewertung_Stammdaten!M$14,IF(I28&lt;Bewertung_Stammdaten!N$15,Bewertung_Stammdaten!M$15,IF(I28&lt;Bewertung_Stammdaten!N$16,Bewertung_Stammdaten!M$16,IF(I28&lt;Bewertung_Stammdaten!N$17,Bewertung_Stammdaten!M$17,IF(I28&lt;Bewertung_Stammdaten!N$18,Bewertung_Stammdaten!M$18,IF(I28&lt;Bewertung_Stammdaten!N$19,Bewertung_Stammdaten!M$19,Bewertung_Stammdaten!M$20)))))))))</f>
        <v>1.5</v>
      </c>
      <c r="L28" s="44"/>
      <c r="M28" s="11">
        <f ca="1">VLOOKUP(A28,Buchwert_je_Aktie!A3:AK68,23,FALSE)</f>
        <v>2.5133055555555557</v>
      </c>
      <c r="N28" s="11">
        <f>VLOOKUP(A28,Buchwert_je_Aktie!A3:AK68,19,FALSE)</f>
        <v>2.6</v>
      </c>
      <c r="O28" s="12">
        <f ca="1">VLOOKUP(A28,Buchwert_je_Aktie!A3:AK68,24,FALSE)</f>
        <v>-3.3344017094017131E-2</v>
      </c>
      <c r="P28" s="12">
        <f>VLOOKUP(A28,Buchwert_je_Aktie!A3:AK68,37,FALSE)</f>
        <v>-3.3707865168539297E-2</v>
      </c>
      <c r="Q28" s="16">
        <f t="shared" ca="1" si="2"/>
        <v>2.4285873907615483</v>
      </c>
      <c r="R28" s="12">
        <f t="shared" ca="1" si="3"/>
        <v>-6.5927926630173772E-2</v>
      </c>
      <c r="S28" s="53">
        <f ca="1">IF(O28&lt;Bewertung_Stammdaten!D$24,Bewertung_Stammdaten!C$24,IF(O28&lt;Bewertung_Stammdaten!D$25,Bewertung_Stammdaten!C$25,IF(O28&lt;Bewertung_Stammdaten!D$26,Bewertung_Stammdaten!C$26,IF(O28&lt;Bewertung_Stammdaten!D$27,Bewertung_Stammdaten!C$27,IF(O28&lt;Bewertung_Stammdaten!D$28,Bewertung_Stammdaten!C$28,IF(O28&lt;Bewertung_Stammdaten!D$29,Bewertung_Stammdaten!C$29,IF(O28&lt;Bewertung_Stammdaten!D$30,Bewertung_Stammdaten!C$30,IF(O28&lt;Bewertung_Stammdaten!D$31,Bewertung_Stammdaten!C$31,IF(O28&lt;Bewertung_Stammdaten!D$32,Bewertung_Stammdaten!C$32,Bewertung_Stammdaten!C$33)))))))))</f>
        <v>3</v>
      </c>
      <c r="T28" s="53">
        <f>IF(P28&lt;Bewertung_Stammdaten!F$24,Bewertung_Stammdaten!E$24,IF(P28&lt;Bewertung_Stammdaten!F$25,Bewertung_Stammdaten!E$25,IF(P28&lt;Bewertung_Stammdaten!F$26,Bewertung_Stammdaten!E$26,IF(P28&lt;Bewertung_Stammdaten!F$27,Bewertung_Stammdaten!E$27,IF(P28&lt;Bewertung_Stammdaten!F$28,Bewertung_Stammdaten!E$28,IF(P28&lt;Bewertung_Stammdaten!F$29,Bewertung_Stammdaten!E$29,IF(P28&lt;Bewertung_Stammdaten!F$30,Bewertung_Stammdaten!E$30,IF(P28&lt;Bewertung_Stammdaten!F$31,Bewertung_Stammdaten!E$31,IF(P28&lt;Bewertung_Stammdaten!F$32,Bewertung_Stammdaten!E$32,Bewertung_Stammdaten!E$33)))))))))</f>
        <v>10.5</v>
      </c>
      <c r="U28" s="53">
        <f ca="1">IF(R28&lt;Bewertung_Stammdaten!H$24,Bewertung_Stammdaten!G$24,IF(R28&lt;Bewertung_Stammdaten!H$25,Bewertung_Stammdaten!G$25,IF(R28&lt;Bewertung_Stammdaten!H$26,Bewertung_Stammdaten!G$26,IF(R28&lt;Bewertung_Stammdaten!H$27,Bewertung_Stammdaten!G$27,IF(R28&lt;Bewertung_Stammdaten!H$28,Bewertung_Stammdaten!G$28,IF(R28&lt;Bewertung_Stammdaten!H$29,Bewertung_Stammdaten!G$29,IF(R28&lt;Bewertung_Stammdaten!H$30,Bewertung_Stammdaten!G$30,IF(R28&lt;Bewertung_Stammdaten!H$31,Bewertung_Stammdaten!G$31,IF(R28&lt;Bewertung_Stammdaten!H$32,Bewertung_Stammdaten!G$32,Bewertung_Stammdaten!G$33)))))))))</f>
        <v>2</v>
      </c>
      <c r="V28" s="44"/>
      <c r="W28" s="14">
        <f ca="1">VLOOKUP(A28,Ergebnis_je_Aktie_verwässert!A3:AK68,23,FALSE)</f>
        <v>4.1896111111111106E-2</v>
      </c>
      <c r="X28" s="14">
        <f>VLOOKUP(A28,Ergebnis_je_Aktie_verwässert!A3:AK68,19,FALSE)</f>
        <v>6.4969230769230765E-2</v>
      </c>
      <c r="Y28" s="12">
        <f ca="1">VLOOKUP(A28,Ergebnis_je_Aktie_verwässert!A3:AK68,24,FALSE)</f>
        <v>-0.35513918488699459</v>
      </c>
      <c r="Z28" s="41">
        <f>VLOOKUP(A28,Ergebnis_je_Aktie_verwässert!A3:AK68,37,FALSE)</f>
        <v>-1.5454545454545459</v>
      </c>
      <c r="AA28" s="16">
        <f t="shared" ca="1" si="4"/>
        <v>-2.2852424242424257E-2</v>
      </c>
      <c r="AB28" s="12">
        <f t="shared" ca="1" si="5"/>
        <v>-1.3517422627889124</v>
      </c>
      <c r="AC28" s="33">
        <f ca="1">IF(Y28&lt;Bewertung_Stammdaten!L$11,Bewertung_Stammdaten!K$11,IF(Y28&lt;Bewertung_Stammdaten!L$12,Bewertung_Stammdaten!K$12,IF(Y28&lt;Bewertung_Stammdaten!L$13,Bewertung_Stammdaten!K$13,IF(Y28&lt;Bewertung_Stammdaten!L$14,Bewertung_Stammdaten!K$14,IF(Y28&lt;Bewertung_Stammdaten!L$15,Bewertung_Stammdaten!K$15,IF(Y28&lt;Bewertung_Stammdaten!L$16,Bewertung_Stammdaten!K$16,IF(Y28&lt;Bewertung_Stammdaten!L$17,Bewertung_Stammdaten!K$17,IF(Y28&lt;Bewertung_Stammdaten!L$18,Bewertung_Stammdaten!K$18,IF(Y28&lt;Bewertung_Stammdaten!L$19,Bewertung_Stammdaten!K$19,Bewertung_Stammdaten!K$20)))))))))</f>
        <v>2</v>
      </c>
      <c r="AD28" s="33">
        <f>IF(Z28&lt;Bewertung_Stammdaten!R$11,Bewertung_Stammdaten!Q$11,IF(Z28&lt;Bewertung_Stammdaten!R$12,Bewertung_Stammdaten!Q$12,IF(Z28&lt;Bewertung_Stammdaten!R$13,Bewertung_Stammdaten!Q$13,IF(Z28&lt;Bewertung_Stammdaten!R$14,Bewertung_Stammdaten!Q$14,IF(Z28&lt;Bewertung_Stammdaten!R$15,Bewertung_Stammdaten!Q$15,IF(Z28&lt;Bewertung_Stammdaten!R$16,Bewertung_Stammdaten!Q$16,IF(Z28&lt;Bewertung_Stammdaten!R$17,Bewertung_Stammdaten!Q$17,IF(Z28&lt;Bewertung_Stammdaten!R$18,Bewertung_Stammdaten!Q$18,IF(Z28&lt;Bewertung_Stammdaten!R$19,Bewertung_Stammdaten!Q$19,Bewertung_Stammdaten!Q$20)))))))))</f>
        <v>1</v>
      </c>
      <c r="AE28" s="33">
        <f ca="1">IF(AB28&lt;Bewertung_Stammdaten!P$11,Bewertung_Stammdaten!O$11,IF(AB28&lt;Bewertung_Stammdaten!P$12,Bewertung_Stammdaten!O$12,IF(AB28&lt;Bewertung_Stammdaten!P$13,Bewertung_Stammdaten!O$13,IF(AB28&lt;Bewertung_Stammdaten!P$14,Bewertung_Stammdaten!O$14,IF(AB28&lt;Bewertung_Stammdaten!P$15,Bewertung_Stammdaten!O$15,IF(AB28&lt;Bewertung_Stammdaten!P$16,Bewertung_Stammdaten!O$16,IF(AB28&lt;Bewertung_Stammdaten!P$17,Bewertung_Stammdaten!O$17,IF(AB28&lt;Bewertung_Stammdaten!P$18,Bewertung_Stammdaten!O$18,IF(AB28&lt;Bewertung_Stammdaten!P$19,Bewertung_Stammdaten!O$19,Bewertung_Stammdaten!O$20)))))))))</f>
        <v>1</v>
      </c>
      <c r="AF28" s="44"/>
      <c r="AG28" s="14">
        <f ca="1">VLOOKUP(A28,Dividende_je_Aktie!A3:AM68,24,FALSE)</f>
        <v>0.11490555555555557</v>
      </c>
      <c r="AH28" s="14">
        <f>VLOOKUP(A28,Dividende_je_Aktie!A3:AM68,20,FALSE)</f>
        <v>8.1499999999999989E-2</v>
      </c>
      <c r="AI28" s="12">
        <f ca="1">VLOOKUP(A28,Dividende_je_Aktie!A3:AM68,25,FALSE)</f>
        <v>0.40988411724608076</v>
      </c>
      <c r="AJ28" s="41">
        <f>VLOOKUP(A28,Dividende_je_Aktie!A3:AM68,39,FALSE)</f>
        <v>-0.2533333333333333</v>
      </c>
      <c r="AK28" s="16">
        <f t="shared" ca="1" si="6"/>
        <v>8.5796148148148163E-2</v>
      </c>
      <c r="AL28" s="12">
        <f t="shared" ca="1" si="7"/>
        <v>5.2713474210406952E-2</v>
      </c>
      <c r="AM28" s="33">
        <f ca="1">IF(AI28&lt;Bewertung_Stammdaten!P$24,Bewertung_Stammdaten!O$24,IF(AI28&lt;Bewertung_Stammdaten!P$25,Bewertung_Stammdaten!O$25,IF(AI28&lt;Bewertung_Stammdaten!P$26,Bewertung_Stammdaten!O$26,IF(AI28&lt;Bewertung_Stammdaten!P$27,Bewertung_Stammdaten!O$27,IF(AI28&lt;Bewertung_Stammdaten!P$28,Bewertung_Stammdaten!O$28,IF(AI28&lt;Bewertung_Stammdaten!P$29,Bewertung_Stammdaten!O$29,IF(AI28&lt;Bewertung_Stammdaten!P$30,Bewertung_Stammdaten!O$30,IF(AI28&lt;Bewertung_Stammdaten!P$31,Bewertung_Stammdaten!O$31,IF(AI28&lt;Bewertung_Stammdaten!P$32,Bewertung_Stammdaten!O$32,Bewertung_Stammdaten!O$33)))))))))</f>
        <v>14</v>
      </c>
      <c r="AN28" s="33">
        <f>IF(AJ28&lt;Bewertung_Stammdaten!R$24,Bewertung_Stammdaten!Q$24,IF(AJ28&lt;Bewertung_Stammdaten!R$25,Bewertung_Stammdaten!Q$25,IF(AJ28&lt;Bewertung_Stammdaten!R$26,Bewertung_Stammdaten!Q$26,IF(AJ28&lt;Bewertung_Stammdaten!R$27,Bewertung_Stammdaten!Q$27,IF(AJ28&lt;Bewertung_Stammdaten!R$28,Bewertung_Stammdaten!Q$28,IF(AJ28&lt;Bewertung_Stammdaten!R$29,Bewertung_Stammdaten!Q$29,IF(AJ28&lt;Bewertung_Stammdaten!R$30,Bewertung_Stammdaten!Q$30,IF(AJ28&lt;Bewertung_Stammdaten!R$31,Bewertung_Stammdaten!Q$31,IF(AJ28&lt;Bewertung_Stammdaten!R$32,Bewertung_Stammdaten!Q$32,Bewertung_Stammdaten!Q$33)))))))))</f>
        <v>5</v>
      </c>
      <c r="AO28" s="33">
        <f ca="1">IF(AL28&lt;Bewertung_Stammdaten!T$24,Bewertung_Stammdaten!S$24,IF(AL28&lt;Bewertung_Stammdaten!T$25,Bewertung_Stammdaten!S$25,IF(AL28&lt;Bewertung_Stammdaten!T$26,Bewertung_Stammdaten!S$26,IF(AL28&lt;Bewertung_Stammdaten!T$27,Bewertung_Stammdaten!S$27,IF(AL28&lt;Bewertung_Stammdaten!T$28,Bewertung_Stammdaten!S$28,IF(AL28&lt;Bewertung_Stammdaten!T$29,Bewertung_Stammdaten!S$29,IF(AL28&lt;Bewertung_Stammdaten!T$30,Bewertung_Stammdaten!S$30,IF(AL28&lt;Bewertung_Stammdaten!T$31,Bewertung_Stammdaten!S$31,IF(AL28&lt;Bewertung_Stammdaten!T$32,Bewertung_Stammdaten!S$32,Bewertung_Stammdaten!S$33)))))))))</f>
        <v>5</v>
      </c>
      <c r="AP28" s="44"/>
      <c r="AQ28" s="12">
        <f ca="1">VLOOKUP(A28,Dividendenrendite!A3:R68,17,FALSE)</f>
        <v>5.2480272005277724E-2</v>
      </c>
      <c r="AR28" s="12">
        <f>VLOOKUP(A28,Dividendenrendite!A3:R68,16,FALSE)</f>
        <v>4.6768311886061502E-2</v>
      </c>
      <c r="AS28" s="12">
        <f ca="1">VLOOKUP(A28,Dividendenrendite!A3:R68,18,FALSE)</f>
        <v>0.12213312580389668</v>
      </c>
      <c r="AT28" s="33">
        <f ca="1">IF(AQ28&lt;Bewertung_Stammdaten!D$11,Bewertung_Stammdaten!C$11,IF(AQ28&lt;Bewertung_Stammdaten!D$12,Bewertung_Stammdaten!C$12,IF(AQ28&lt;Bewertung_Stammdaten!D$13,Bewertung_Stammdaten!C$13,IF(AQ28&lt;Bewertung_Stammdaten!D$14,Bewertung_Stammdaten!C$14,IF(AQ28&lt;Bewertung_Stammdaten!D$15,Bewertung_Stammdaten!C$15,IF(AQ28&lt;Bewertung_Stammdaten!D$16,Bewertung_Stammdaten!C$16,IF(AQ28&lt;Bewertung_Stammdaten!D$17,Bewertung_Stammdaten!C$17,IF(AQ28&lt;Bewertung_Stammdaten!D$18,Bewertung_Stammdaten!C$18,IF(AQ28&lt;Bewertung_Stammdaten!D$19,Bewertung_Stammdaten!C$19,Bewertung_Stammdaten!C$20)))))))))</f>
        <v>15</v>
      </c>
      <c r="AU28" s="33">
        <f>IF(AR28&lt;Bewertung_Stammdaten!T$11,Bewertung_Stammdaten!S$11,IF(AR28&lt;Bewertung_Stammdaten!T$12,Bewertung_Stammdaten!S$12,IF(AR28&lt;Bewertung_Stammdaten!T$13,Bewertung_Stammdaten!S$13,IF(AR28&lt;Bewertung_Stammdaten!T$14,Bewertung_Stammdaten!S$14,IF(AR28&lt;Bewertung_Stammdaten!T$15,Bewertung_Stammdaten!S$15,IF(AR28&lt;Bewertung_Stammdaten!T$16,Bewertung_Stammdaten!S$16,IF(AR28&lt;Bewertung_Stammdaten!T$17,Bewertung_Stammdaten!S$17,IF(AR28&lt;Bewertung_Stammdaten!T$18,Bewertung_Stammdaten!S$18,IF(AR28&lt;Bewertung_Stammdaten!T$19,Bewertung_Stammdaten!S$19,Bewertung_Stammdaten!S$20)))))))))</f>
        <v>10</v>
      </c>
      <c r="AV28" s="33">
        <f ca="1">IF(AS28&lt;Bewertung_Stammdaten!F$11,Bewertung_Stammdaten!E$11,IF(AS28&lt;Bewertung_Stammdaten!F$12,Bewertung_Stammdaten!E$12,IF(AS28&lt;Bewertung_Stammdaten!F$13,Bewertung_Stammdaten!E$13,IF(AS28&lt;Bewertung_Stammdaten!F$14,Bewertung_Stammdaten!E$14,IF(AS28&lt;Bewertung_Stammdaten!F$15,Bewertung_Stammdaten!E$15,IF(AS28&lt;Bewertung_Stammdaten!F$16,Bewertung_Stammdaten!E$16,IF(AS28&lt;Bewertung_Stammdaten!F$17,Bewertung_Stammdaten!E$17,IF(AS28&lt;Bewertung_Stammdaten!F$18,Bewertung_Stammdaten!E$18,IF(AS28&lt;Bewertung_Stammdaten!F$19,Bewertung_Stammdaten!E$19,Bewertung_Stammdaten!E$20)))))))))</f>
        <v>4</v>
      </c>
      <c r="AW28" s="44"/>
      <c r="AX28" s="12">
        <f>VLOOKUP(A28,Aktien_im_Umlauf_splitbereinigt!A3:Z68,26,FALSE)</f>
        <v>0</v>
      </c>
      <c r="AY28" s="12">
        <f>VLOOKUP(A28,Aktien_im_Umlauf_splitbereinigt!A3:Y68,24,FALSE)</f>
        <v>0</v>
      </c>
      <c r="AZ28" s="12">
        <f>VLOOKUP(A28,Aktien_im_Umlauf_splitbereinigt!A3:Y68,25,FALSE)</f>
        <v>0</v>
      </c>
      <c r="BA28" s="42">
        <f>IF(AX28&lt;Bewertung_Stammdaten!J$24,Bewertung_Stammdaten!I$24,IF(AX28&lt;Bewertung_Stammdaten!J$25,Bewertung_Stammdaten!I$25,IF(AX28&lt;Bewertung_Stammdaten!J$26,Bewertung_Stammdaten!I$26,IF(AX28&lt;Bewertung_Stammdaten!J$27,Bewertung_Stammdaten!I$27,IF(AX28&lt;Bewertung_Stammdaten!J$28,Bewertung_Stammdaten!I$28,IF(AX28&lt;Bewertung_Stammdaten!J$29,Bewertung_Stammdaten!I$29,IF(AX28&lt;Bewertung_Stammdaten!J$30,Bewertung_Stammdaten!I$30,IF(AX28&lt;Bewertung_Stammdaten!J$31,Bewertung_Stammdaten!I$31,IF(AX28&lt;Bewertung_Stammdaten!J$32,Bewertung_Stammdaten!I$32,Bewertung_Stammdaten!I$33)))))))))</f>
        <v>2</v>
      </c>
      <c r="BB28" s="42">
        <f>IF(AY28&lt;Bewertung_Stammdaten!L$24,Bewertung_Stammdaten!K$24,IF(AY28&lt;Bewertung_Stammdaten!L$25,Bewertung_Stammdaten!K$25,IF(AY28&lt;Bewertung_Stammdaten!L$26,Bewertung_Stammdaten!K$26,IF(AY28&lt;Bewertung_Stammdaten!L$27,Bewertung_Stammdaten!K$27,IF(AY28&lt;Bewertung_Stammdaten!L$28,Bewertung_Stammdaten!K$28,IF(AY28&lt;Bewertung_Stammdaten!L$29,Bewertung_Stammdaten!K$29,IF(AY28&lt;Bewertung_Stammdaten!L$30,Bewertung_Stammdaten!K$30,IF(AY28&lt;Bewertung_Stammdaten!L$31,Bewertung_Stammdaten!K$31,IF(AY28&lt;Bewertung_Stammdaten!L$32,Bewertung_Stammdaten!K$32,Bewertung_Stammdaten!K$33)))))))))</f>
        <v>2</v>
      </c>
      <c r="BC28" s="42">
        <f>IF(AZ28&lt;Bewertung_Stammdaten!N$24,Bewertung_Stammdaten!M$24,IF(AZ28&lt;Bewertung_Stammdaten!N$25,Bewertung_Stammdaten!M$25,IF(AZ28&lt;Bewertung_Stammdaten!N$26,Bewertung_Stammdaten!M$26,IF(AZ28&lt;Bewertung_Stammdaten!N$27,Bewertung_Stammdaten!M$27,IF(AZ28&lt;Bewertung_Stammdaten!N$28,Bewertung_Stammdaten!M$28,IF(AZ28&lt;Bewertung_Stammdaten!N$29,Bewertung_Stammdaten!M$29,IF(AZ28&lt;Bewertung_Stammdaten!N$30,Bewertung_Stammdaten!M$30,IF(AZ28&lt;Bewertung_Stammdaten!N$31,Bewertung_Stammdaten!M$31,IF(AZ28&lt;Bewertung_Stammdaten!N$32,Bewertung_Stammdaten!M$32,Bewertung_Stammdaten!M$33)))))))))</f>
        <v>3</v>
      </c>
      <c r="BD28" s="44"/>
      <c r="BE28" s="12">
        <f ca="1">VLOOKUP(A28,Ausschüttungsquote!A3:X68,23,FALSE)</f>
        <v>3.1429158284825656</v>
      </c>
      <c r="BF28" s="12">
        <f>VLOOKUP(A28,Ausschüttungsquote!A3:X68,19,FALSE)</f>
        <v>3.92386476364458</v>
      </c>
      <c r="BG28" s="12">
        <f ca="1">VLOOKUP(A28,Ausschüttungsquote!A3:X68,24,FALSE)</f>
        <v>-0.19902544613608197</v>
      </c>
      <c r="BH28" s="33">
        <f ca="1">IF(BE28&lt;Bewertung_Stammdaten!H$11,Bewertung_Stammdaten!G$11,IF(BE28&lt;Bewertung_Stammdaten!H$12,Bewertung_Stammdaten!G$12,IF(BE28&lt;Bewertung_Stammdaten!H$13,Bewertung_Stammdaten!G$13,IF(BE28&lt;Bewertung_Stammdaten!H$14,Bewertung_Stammdaten!G$14,IF(BE28&lt;Bewertung_Stammdaten!H$15,Bewertung_Stammdaten!G$15,IF(BE28&lt;Bewertung_Stammdaten!H$16,Bewertung_Stammdaten!G$16,IF(BE28&lt;Bewertung_Stammdaten!H$17,Bewertung_Stammdaten!G$17,IF(BE28&lt;Bewertung_Stammdaten!H$18,Bewertung_Stammdaten!G$18,IF(BE28&lt;Bewertung_Stammdaten!H$19,Bewertung_Stammdaten!G$19,Bewertung_Stammdaten!G$20)))))))))</f>
        <v>1</v>
      </c>
      <c r="BI28" s="42">
        <f>IF(BF28&lt;Bewertung_Stammdaten!B$24,Bewertung_Stammdaten!A$24,IF(BF28&lt;Bewertung_Stammdaten!B$25,Bewertung_Stammdaten!A$25,IF(BF28&lt;Bewertung_Stammdaten!B$26,Bewertung_Stammdaten!A$26,IF(BF28&lt;Bewertung_Stammdaten!B$27,Bewertung_Stammdaten!A$27,IF(BF28&lt;Bewertung_Stammdaten!B$28,Bewertung_Stammdaten!A$28,IF(BF28&lt;Bewertung_Stammdaten!B$29,Bewertung_Stammdaten!A$29,IF(BF28&lt;Bewertung_Stammdaten!B$30,Bewertung_Stammdaten!A$30,IF(BF28&lt;Bewertung_Stammdaten!B$31,Bewertung_Stammdaten!A$31,IF(BF28&lt;Bewertung_Stammdaten!B$32,Bewertung_Stammdaten!A$32,Bewertung_Stammdaten!A$33)))))))))</f>
        <v>1</v>
      </c>
      <c r="BJ28" s="33">
        <f ca="1">IF(BG28&lt;Bewertung_Stammdaten!J$11,Bewertung_Stammdaten!I$11,IF(BG28&lt;Bewertung_Stammdaten!J$12,Bewertung_Stammdaten!I$12,IF(BG28&lt;Bewertung_Stammdaten!J$13,Bewertung_Stammdaten!I$13,IF(BG28&lt;Bewertung_Stammdaten!J$14,Bewertung_Stammdaten!I$14,IF(BG28&lt;Bewertung_Stammdaten!J$15,Bewertung_Stammdaten!I$15,IF(BG28&lt;Bewertung_Stammdaten!J$16,Bewertung_Stammdaten!I$16,IF(BG28&lt;Bewertung_Stammdaten!J$17,Bewertung_Stammdaten!I$17,IF(BG28&lt;Bewertung_Stammdaten!J$18,Bewertung_Stammdaten!I$18,IF(BG28&lt;Bewertung_Stammdaten!J$19,Bewertung_Stammdaten!I$19,Bewertung_Stammdaten!I$20)))))))))</f>
        <v>9</v>
      </c>
    </row>
    <row r="29" spans="1:62" x14ac:dyDescent="0.25">
      <c r="A29" s="39" t="s">
        <v>52</v>
      </c>
      <c r="B29" s="39" t="s">
        <v>53</v>
      </c>
      <c r="C29" s="33">
        <f t="shared" ca="1" si="8"/>
        <v>86.5</v>
      </c>
      <c r="D29" s="44"/>
      <c r="E29" s="11">
        <f ca="1">VLOOKUP(A29,KGV!A3:R68,17,FALSE)</f>
        <v>22.391889160148661</v>
      </c>
      <c r="F29" s="11">
        <f>VLOOKUP(A29,KGV!A3:R68,16,FALSE)</f>
        <v>15.958904109589042</v>
      </c>
      <c r="G29" s="12">
        <f ca="1">VLOOKUP(A29,KGV!A3:R68,18,FALSE)</f>
        <v>0.40309691733120356</v>
      </c>
      <c r="H29" s="16">
        <f t="shared" ca="1" si="0"/>
        <v>33.109374570134349</v>
      </c>
      <c r="I29" s="12">
        <f t="shared" ca="1" si="1"/>
        <v>1.074664672635028</v>
      </c>
      <c r="J29" s="33">
        <f ca="1">IF(G29&lt;Bewertung_Stammdaten!B$11,Bewertung_Stammdaten!A$11,IF(G29&lt;Bewertung_Stammdaten!B$12,Bewertung_Stammdaten!A$12,IF(G29&lt;Bewertung_Stammdaten!B$13,Bewertung_Stammdaten!A$13,IF(G29&lt;Bewertung_Stammdaten!B$14,Bewertung_Stammdaten!A$14,IF(G29&lt;Bewertung_Stammdaten!B$15,Bewertung_Stammdaten!A$15,IF(G29&lt;Bewertung_Stammdaten!B$16,Bewertung_Stammdaten!A$16,IF(G29&lt;Bewertung_Stammdaten!B$17,Bewertung_Stammdaten!A$17,IF(G29&lt;Bewertung_Stammdaten!B$18,Bewertung_Stammdaten!A$18,IF(G29&lt;Bewertung_Stammdaten!B$19,Bewertung_Stammdaten!A$19,Bewertung_Stammdaten!A$20)))))))))</f>
        <v>3</v>
      </c>
      <c r="K29" s="33">
        <f ca="1">IF(I29&lt;Bewertung_Stammdaten!N$11,Bewertung_Stammdaten!M$11,IF(I29&lt;Bewertung_Stammdaten!N$12,Bewertung_Stammdaten!M$12,IF(I29&lt;Bewertung_Stammdaten!N$13,Bewertung_Stammdaten!M$13,IF(I29&lt;Bewertung_Stammdaten!N$14,Bewertung_Stammdaten!M$14,IF(I29&lt;Bewertung_Stammdaten!N$15,Bewertung_Stammdaten!M$15,IF(I29&lt;Bewertung_Stammdaten!N$16,Bewertung_Stammdaten!M$16,IF(I29&lt;Bewertung_Stammdaten!N$17,Bewertung_Stammdaten!M$17,IF(I29&lt;Bewertung_Stammdaten!N$18,Bewertung_Stammdaten!M$18,IF(I29&lt;Bewertung_Stammdaten!N$19,Bewertung_Stammdaten!M$19,Bewertung_Stammdaten!M$20)))))))))</f>
        <v>1.5</v>
      </c>
      <c r="L29" s="44"/>
      <c r="M29" s="11">
        <f ca="1">VLOOKUP(A29,Buchwert_je_Aktie!A3:AK68,23,FALSE)</f>
        <v>5.5715277777777779</v>
      </c>
      <c r="N29" s="11">
        <f>VLOOKUP(A29,Buchwert_je_Aktie!A3:AK68,19,FALSE)</f>
        <v>4.6307692307692312</v>
      </c>
      <c r="O29" s="12">
        <f ca="1">VLOOKUP(A29,Buchwert_je_Aktie!A3:AK68,24,FALSE)</f>
        <v>0.20315383905500184</v>
      </c>
      <c r="P29" s="12">
        <f>VLOOKUP(A29,Buchwert_je_Aktie!A3:AK68,37,FALSE)</f>
        <v>-0.19612590799031482</v>
      </c>
      <c r="Q29" s="16">
        <f t="shared" ca="1" si="2"/>
        <v>4.4788068334678499</v>
      </c>
      <c r="R29" s="12">
        <f t="shared" ca="1" si="3"/>
        <v>-3.2815800081693602E-2</v>
      </c>
      <c r="S29" s="53">
        <f ca="1">IF(O29&lt;Bewertung_Stammdaten!D$24,Bewertung_Stammdaten!C$24,IF(O29&lt;Bewertung_Stammdaten!D$25,Bewertung_Stammdaten!C$25,IF(O29&lt;Bewertung_Stammdaten!D$26,Bewertung_Stammdaten!C$26,IF(O29&lt;Bewertung_Stammdaten!D$27,Bewertung_Stammdaten!C$27,IF(O29&lt;Bewertung_Stammdaten!D$28,Bewertung_Stammdaten!C$28,IF(O29&lt;Bewertung_Stammdaten!D$29,Bewertung_Stammdaten!C$29,IF(O29&lt;Bewertung_Stammdaten!D$30,Bewertung_Stammdaten!C$30,IF(O29&lt;Bewertung_Stammdaten!D$31,Bewertung_Stammdaten!C$31,IF(O29&lt;Bewertung_Stammdaten!D$32,Bewertung_Stammdaten!C$32,Bewertung_Stammdaten!C$33)))))))))</f>
        <v>7.5</v>
      </c>
      <c r="T29" s="53">
        <f>IF(P29&lt;Bewertung_Stammdaten!F$24,Bewertung_Stammdaten!E$24,IF(P29&lt;Bewertung_Stammdaten!F$25,Bewertung_Stammdaten!E$25,IF(P29&lt;Bewertung_Stammdaten!F$26,Bewertung_Stammdaten!E$26,IF(P29&lt;Bewertung_Stammdaten!F$27,Bewertung_Stammdaten!E$27,IF(P29&lt;Bewertung_Stammdaten!F$28,Bewertung_Stammdaten!E$28,IF(P29&lt;Bewertung_Stammdaten!F$29,Bewertung_Stammdaten!E$29,IF(P29&lt;Bewertung_Stammdaten!F$30,Bewertung_Stammdaten!E$30,IF(P29&lt;Bewertung_Stammdaten!F$31,Bewertung_Stammdaten!E$31,IF(P29&lt;Bewertung_Stammdaten!F$32,Bewertung_Stammdaten!E$32,Bewertung_Stammdaten!E$33)))))))))</f>
        <v>6</v>
      </c>
      <c r="U29" s="53">
        <f ca="1">IF(R29&lt;Bewertung_Stammdaten!H$24,Bewertung_Stammdaten!G$24,IF(R29&lt;Bewertung_Stammdaten!H$25,Bewertung_Stammdaten!G$25,IF(R29&lt;Bewertung_Stammdaten!H$26,Bewertung_Stammdaten!G$26,IF(R29&lt;Bewertung_Stammdaten!H$27,Bewertung_Stammdaten!G$27,IF(R29&lt;Bewertung_Stammdaten!H$28,Bewertung_Stammdaten!G$28,IF(R29&lt;Bewertung_Stammdaten!H$29,Bewertung_Stammdaten!G$29,IF(R29&lt;Bewertung_Stammdaten!H$30,Bewertung_Stammdaten!G$30,IF(R29&lt;Bewertung_Stammdaten!H$31,Bewertung_Stammdaten!G$31,IF(R29&lt;Bewertung_Stammdaten!H$32,Bewertung_Stammdaten!G$32,Bewertung_Stammdaten!G$33)))))))))</f>
        <v>2</v>
      </c>
      <c r="V29" s="44"/>
      <c r="W29" s="14">
        <f ca="1">VLOOKUP(A29,Ergebnis_je_Aktie_verwässert!A3:AK68,23,FALSE)</f>
        <v>1.7863611111111108</v>
      </c>
      <c r="X29" s="14">
        <f>VLOOKUP(A29,Ergebnis_je_Aktie_verwässert!A3:AK68,19,FALSE)</f>
        <v>1.5907692307692307</v>
      </c>
      <c r="Y29" s="12">
        <f ca="1">VLOOKUP(A29,Ergebnis_je_Aktie_verwässert!A3:AK68,24,FALSE)</f>
        <v>0.12295427681065974</v>
      </c>
      <c r="Z29" s="41">
        <f>VLOOKUP(A29,Ergebnis_je_Aktie_verwässert!A3:AK68,37,FALSE)</f>
        <v>-0.32369942196531798</v>
      </c>
      <c r="AA29" s="16">
        <f t="shared" ca="1" si="4"/>
        <v>1.208117052023121</v>
      </c>
      <c r="AB29" s="12">
        <f t="shared" ca="1" si="5"/>
        <v>-0.24054537348643257</v>
      </c>
      <c r="AC29" s="33">
        <f ca="1">IF(Y29&lt;Bewertung_Stammdaten!L$11,Bewertung_Stammdaten!K$11,IF(Y29&lt;Bewertung_Stammdaten!L$12,Bewertung_Stammdaten!K$12,IF(Y29&lt;Bewertung_Stammdaten!L$13,Bewertung_Stammdaten!K$13,IF(Y29&lt;Bewertung_Stammdaten!L$14,Bewertung_Stammdaten!K$14,IF(Y29&lt;Bewertung_Stammdaten!L$15,Bewertung_Stammdaten!K$15,IF(Y29&lt;Bewertung_Stammdaten!L$16,Bewertung_Stammdaten!K$16,IF(Y29&lt;Bewertung_Stammdaten!L$17,Bewertung_Stammdaten!K$17,IF(Y29&lt;Bewertung_Stammdaten!L$18,Bewertung_Stammdaten!K$18,IF(Y29&lt;Bewertung_Stammdaten!L$19,Bewertung_Stammdaten!K$19,Bewertung_Stammdaten!K$20)))))))))</f>
        <v>8</v>
      </c>
      <c r="AD29" s="33">
        <f>IF(Z29&lt;Bewertung_Stammdaten!R$11,Bewertung_Stammdaten!Q$11,IF(Z29&lt;Bewertung_Stammdaten!R$12,Bewertung_Stammdaten!Q$12,IF(Z29&lt;Bewertung_Stammdaten!R$13,Bewertung_Stammdaten!Q$13,IF(Z29&lt;Bewertung_Stammdaten!R$14,Bewertung_Stammdaten!Q$14,IF(Z29&lt;Bewertung_Stammdaten!R$15,Bewertung_Stammdaten!Q$15,IF(Z29&lt;Bewertung_Stammdaten!R$16,Bewertung_Stammdaten!Q$16,IF(Z29&lt;Bewertung_Stammdaten!R$17,Bewertung_Stammdaten!Q$17,IF(Z29&lt;Bewertung_Stammdaten!R$18,Bewertung_Stammdaten!Q$18,IF(Z29&lt;Bewertung_Stammdaten!R$19,Bewertung_Stammdaten!Q$19,Bewertung_Stammdaten!Q$20)))))))))</f>
        <v>4</v>
      </c>
      <c r="AE29" s="33">
        <f ca="1">IF(AB29&lt;Bewertung_Stammdaten!P$11,Bewertung_Stammdaten!O$11,IF(AB29&lt;Bewertung_Stammdaten!P$12,Bewertung_Stammdaten!O$12,IF(AB29&lt;Bewertung_Stammdaten!P$13,Bewertung_Stammdaten!O$13,IF(AB29&lt;Bewertung_Stammdaten!P$14,Bewertung_Stammdaten!O$14,IF(AB29&lt;Bewertung_Stammdaten!P$15,Bewertung_Stammdaten!O$15,IF(AB29&lt;Bewertung_Stammdaten!P$16,Bewertung_Stammdaten!O$16,IF(AB29&lt;Bewertung_Stammdaten!P$17,Bewertung_Stammdaten!O$17,IF(AB29&lt;Bewertung_Stammdaten!P$18,Bewertung_Stammdaten!O$18,IF(AB29&lt;Bewertung_Stammdaten!P$19,Bewertung_Stammdaten!O$19,Bewertung_Stammdaten!O$20)))))))))</f>
        <v>2</v>
      </c>
      <c r="AF29" s="44"/>
      <c r="AG29" s="14">
        <f ca="1">VLOOKUP(A29,Dividende_je_Aktie!A3:AM68,24,FALSE)</f>
        <v>1.1962222222222221</v>
      </c>
      <c r="AH29" s="14">
        <f>VLOOKUP(A29,Dividende_je_Aktie!A3:AM68,20,FALSE)</f>
        <v>0.92214285714285726</v>
      </c>
      <c r="AI29" s="12">
        <f ca="1">VLOOKUP(A29,Dividende_je_Aktie!A3:AM68,25,FALSE)</f>
        <v>0.2972200705740593</v>
      </c>
      <c r="AJ29" s="41">
        <f>VLOOKUP(A29,Dividende_je_Aktie!A3:AM68,39,FALSE)</f>
        <v>-0.40259740259740262</v>
      </c>
      <c r="AK29" s="16">
        <f t="shared" ca="1" si="6"/>
        <v>0.7146262626262625</v>
      </c>
      <c r="AL29" s="12">
        <f t="shared" ca="1" si="7"/>
        <v>-0.2250373604362762</v>
      </c>
      <c r="AM29" s="33">
        <f ca="1">IF(AI29&lt;Bewertung_Stammdaten!P$24,Bewertung_Stammdaten!O$24,IF(AI29&lt;Bewertung_Stammdaten!P$25,Bewertung_Stammdaten!O$25,IF(AI29&lt;Bewertung_Stammdaten!P$26,Bewertung_Stammdaten!O$26,IF(AI29&lt;Bewertung_Stammdaten!P$27,Bewertung_Stammdaten!O$27,IF(AI29&lt;Bewertung_Stammdaten!P$28,Bewertung_Stammdaten!O$28,IF(AI29&lt;Bewertung_Stammdaten!P$29,Bewertung_Stammdaten!O$29,IF(AI29&lt;Bewertung_Stammdaten!P$30,Bewertung_Stammdaten!O$30,IF(AI29&lt;Bewertung_Stammdaten!P$31,Bewertung_Stammdaten!O$31,IF(AI29&lt;Bewertung_Stammdaten!P$32,Bewertung_Stammdaten!O$32,Bewertung_Stammdaten!O$33)))))))))</f>
        <v>10</v>
      </c>
      <c r="AN29" s="33">
        <f>IF(AJ29&lt;Bewertung_Stammdaten!R$24,Bewertung_Stammdaten!Q$24,IF(AJ29&lt;Bewertung_Stammdaten!R$25,Bewertung_Stammdaten!Q$25,IF(AJ29&lt;Bewertung_Stammdaten!R$26,Bewertung_Stammdaten!Q$26,IF(AJ29&lt;Bewertung_Stammdaten!R$27,Bewertung_Stammdaten!Q$27,IF(AJ29&lt;Bewertung_Stammdaten!R$28,Bewertung_Stammdaten!Q$28,IF(AJ29&lt;Bewertung_Stammdaten!R$29,Bewertung_Stammdaten!Q$29,IF(AJ29&lt;Bewertung_Stammdaten!R$30,Bewertung_Stammdaten!Q$30,IF(AJ29&lt;Bewertung_Stammdaten!R$31,Bewertung_Stammdaten!Q$31,IF(AJ29&lt;Bewertung_Stammdaten!R$32,Bewertung_Stammdaten!Q$32,Bewertung_Stammdaten!Q$33)))))))))</f>
        <v>3</v>
      </c>
      <c r="AO29" s="33">
        <f ca="1">IF(AL29&lt;Bewertung_Stammdaten!T$24,Bewertung_Stammdaten!S$24,IF(AL29&lt;Bewertung_Stammdaten!T$25,Bewertung_Stammdaten!S$25,IF(AL29&lt;Bewertung_Stammdaten!T$26,Bewertung_Stammdaten!S$26,IF(AL29&lt;Bewertung_Stammdaten!T$27,Bewertung_Stammdaten!S$27,IF(AL29&lt;Bewertung_Stammdaten!T$28,Bewertung_Stammdaten!S$28,IF(AL29&lt;Bewertung_Stammdaten!T$29,Bewertung_Stammdaten!S$29,IF(AL29&lt;Bewertung_Stammdaten!T$30,Bewertung_Stammdaten!S$30,IF(AL29&lt;Bewertung_Stammdaten!T$31,Bewertung_Stammdaten!S$31,IF(AL29&lt;Bewertung_Stammdaten!T$32,Bewertung_Stammdaten!S$32,Bewertung_Stammdaten!S$33)))))))))</f>
        <v>2</v>
      </c>
      <c r="AP29" s="44"/>
      <c r="AQ29" s="12">
        <f ca="1">VLOOKUP(A29,Dividendenrendite!A3:R68,17,FALSE)</f>
        <v>2.9905555555555553E-2</v>
      </c>
      <c r="AR29" s="12">
        <f>VLOOKUP(A29,Dividendenrendite!A3:R68,16,FALSE)</f>
        <v>3.443693578117351E-2</v>
      </c>
      <c r="AS29" s="12">
        <f ca="1">VLOOKUP(A29,Dividendenrendite!A3:R68,18,FALSE)</f>
        <v>-0.13158488474155239</v>
      </c>
      <c r="AT29" s="33">
        <f ca="1">IF(AQ29&lt;Bewertung_Stammdaten!D$11,Bewertung_Stammdaten!C$11,IF(AQ29&lt;Bewertung_Stammdaten!D$12,Bewertung_Stammdaten!C$12,IF(AQ29&lt;Bewertung_Stammdaten!D$13,Bewertung_Stammdaten!C$13,IF(AQ29&lt;Bewertung_Stammdaten!D$14,Bewertung_Stammdaten!C$14,IF(AQ29&lt;Bewertung_Stammdaten!D$15,Bewertung_Stammdaten!C$15,IF(AQ29&lt;Bewertung_Stammdaten!D$16,Bewertung_Stammdaten!C$16,IF(AQ29&lt;Bewertung_Stammdaten!D$17,Bewertung_Stammdaten!C$17,IF(AQ29&lt;Bewertung_Stammdaten!D$18,Bewertung_Stammdaten!C$18,IF(AQ29&lt;Bewertung_Stammdaten!D$19,Bewertung_Stammdaten!C$19,Bewertung_Stammdaten!C$20)))))))))</f>
        <v>9</v>
      </c>
      <c r="AU29" s="33">
        <f>IF(AR29&lt;Bewertung_Stammdaten!T$11,Bewertung_Stammdaten!S$11,IF(AR29&lt;Bewertung_Stammdaten!T$12,Bewertung_Stammdaten!S$12,IF(AR29&lt;Bewertung_Stammdaten!T$13,Bewertung_Stammdaten!S$13,IF(AR29&lt;Bewertung_Stammdaten!T$14,Bewertung_Stammdaten!S$14,IF(AR29&lt;Bewertung_Stammdaten!T$15,Bewertung_Stammdaten!S$15,IF(AR29&lt;Bewertung_Stammdaten!T$16,Bewertung_Stammdaten!S$16,IF(AR29&lt;Bewertung_Stammdaten!T$17,Bewertung_Stammdaten!S$17,IF(AR29&lt;Bewertung_Stammdaten!T$18,Bewertung_Stammdaten!S$18,IF(AR29&lt;Bewertung_Stammdaten!T$19,Bewertung_Stammdaten!S$19,Bewertung_Stammdaten!S$20)))))))))</f>
        <v>7</v>
      </c>
      <c r="AV29" s="33">
        <f ca="1">IF(AS29&lt;Bewertung_Stammdaten!F$11,Bewertung_Stammdaten!E$11,IF(AS29&lt;Bewertung_Stammdaten!F$12,Bewertung_Stammdaten!E$12,IF(AS29&lt;Bewertung_Stammdaten!F$13,Bewertung_Stammdaten!E$13,IF(AS29&lt;Bewertung_Stammdaten!F$14,Bewertung_Stammdaten!E$14,IF(AS29&lt;Bewertung_Stammdaten!F$15,Bewertung_Stammdaten!E$15,IF(AS29&lt;Bewertung_Stammdaten!F$16,Bewertung_Stammdaten!E$16,IF(AS29&lt;Bewertung_Stammdaten!F$17,Bewertung_Stammdaten!E$17,IF(AS29&lt;Bewertung_Stammdaten!F$18,Bewertung_Stammdaten!E$18,IF(AS29&lt;Bewertung_Stammdaten!F$19,Bewertung_Stammdaten!E$19,Bewertung_Stammdaten!E$20)))))))))</f>
        <v>1.5</v>
      </c>
      <c r="AW29" s="44"/>
      <c r="AX29" s="12">
        <f>VLOOKUP(A29,Aktien_im_Umlauf_splitbereinigt!A3:Z68,26,FALSE)</f>
        <v>0</v>
      </c>
      <c r="AY29" s="12">
        <f>VLOOKUP(A29,Aktien_im_Umlauf_splitbereinigt!A3:Y68,24,FALSE)</f>
        <v>0</v>
      </c>
      <c r="AZ29" s="12">
        <f>VLOOKUP(A29,Aktien_im_Umlauf_splitbereinigt!A3:Y68,25,FALSE)</f>
        <v>0</v>
      </c>
      <c r="BA29" s="42">
        <f>IF(AX29&lt;Bewertung_Stammdaten!J$24,Bewertung_Stammdaten!I$24,IF(AX29&lt;Bewertung_Stammdaten!J$25,Bewertung_Stammdaten!I$25,IF(AX29&lt;Bewertung_Stammdaten!J$26,Bewertung_Stammdaten!I$26,IF(AX29&lt;Bewertung_Stammdaten!J$27,Bewertung_Stammdaten!I$27,IF(AX29&lt;Bewertung_Stammdaten!J$28,Bewertung_Stammdaten!I$28,IF(AX29&lt;Bewertung_Stammdaten!J$29,Bewertung_Stammdaten!I$29,IF(AX29&lt;Bewertung_Stammdaten!J$30,Bewertung_Stammdaten!I$30,IF(AX29&lt;Bewertung_Stammdaten!J$31,Bewertung_Stammdaten!I$31,IF(AX29&lt;Bewertung_Stammdaten!J$32,Bewertung_Stammdaten!I$32,Bewertung_Stammdaten!I$33)))))))))</f>
        <v>2</v>
      </c>
      <c r="BB29" s="42">
        <f>IF(AY29&lt;Bewertung_Stammdaten!L$24,Bewertung_Stammdaten!K$24,IF(AY29&lt;Bewertung_Stammdaten!L$25,Bewertung_Stammdaten!K$25,IF(AY29&lt;Bewertung_Stammdaten!L$26,Bewertung_Stammdaten!K$26,IF(AY29&lt;Bewertung_Stammdaten!L$27,Bewertung_Stammdaten!K$27,IF(AY29&lt;Bewertung_Stammdaten!L$28,Bewertung_Stammdaten!K$28,IF(AY29&lt;Bewertung_Stammdaten!L$29,Bewertung_Stammdaten!K$29,IF(AY29&lt;Bewertung_Stammdaten!L$30,Bewertung_Stammdaten!K$30,IF(AY29&lt;Bewertung_Stammdaten!L$31,Bewertung_Stammdaten!K$31,IF(AY29&lt;Bewertung_Stammdaten!L$32,Bewertung_Stammdaten!K$32,Bewertung_Stammdaten!K$33)))))))))</f>
        <v>2</v>
      </c>
      <c r="BC29" s="42">
        <f>IF(AZ29&lt;Bewertung_Stammdaten!N$24,Bewertung_Stammdaten!M$24,IF(AZ29&lt;Bewertung_Stammdaten!N$25,Bewertung_Stammdaten!M$25,IF(AZ29&lt;Bewertung_Stammdaten!N$26,Bewertung_Stammdaten!M$26,IF(AZ29&lt;Bewertung_Stammdaten!N$27,Bewertung_Stammdaten!M$27,IF(AZ29&lt;Bewertung_Stammdaten!N$28,Bewertung_Stammdaten!M$28,IF(AZ29&lt;Bewertung_Stammdaten!N$29,Bewertung_Stammdaten!M$29,IF(AZ29&lt;Bewertung_Stammdaten!N$30,Bewertung_Stammdaten!M$30,IF(AZ29&lt;Bewertung_Stammdaten!N$31,Bewertung_Stammdaten!M$31,IF(AZ29&lt;Bewertung_Stammdaten!N$32,Bewertung_Stammdaten!M$32,Bewertung_Stammdaten!M$33)))))))))</f>
        <v>3</v>
      </c>
      <c r="BD29" s="44"/>
      <c r="BE29" s="12">
        <f ca="1">VLOOKUP(A29,Ausschüttungsquote!A3:X68,23,FALSE)</f>
        <v>0.66968644781144782</v>
      </c>
      <c r="BF29" s="12">
        <f>VLOOKUP(A29,Ausschüttungsquote!A3:X68,19,FALSE)</f>
        <v>0.58568984764372489</v>
      </c>
      <c r="BG29" s="12">
        <f ca="1">VLOOKUP(A29,Ausschüttungsquote!A3:X68,24,FALSE)</f>
        <v>0.14341481332764716</v>
      </c>
      <c r="BH29" s="33">
        <f ca="1">IF(BE29&lt;Bewertung_Stammdaten!H$11,Bewertung_Stammdaten!G$11,IF(BE29&lt;Bewertung_Stammdaten!H$12,Bewertung_Stammdaten!G$12,IF(BE29&lt;Bewertung_Stammdaten!H$13,Bewertung_Stammdaten!G$13,IF(BE29&lt;Bewertung_Stammdaten!H$14,Bewertung_Stammdaten!G$14,IF(BE29&lt;Bewertung_Stammdaten!H$15,Bewertung_Stammdaten!G$15,IF(BE29&lt;Bewertung_Stammdaten!H$16,Bewertung_Stammdaten!G$16,IF(BE29&lt;Bewertung_Stammdaten!H$17,Bewertung_Stammdaten!G$17,IF(BE29&lt;Bewertung_Stammdaten!H$18,Bewertung_Stammdaten!G$18,IF(BE29&lt;Bewertung_Stammdaten!H$19,Bewertung_Stammdaten!G$19,Bewertung_Stammdaten!G$20)))))))))</f>
        <v>4</v>
      </c>
      <c r="BI29" s="42">
        <f>IF(BF29&lt;Bewertung_Stammdaten!B$24,Bewertung_Stammdaten!A$24,IF(BF29&lt;Bewertung_Stammdaten!B$25,Bewertung_Stammdaten!A$25,IF(BF29&lt;Bewertung_Stammdaten!B$26,Bewertung_Stammdaten!A$26,IF(BF29&lt;Bewertung_Stammdaten!B$27,Bewertung_Stammdaten!A$27,IF(BF29&lt;Bewertung_Stammdaten!B$28,Bewertung_Stammdaten!A$28,IF(BF29&lt;Bewertung_Stammdaten!B$29,Bewertung_Stammdaten!A$29,IF(BF29&lt;Bewertung_Stammdaten!B$30,Bewertung_Stammdaten!A$30,IF(BF29&lt;Bewertung_Stammdaten!B$31,Bewertung_Stammdaten!A$31,IF(BF29&lt;Bewertung_Stammdaten!B$32,Bewertung_Stammdaten!A$32,Bewertung_Stammdaten!A$33)))))))))</f>
        <v>6</v>
      </c>
      <c r="BJ29" s="33">
        <f ca="1">IF(BG29&lt;Bewertung_Stammdaten!J$11,Bewertung_Stammdaten!I$11,IF(BG29&lt;Bewertung_Stammdaten!J$12,Bewertung_Stammdaten!I$12,IF(BG29&lt;Bewertung_Stammdaten!J$13,Bewertung_Stammdaten!I$13,IF(BG29&lt;Bewertung_Stammdaten!J$14,Bewertung_Stammdaten!I$14,IF(BG29&lt;Bewertung_Stammdaten!J$15,Bewertung_Stammdaten!I$15,IF(BG29&lt;Bewertung_Stammdaten!J$16,Bewertung_Stammdaten!I$16,IF(BG29&lt;Bewertung_Stammdaten!J$17,Bewertung_Stammdaten!I$17,IF(BG29&lt;Bewertung_Stammdaten!J$18,Bewertung_Stammdaten!I$18,IF(BG29&lt;Bewertung_Stammdaten!J$19,Bewertung_Stammdaten!I$19,Bewertung_Stammdaten!I$20)))))))))</f>
        <v>3</v>
      </c>
    </row>
    <row r="30" spans="1:62" x14ac:dyDescent="0.25">
      <c r="A30" s="39" t="s">
        <v>54</v>
      </c>
      <c r="B30" s="39" t="s">
        <v>55</v>
      </c>
      <c r="C30" s="33">
        <f t="shared" ca="1" si="8"/>
        <v>120.5</v>
      </c>
      <c r="D30" s="44"/>
      <c r="E30" s="11">
        <f ca="1">VLOOKUP(A30,KGV!A3:R68,17,FALSE)</f>
        <v>12.825961653489356</v>
      </c>
      <c r="F30" s="11">
        <f>VLOOKUP(A30,KGV!A3:R68,16,FALSE)</f>
        <v>13.443396226415093</v>
      </c>
      <c r="G30" s="12">
        <f ca="1">VLOOKUP(A30,KGV!A3:R68,18,FALSE)</f>
        <v>-4.5928466477282881E-2</v>
      </c>
      <c r="H30" s="16">
        <f t="shared" ca="1" si="0"/>
        <v>20.964262195043517</v>
      </c>
      <c r="I30" s="12">
        <f t="shared" ca="1" si="1"/>
        <v>0.55944687205235999</v>
      </c>
      <c r="J30" s="33">
        <f ca="1">IF(G30&lt;Bewertung_Stammdaten!B$11,Bewertung_Stammdaten!A$11,IF(G30&lt;Bewertung_Stammdaten!B$12,Bewertung_Stammdaten!A$12,IF(G30&lt;Bewertung_Stammdaten!B$13,Bewertung_Stammdaten!A$13,IF(G30&lt;Bewertung_Stammdaten!B$14,Bewertung_Stammdaten!A$14,IF(G30&lt;Bewertung_Stammdaten!B$15,Bewertung_Stammdaten!A$15,IF(G30&lt;Bewertung_Stammdaten!B$16,Bewertung_Stammdaten!A$16,IF(G30&lt;Bewertung_Stammdaten!B$17,Bewertung_Stammdaten!A$17,IF(G30&lt;Bewertung_Stammdaten!B$18,Bewertung_Stammdaten!A$18,IF(G30&lt;Bewertung_Stammdaten!B$19,Bewertung_Stammdaten!A$19,Bewertung_Stammdaten!A$20)))))))))</f>
        <v>21</v>
      </c>
      <c r="K30" s="33">
        <f ca="1">IF(I30&lt;Bewertung_Stammdaten!N$11,Bewertung_Stammdaten!M$11,IF(I30&lt;Bewertung_Stammdaten!N$12,Bewertung_Stammdaten!M$12,IF(I30&lt;Bewertung_Stammdaten!N$13,Bewertung_Stammdaten!M$13,IF(I30&lt;Bewertung_Stammdaten!N$14,Bewertung_Stammdaten!M$14,IF(I30&lt;Bewertung_Stammdaten!N$15,Bewertung_Stammdaten!M$15,IF(I30&lt;Bewertung_Stammdaten!N$16,Bewertung_Stammdaten!M$16,IF(I30&lt;Bewertung_Stammdaten!N$17,Bewertung_Stammdaten!M$17,IF(I30&lt;Bewertung_Stammdaten!N$18,Bewertung_Stammdaten!M$18,IF(I30&lt;Bewertung_Stammdaten!N$19,Bewertung_Stammdaten!M$19,Bewertung_Stammdaten!M$20)))))))))</f>
        <v>1.5</v>
      </c>
      <c r="L30" s="44"/>
      <c r="M30" s="11">
        <f ca="1">VLOOKUP(A30,Buchwert_je_Aktie!A3:AK68,23,FALSE)</f>
        <v>17.021666666666665</v>
      </c>
      <c r="N30" s="11">
        <f>VLOOKUP(A30,Buchwert_je_Aktie!A3:AK68,19,FALSE)</f>
        <v>17.713333333333335</v>
      </c>
      <c r="O30" s="12">
        <f ca="1">VLOOKUP(A30,Buchwert_je_Aktie!A3:AK68,24,FALSE)</f>
        <v>-3.9047798268724287E-2</v>
      </c>
      <c r="P30" s="12">
        <f>VLOOKUP(A30,Buchwert_je_Aktie!A3:AK68,37,FALSE)</f>
        <v>-0.14353064431639595</v>
      </c>
      <c r="Q30" s="16">
        <f t="shared" ca="1" si="2"/>
        <v>14.578535882661079</v>
      </c>
      <c r="R30" s="12">
        <f t="shared" ca="1" si="3"/>
        <v>-0.17697388694047356</v>
      </c>
      <c r="S30" s="53">
        <f ca="1">IF(O30&lt;Bewertung_Stammdaten!D$24,Bewertung_Stammdaten!C$24,IF(O30&lt;Bewertung_Stammdaten!D$25,Bewertung_Stammdaten!C$25,IF(O30&lt;Bewertung_Stammdaten!D$26,Bewertung_Stammdaten!C$26,IF(O30&lt;Bewertung_Stammdaten!D$27,Bewertung_Stammdaten!C$27,IF(O30&lt;Bewertung_Stammdaten!D$28,Bewertung_Stammdaten!C$28,IF(O30&lt;Bewertung_Stammdaten!D$29,Bewertung_Stammdaten!C$29,IF(O30&lt;Bewertung_Stammdaten!D$30,Bewertung_Stammdaten!C$30,IF(O30&lt;Bewertung_Stammdaten!D$31,Bewertung_Stammdaten!C$31,IF(O30&lt;Bewertung_Stammdaten!D$32,Bewertung_Stammdaten!C$32,Bewertung_Stammdaten!C$33)))))))))</f>
        <v>3</v>
      </c>
      <c r="T30" s="53">
        <f>IF(P30&lt;Bewertung_Stammdaten!F$24,Bewertung_Stammdaten!E$24,IF(P30&lt;Bewertung_Stammdaten!F$25,Bewertung_Stammdaten!E$25,IF(P30&lt;Bewertung_Stammdaten!F$26,Bewertung_Stammdaten!E$26,IF(P30&lt;Bewertung_Stammdaten!F$27,Bewertung_Stammdaten!E$27,IF(P30&lt;Bewertung_Stammdaten!F$28,Bewertung_Stammdaten!E$28,IF(P30&lt;Bewertung_Stammdaten!F$29,Bewertung_Stammdaten!E$29,IF(P30&lt;Bewertung_Stammdaten!F$30,Bewertung_Stammdaten!E$30,IF(P30&lt;Bewertung_Stammdaten!F$31,Bewertung_Stammdaten!E$31,IF(P30&lt;Bewertung_Stammdaten!F$32,Bewertung_Stammdaten!E$32,Bewertung_Stammdaten!E$33)))))))))</f>
        <v>7.5</v>
      </c>
      <c r="U30" s="53">
        <f ca="1">IF(R30&lt;Bewertung_Stammdaten!H$24,Bewertung_Stammdaten!G$24,IF(R30&lt;Bewertung_Stammdaten!H$25,Bewertung_Stammdaten!G$25,IF(R30&lt;Bewertung_Stammdaten!H$26,Bewertung_Stammdaten!G$26,IF(R30&lt;Bewertung_Stammdaten!H$27,Bewertung_Stammdaten!G$27,IF(R30&lt;Bewertung_Stammdaten!H$28,Bewertung_Stammdaten!G$28,IF(R30&lt;Bewertung_Stammdaten!H$29,Bewertung_Stammdaten!G$29,IF(R30&lt;Bewertung_Stammdaten!H$30,Bewertung_Stammdaten!G$30,IF(R30&lt;Bewertung_Stammdaten!H$31,Bewertung_Stammdaten!G$31,IF(R30&lt;Bewertung_Stammdaten!H$32,Bewertung_Stammdaten!G$32,Bewertung_Stammdaten!G$33)))))))))</f>
        <v>1</v>
      </c>
      <c r="V30" s="44"/>
      <c r="W30" s="14">
        <f ca="1">VLOOKUP(A30,Ergebnis_je_Aktie_verwässert!A3:AK68,23,FALSE)</f>
        <v>2.5541944444444447</v>
      </c>
      <c r="X30" s="14">
        <f>VLOOKUP(A30,Ergebnis_je_Aktie_verwässert!A3:AK68,19,FALSE)</f>
        <v>2.2807692307692307</v>
      </c>
      <c r="Y30" s="12">
        <f ca="1">VLOOKUP(A30,Ergebnis_je_Aktie_verwässert!A3:AK68,24,FALSE)</f>
        <v>0.11988289301105515</v>
      </c>
      <c r="Z30" s="41">
        <f>VLOOKUP(A30,Ergebnis_je_Aktie_verwässert!A3:AK68,37,FALSE)</f>
        <v>-0.38819875776397517</v>
      </c>
      <c r="AA30" s="16">
        <f t="shared" ca="1" si="4"/>
        <v>1.5626593340234645</v>
      </c>
      <c r="AB30" s="12">
        <f t="shared" ca="1" si="5"/>
        <v>-0.31485425489696328</v>
      </c>
      <c r="AC30" s="33">
        <f ca="1">IF(Y30&lt;Bewertung_Stammdaten!L$11,Bewertung_Stammdaten!K$11,IF(Y30&lt;Bewertung_Stammdaten!L$12,Bewertung_Stammdaten!K$12,IF(Y30&lt;Bewertung_Stammdaten!L$13,Bewertung_Stammdaten!K$13,IF(Y30&lt;Bewertung_Stammdaten!L$14,Bewertung_Stammdaten!K$14,IF(Y30&lt;Bewertung_Stammdaten!L$15,Bewertung_Stammdaten!K$15,IF(Y30&lt;Bewertung_Stammdaten!L$16,Bewertung_Stammdaten!K$16,IF(Y30&lt;Bewertung_Stammdaten!L$17,Bewertung_Stammdaten!K$17,IF(Y30&lt;Bewertung_Stammdaten!L$18,Bewertung_Stammdaten!K$18,IF(Y30&lt;Bewertung_Stammdaten!L$19,Bewertung_Stammdaten!K$19,Bewertung_Stammdaten!K$20)))))))))</f>
        <v>8</v>
      </c>
      <c r="AD30" s="33">
        <f>IF(Z30&lt;Bewertung_Stammdaten!R$11,Bewertung_Stammdaten!Q$11,IF(Z30&lt;Bewertung_Stammdaten!R$12,Bewertung_Stammdaten!Q$12,IF(Z30&lt;Bewertung_Stammdaten!R$13,Bewertung_Stammdaten!Q$13,IF(Z30&lt;Bewertung_Stammdaten!R$14,Bewertung_Stammdaten!Q$14,IF(Z30&lt;Bewertung_Stammdaten!R$15,Bewertung_Stammdaten!Q$15,IF(Z30&lt;Bewertung_Stammdaten!R$16,Bewertung_Stammdaten!Q$16,IF(Z30&lt;Bewertung_Stammdaten!R$17,Bewertung_Stammdaten!Q$17,IF(Z30&lt;Bewertung_Stammdaten!R$18,Bewertung_Stammdaten!Q$18,IF(Z30&lt;Bewertung_Stammdaten!R$19,Bewertung_Stammdaten!Q$19,Bewertung_Stammdaten!Q$20)))))))))</f>
        <v>4</v>
      </c>
      <c r="AE30" s="33">
        <f ca="1">IF(AB30&lt;Bewertung_Stammdaten!P$11,Bewertung_Stammdaten!O$11,IF(AB30&lt;Bewertung_Stammdaten!P$12,Bewertung_Stammdaten!O$12,IF(AB30&lt;Bewertung_Stammdaten!P$13,Bewertung_Stammdaten!O$13,IF(AB30&lt;Bewertung_Stammdaten!P$14,Bewertung_Stammdaten!O$14,IF(AB30&lt;Bewertung_Stammdaten!P$15,Bewertung_Stammdaten!O$15,IF(AB30&lt;Bewertung_Stammdaten!P$16,Bewertung_Stammdaten!O$16,IF(AB30&lt;Bewertung_Stammdaten!P$17,Bewertung_Stammdaten!O$17,IF(AB30&lt;Bewertung_Stammdaten!P$18,Bewertung_Stammdaten!O$18,IF(AB30&lt;Bewertung_Stammdaten!P$19,Bewertung_Stammdaten!O$19,Bewertung_Stammdaten!O$20)))))))))</f>
        <v>1</v>
      </c>
      <c r="AF30" s="44"/>
      <c r="AG30" s="14">
        <f ca="1">VLOOKUP(A30,Dividende_je_Aktie!A3:AM68,24,FALSE)</f>
        <v>1.8981111111111109</v>
      </c>
      <c r="AH30" s="14">
        <f>VLOOKUP(A30,Dividende_je_Aktie!A3:AM68,20,FALSE)</f>
        <v>1.6607142857142858</v>
      </c>
      <c r="AI30" s="12">
        <f ca="1">VLOOKUP(A30,Dividende_je_Aktie!A3:AM68,25,FALSE)</f>
        <v>0.14294862604540004</v>
      </c>
      <c r="AJ30" s="41">
        <f>VLOOKUP(A30,Dividende_je_Aktie!A3:AM68,39,FALSE)</f>
        <v>1.5544041450777257E-2</v>
      </c>
      <c r="AK30" s="16">
        <f t="shared" ca="1" si="6"/>
        <v>1.8981111111111109</v>
      </c>
      <c r="AL30" s="12">
        <f t="shared" ca="1" si="7"/>
        <v>0.14294862604540004</v>
      </c>
      <c r="AM30" s="33">
        <f ca="1">IF(AI30&lt;Bewertung_Stammdaten!P$24,Bewertung_Stammdaten!O$24,IF(AI30&lt;Bewertung_Stammdaten!P$25,Bewertung_Stammdaten!O$25,IF(AI30&lt;Bewertung_Stammdaten!P$26,Bewertung_Stammdaten!O$26,IF(AI30&lt;Bewertung_Stammdaten!P$27,Bewertung_Stammdaten!O$27,IF(AI30&lt;Bewertung_Stammdaten!P$28,Bewertung_Stammdaten!O$28,IF(AI30&lt;Bewertung_Stammdaten!P$29,Bewertung_Stammdaten!O$29,IF(AI30&lt;Bewertung_Stammdaten!P$30,Bewertung_Stammdaten!O$30,IF(AI30&lt;Bewertung_Stammdaten!P$31,Bewertung_Stammdaten!O$31,IF(AI30&lt;Bewertung_Stammdaten!P$32,Bewertung_Stammdaten!O$32,Bewertung_Stammdaten!O$33)))))))))</f>
        <v>8</v>
      </c>
      <c r="AN30" s="33">
        <f>IF(AJ30&lt;Bewertung_Stammdaten!R$24,Bewertung_Stammdaten!Q$24,IF(AJ30&lt;Bewertung_Stammdaten!R$25,Bewertung_Stammdaten!Q$25,IF(AJ30&lt;Bewertung_Stammdaten!R$26,Bewertung_Stammdaten!Q$26,IF(AJ30&lt;Bewertung_Stammdaten!R$27,Bewertung_Stammdaten!Q$27,IF(AJ30&lt;Bewertung_Stammdaten!R$28,Bewertung_Stammdaten!Q$28,IF(AJ30&lt;Bewertung_Stammdaten!R$29,Bewertung_Stammdaten!Q$29,IF(AJ30&lt;Bewertung_Stammdaten!R$30,Bewertung_Stammdaten!Q$30,IF(AJ30&lt;Bewertung_Stammdaten!R$31,Bewertung_Stammdaten!Q$31,IF(AJ30&lt;Bewertung_Stammdaten!R$32,Bewertung_Stammdaten!Q$32,Bewertung_Stammdaten!Q$33)))))))))</f>
        <v>8</v>
      </c>
      <c r="AO30" s="33">
        <f ca="1">IF(AL30&lt;Bewertung_Stammdaten!T$24,Bewertung_Stammdaten!S$24,IF(AL30&lt;Bewertung_Stammdaten!T$25,Bewertung_Stammdaten!S$25,IF(AL30&lt;Bewertung_Stammdaten!T$26,Bewertung_Stammdaten!S$26,IF(AL30&lt;Bewertung_Stammdaten!T$27,Bewertung_Stammdaten!S$27,IF(AL30&lt;Bewertung_Stammdaten!T$28,Bewertung_Stammdaten!S$28,IF(AL30&lt;Bewertung_Stammdaten!T$29,Bewertung_Stammdaten!S$29,IF(AL30&lt;Bewertung_Stammdaten!T$30,Bewertung_Stammdaten!S$30,IF(AL30&lt;Bewertung_Stammdaten!T$31,Bewertung_Stammdaten!S$31,IF(AL30&lt;Bewertung_Stammdaten!T$32,Bewertung_Stammdaten!S$32,Bewertung_Stammdaten!S$33)))))))))</f>
        <v>5</v>
      </c>
      <c r="AP30" s="44"/>
      <c r="AQ30" s="12">
        <f ca="1">VLOOKUP(A30,Dividendenrendite!A3:R68,17,FALSE)</f>
        <v>5.7939899606566272E-2</v>
      </c>
      <c r="AR30" s="12">
        <f>VLOOKUP(A30,Dividendenrendite!A3:R68,16,FALSE)</f>
        <v>5.2322591745409285E-2</v>
      </c>
      <c r="AS30" s="12">
        <f ca="1">VLOOKUP(A30,Dividendenrendite!A3:R68,18,FALSE)</f>
        <v>0.10735912870084152</v>
      </c>
      <c r="AT30" s="33">
        <f ca="1">IF(AQ30&lt;Bewertung_Stammdaten!D$11,Bewertung_Stammdaten!C$11,IF(AQ30&lt;Bewertung_Stammdaten!D$12,Bewertung_Stammdaten!C$12,IF(AQ30&lt;Bewertung_Stammdaten!D$13,Bewertung_Stammdaten!C$13,IF(AQ30&lt;Bewertung_Stammdaten!D$14,Bewertung_Stammdaten!C$14,IF(AQ30&lt;Bewertung_Stammdaten!D$15,Bewertung_Stammdaten!C$15,IF(AQ30&lt;Bewertung_Stammdaten!D$16,Bewertung_Stammdaten!C$16,IF(AQ30&lt;Bewertung_Stammdaten!D$17,Bewertung_Stammdaten!C$17,IF(AQ30&lt;Bewertung_Stammdaten!D$18,Bewertung_Stammdaten!C$18,IF(AQ30&lt;Bewertung_Stammdaten!D$19,Bewertung_Stammdaten!C$19,Bewertung_Stammdaten!C$20)))))))))</f>
        <v>15</v>
      </c>
      <c r="AU30" s="33">
        <f>IF(AR30&lt;Bewertung_Stammdaten!T$11,Bewertung_Stammdaten!S$11,IF(AR30&lt;Bewertung_Stammdaten!T$12,Bewertung_Stammdaten!S$12,IF(AR30&lt;Bewertung_Stammdaten!T$13,Bewertung_Stammdaten!S$13,IF(AR30&lt;Bewertung_Stammdaten!T$14,Bewertung_Stammdaten!S$14,IF(AR30&lt;Bewertung_Stammdaten!T$15,Bewertung_Stammdaten!S$15,IF(AR30&lt;Bewertung_Stammdaten!T$16,Bewertung_Stammdaten!S$16,IF(AR30&lt;Bewertung_Stammdaten!T$17,Bewertung_Stammdaten!S$17,IF(AR30&lt;Bewertung_Stammdaten!T$18,Bewertung_Stammdaten!S$18,IF(AR30&lt;Bewertung_Stammdaten!T$19,Bewertung_Stammdaten!S$19,Bewertung_Stammdaten!S$20)))))))))</f>
        <v>10</v>
      </c>
      <c r="AV30" s="33">
        <f ca="1">IF(AS30&lt;Bewertung_Stammdaten!F$11,Bewertung_Stammdaten!E$11,IF(AS30&lt;Bewertung_Stammdaten!F$12,Bewertung_Stammdaten!E$12,IF(AS30&lt;Bewertung_Stammdaten!F$13,Bewertung_Stammdaten!E$13,IF(AS30&lt;Bewertung_Stammdaten!F$14,Bewertung_Stammdaten!E$14,IF(AS30&lt;Bewertung_Stammdaten!F$15,Bewertung_Stammdaten!E$15,IF(AS30&lt;Bewertung_Stammdaten!F$16,Bewertung_Stammdaten!E$16,IF(AS30&lt;Bewertung_Stammdaten!F$17,Bewertung_Stammdaten!E$17,IF(AS30&lt;Bewertung_Stammdaten!F$18,Bewertung_Stammdaten!E$18,IF(AS30&lt;Bewertung_Stammdaten!F$19,Bewertung_Stammdaten!E$19,Bewertung_Stammdaten!E$20)))))))))</f>
        <v>4</v>
      </c>
      <c r="AW30" s="44"/>
      <c r="AX30" s="12">
        <f>VLOOKUP(A30,Aktien_im_Umlauf_splitbereinigt!A3:Z68,26,FALSE)</f>
        <v>-7.4626865671642006E-3</v>
      </c>
      <c r="AY30" s="12">
        <f>VLOOKUP(A30,Aktien_im_Umlauf_splitbereinigt!A3:Y68,24,FALSE)</f>
        <v>-2.2490972650107591E-2</v>
      </c>
      <c r="AZ30" s="12">
        <f>VLOOKUP(A30,Aktien_im_Umlauf_splitbereinigt!A3:Y68,25,FALSE)</f>
        <v>-0.66819191489575258</v>
      </c>
      <c r="BA30" s="42">
        <f>IF(AX30&lt;Bewertung_Stammdaten!J$24,Bewertung_Stammdaten!I$24,IF(AX30&lt;Bewertung_Stammdaten!J$25,Bewertung_Stammdaten!I$25,IF(AX30&lt;Bewertung_Stammdaten!J$26,Bewertung_Stammdaten!I$26,IF(AX30&lt;Bewertung_Stammdaten!J$27,Bewertung_Stammdaten!I$27,IF(AX30&lt;Bewertung_Stammdaten!J$28,Bewertung_Stammdaten!I$28,IF(AX30&lt;Bewertung_Stammdaten!J$29,Bewertung_Stammdaten!I$29,IF(AX30&lt;Bewertung_Stammdaten!J$30,Bewertung_Stammdaten!I$30,IF(AX30&lt;Bewertung_Stammdaten!J$31,Bewertung_Stammdaten!I$31,IF(AX30&lt;Bewertung_Stammdaten!J$32,Bewertung_Stammdaten!I$32,Bewertung_Stammdaten!I$33)))))))))</f>
        <v>4</v>
      </c>
      <c r="BB30" s="42">
        <f>IF(AY30&lt;Bewertung_Stammdaten!L$24,Bewertung_Stammdaten!K$24,IF(AY30&lt;Bewertung_Stammdaten!L$25,Bewertung_Stammdaten!K$25,IF(AY30&lt;Bewertung_Stammdaten!L$26,Bewertung_Stammdaten!K$26,IF(AY30&lt;Bewertung_Stammdaten!L$27,Bewertung_Stammdaten!K$27,IF(AY30&lt;Bewertung_Stammdaten!L$28,Bewertung_Stammdaten!K$28,IF(AY30&lt;Bewertung_Stammdaten!L$29,Bewertung_Stammdaten!K$29,IF(AY30&lt;Bewertung_Stammdaten!L$30,Bewertung_Stammdaten!K$30,IF(AY30&lt;Bewertung_Stammdaten!L$31,Bewertung_Stammdaten!K$31,IF(AY30&lt;Bewertung_Stammdaten!L$32,Bewertung_Stammdaten!K$32,Bewertung_Stammdaten!K$33)))))))))</f>
        <v>7</v>
      </c>
      <c r="BC30" s="42">
        <f>IF(AZ30&lt;Bewertung_Stammdaten!N$24,Bewertung_Stammdaten!M$24,IF(AZ30&lt;Bewertung_Stammdaten!N$25,Bewertung_Stammdaten!M$25,IF(AZ30&lt;Bewertung_Stammdaten!N$26,Bewertung_Stammdaten!M$26,IF(AZ30&lt;Bewertung_Stammdaten!N$27,Bewertung_Stammdaten!M$27,IF(AZ30&lt;Bewertung_Stammdaten!N$28,Bewertung_Stammdaten!M$28,IF(AZ30&lt;Bewertung_Stammdaten!N$29,Bewertung_Stammdaten!M$29,IF(AZ30&lt;Bewertung_Stammdaten!N$30,Bewertung_Stammdaten!M$30,IF(AZ30&lt;Bewertung_Stammdaten!N$31,Bewertung_Stammdaten!M$31,IF(AZ30&lt;Bewertung_Stammdaten!N$32,Bewertung_Stammdaten!M$32,Bewertung_Stammdaten!M$33)))))))))</f>
        <v>1.5</v>
      </c>
      <c r="BD30" s="44"/>
      <c r="BE30" s="12">
        <f ca="1">VLOOKUP(A30,Ausschüttungsquote!A3:X68,23,FALSE)</f>
        <v>0.7431554472836488</v>
      </c>
      <c r="BF30" s="12">
        <f>VLOOKUP(A30,Ausschüttungsquote!A3:X68,19,FALSE)</f>
        <v>0.75586602925138913</v>
      </c>
      <c r="BG30" s="12">
        <f ca="1">VLOOKUP(A30,Ausschüttungsquote!A3:X68,24,FALSE)</f>
        <v>-1.6815919059530837E-2</v>
      </c>
      <c r="BH30" s="33">
        <f ca="1">IF(BE30&lt;Bewertung_Stammdaten!H$11,Bewertung_Stammdaten!G$11,IF(BE30&lt;Bewertung_Stammdaten!H$12,Bewertung_Stammdaten!G$12,IF(BE30&lt;Bewertung_Stammdaten!H$13,Bewertung_Stammdaten!G$13,IF(BE30&lt;Bewertung_Stammdaten!H$14,Bewertung_Stammdaten!G$14,IF(BE30&lt;Bewertung_Stammdaten!H$15,Bewertung_Stammdaten!G$15,IF(BE30&lt;Bewertung_Stammdaten!H$16,Bewertung_Stammdaten!G$16,IF(BE30&lt;Bewertung_Stammdaten!H$17,Bewertung_Stammdaten!G$17,IF(BE30&lt;Bewertung_Stammdaten!H$18,Bewertung_Stammdaten!G$18,IF(BE30&lt;Bewertung_Stammdaten!H$19,Bewertung_Stammdaten!G$19,Bewertung_Stammdaten!G$20)))))))))</f>
        <v>3</v>
      </c>
      <c r="BI30" s="42">
        <f>IF(BF30&lt;Bewertung_Stammdaten!B$24,Bewertung_Stammdaten!A$24,IF(BF30&lt;Bewertung_Stammdaten!B$25,Bewertung_Stammdaten!A$25,IF(BF30&lt;Bewertung_Stammdaten!B$26,Bewertung_Stammdaten!A$26,IF(BF30&lt;Bewertung_Stammdaten!B$27,Bewertung_Stammdaten!A$27,IF(BF30&lt;Bewertung_Stammdaten!B$28,Bewertung_Stammdaten!A$28,IF(BF30&lt;Bewertung_Stammdaten!B$29,Bewertung_Stammdaten!A$29,IF(BF30&lt;Bewertung_Stammdaten!B$30,Bewertung_Stammdaten!A$30,IF(BF30&lt;Bewertung_Stammdaten!B$31,Bewertung_Stammdaten!A$31,IF(BF30&lt;Bewertung_Stammdaten!B$32,Bewertung_Stammdaten!A$32,Bewertung_Stammdaten!A$33)))))))))</f>
        <v>2</v>
      </c>
      <c r="BJ30" s="33">
        <f ca="1">IF(BG30&lt;Bewertung_Stammdaten!J$11,Bewertung_Stammdaten!I$11,IF(BG30&lt;Bewertung_Stammdaten!J$12,Bewertung_Stammdaten!I$12,IF(BG30&lt;Bewertung_Stammdaten!J$13,Bewertung_Stammdaten!I$13,IF(BG30&lt;Bewertung_Stammdaten!J$14,Bewertung_Stammdaten!I$14,IF(BG30&lt;Bewertung_Stammdaten!J$15,Bewertung_Stammdaten!I$15,IF(BG30&lt;Bewertung_Stammdaten!J$16,Bewertung_Stammdaten!I$16,IF(BG30&lt;Bewertung_Stammdaten!J$17,Bewertung_Stammdaten!I$17,IF(BG30&lt;Bewertung_Stammdaten!J$18,Bewertung_Stammdaten!I$18,IF(BG30&lt;Bewertung_Stammdaten!J$19,Bewertung_Stammdaten!I$19,Bewertung_Stammdaten!I$20)))))))))</f>
        <v>6</v>
      </c>
    </row>
    <row r="31" spans="1:62" x14ac:dyDescent="0.25">
      <c r="A31" s="39" t="s">
        <v>56</v>
      </c>
      <c r="B31" s="39" t="s">
        <v>57</v>
      </c>
      <c r="C31" s="33">
        <f t="shared" ca="1" si="8"/>
        <v>115</v>
      </c>
      <c r="D31" s="44"/>
      <c r="E31" s="11">
        <f ca="1">VLOOKUP(A31,KGV!A3:R68,17,FALSE)</f>
        <v>23.69761943319838</v>
      </c>
      <c r="F31" s="11">
        <f>VLOOKUP(A31,KGV!A3:R68,16,FALSE)</f>
        <v>8.4082098061573536</v>
      </c>
      <c r="G31" s="12">
        <f ca="1">VLOOKUP(A31,KGV!A3:R68,18,FALSE)</f>
        <v>1.8183905943741498</v>
      </c>
      <c r="H31" s="16">
        <f t="shared" ca="1" si="0"/>
        <v>65.120287548138649</v>
      </c>
      <c r="I31" s="12">
        <f t="shared" ca="1" si="1"/>
        <v>6.7448456983614866</v>
      </c>
      <c r="J31" s="33">
        <f ca="1">IF(G31&lt;Bewertung_Stammdaten!B$11,Bewertung_Stammdaten!A$11,IF(G31&lt;Bewertung_Stammdaten!B$12,Bewertung_Stammdaten!A$12,IF(G31&lt;Bewertung_Stammdaten!B$13,Bewertung_Stammdaten!A$13,IF(G31&lt;Bewertung_Stammdaten!B$14,Bewertung_Stammdaten!A$14,IF(G31&lt;Bewertung_Stammdaten!B$15,Bewertung_Stammdaten!A$15,IF(G31&lt;Bewertung_Stammdaten!B$16,Bewertung_Stammdaten!A$16,IF(G31&lt;Bewertung_Stammdaten!B$17,Bewertung_Stammdaten!A$17,IF(G31&lt;Bewertung_Stammdaten!B$18,Bewertung_Stammdaten!A$18,IF(G31&lt;Bewertung_Stammdaten!B$19,Bewertung_Stammdaten!A$19,Bewertung_Stammdaten!A$20)))))))))</f>
        <v>3</v>
      </c>
      <c r="K31" s="33">
        <f ca="1">IF(I31&lt;Bewertung_Stammdaten!N$11,Bewertung_Stammdaten!M$11,IF(I31&lt;Bewertung_Stammdaten!N$12,Bewertung_Stammdaten!M$12,IF(I31&lt;Bewertung_Stammdaten!N$13,Bewertung_Stammdaten!M$13,IF(I31&lt;Bewertung_Stammdaten!N$14,Bewertung_Stammdaten!M$14,IF(I31&lt;Bewertung_Stammdaten!N$15,Bewertung_Stammdaten!M$15,IF(I31&lt;Bewertung_Stammdaten!N$16,Bewertung_Stammdaten!M$16,IF(I31&lt;Bewertung_Stammdaten!N$17,Bewertung_Stammdaten!M$17,IF(I31&lt;Bewertung_Stammdaten!N$18,Bewertung_Stammdaten!M$18,IF(I31&lt;Bewertung_Stammdaten!N$19,Bewertung_Stammdaten!M$19,Bewertung_Stammdaten!M$20)))))))))</f>
        <v>1.5</v>
      </c>
      <c r="L31" s="44"/>
      <c r="M31" s="11">
        <f ca="1">VLOOKUP(A31,Buchwert_je_Aktie!A3:AK68,23,FALSE)</f>
        <v>82.224444444444444</v>
      </c>
      <c r="N31" s="11">
        <f>VLOOKUP(A31,Buchwert_je_Aktie!A3:AK68,19,FALSE)</f>
        <v>60.140769230769244</v>
      </c>
      <c r="O31" s="12">
        <f ca="1">VLOOKUP(A31,Buchwert_je_Aktie!A3:AK68,24,FALSE)</f>
        <v>0.36719974646378062</v>
      </c>
      <c r="P31" s="12">
        <f>VLOOKUP(A31,Buchwert_je_Aktie!A3:AK68,37,FALSE)</f>
        <v>-7.032007759456782E-3</v>
      </c>
      <c r="Q31" s="16">
        <f t="shared" ca="1" si="2"/>
        <v>81.646241513094083</v>
      </c>
      <c r="R31" s="12">
        <f t="shared" ca="1" si="3"/>
        <v>0.35758558723791989</v>
      </c>
      <c r="S31" s="53">
        <f ca="1">IF(O31&lt;Bewertung_Stammdaten!D$24,Bewertung_Stammdaten!C$24,IF(O31&lt;Bewertung_Stammdaten!D$25,Bewertung_Stammdaten!C$25,IF(O31&lt;Bewertung_Stammdaten!D$26,Bewertung_Stammdaten!C$26,IF(O31&lt;Bewertung_Stammdaten!D$27,Bewertung_Stammdaten!C$27,IF(O31&lt;Bewertung_Stammdaten!D$28,Bewertung_Stammdaten!C$28,IF(O31&lt;Bewertung_Stammdaten!D$29,Bewertung_Stammdaten!C$29,IF(O31&lt;Bewertung_Stammdaten!D$30,Bewertung_Stammdaten!C$30,IF(O31&lt;Bewertung_Stammdaten!D$31,Bewertung_Stammdaten!C$31,IF(O31&lt;Bewertung_Stammdaten!D$32,Bewertung_Stammdaten!C$32,Bewertung_Stammdaten!C$33)))))))))</f>
        <v>9</v>
      </c>
      <c r="T31" s="53">
        <f>IF(P31&lt;Bewertung_Stammdaten!F$24,Bewertung_Stammdaten!E$24,IF(P31&lt;Bewertung_Stammdaten!F$25,Bewertung_Stammdaten!E$25,IF(P31&lt;Bewertung_Stammdaten!F$26,Bewertung_Stammdaten!E$26,IF(P31&lt;Bewertung_Stammdaten!F$27,Bewertung_Stammdaten!E$27,IF(P31&lt;Bewertung_Stammdaten!F$28,Bewertung_Stammdaten!E$28,IF(P31&lt;Bewertung_Stammdaten!F$29,Bewertung_Stammdaten!E$29,IF(P31&lt;Bewertung_Stammdaten!F$30,Bewertung_Stammdaten!E$30,IF(P31&lt;Bewertung_Stammdaten!F$31,Bewertung_Stammdaten!E$31,IF(P31&lt;Bewertung_Stammdaten!F$32,Bewertung_Stammdaten!E$32,Bewertung_Stammdaten!E$33)))))))))</f>
        <v>10.5</v>
      </c>
      <c r="U31" s="53">
        <f ca="1">IF(R31&lt;Bewertung_Stammdaten!H$24,Bewertung_Stammdaten!G$24,IF(R31&lt;Bewertung_Stammdaten!H$25,Bewertung_Stammdaten!G$25,IF(R31&lt;Bewertung_Stammdaten!H$26,Bewertung_Stammdaten!G$26,IF(R31&lt;Bewertung_Stammdaten!H$27,Bewertung_Stammdaten!G$27,IF(R31&lt;Bewertung_Stammdaten!H$28,Bewertung_Stammdaten!G$28,IF(R31&lt;Bewertung_Stammdaten!H$29,Bewertung_Stammdaten!G$29,IF(R31&lt;Bewertung_Stammdaten!H$30,Bewertung_Stammdaten!G$30,IF(R31&lt;Bewertung_Stammdaten!H$31,Bewertung_Stammdaten!G$31,IF(R31&lt;Bewertung_Stammdaten!H$32,Bewertung_Stammdaten!G$32,Bewertung_Stammdaten!G$33)))))))))</f>
        <v>6</v>
      </c>
      <c r="V31" s="44"/>
      <c r="W31" s="14">
        <f ca="1">VLOOKUP(A31,Ergebnis_je_Aktie_verwässert!A3:AK68,23,FALSE)</f>
        <v>4.2881944444444446</v>
      </c>
      <c r="X31" s="14">
        <f>VLOOKUP(A31,Ergebnis_je_Aktie_verwässert!A3:AK68,19,FALSE)</f>
        <v>8.9861538461538473</v>
      </c>
      <c r="Y31" s="12">
        <f ca="1">VLOOKUP(A31,Ergebnis_je_Aktie_verwässert!A3:AK68,24,FALSE)</f>
        <v>-0.52279979645798857</v>
      </c>
      <c r="Z31" s="41">
        <f>VLOOKUP(A31,Ergebnis_je_Aktie_verwässert!A3:AK68,37,FALSE)</f>
        <v>-0.63609467455621305</v>
      </c>
      <c r="AA31" s="16">
        <f t="shared" ca="1" si="4"/>
        <v>1.5604967948717947</v>
      </c>
      <c r="AB31" s="12">
        <f t="shared" ca="1" si="5"/>
        <v>-0.82634430462820296</v>
      </c>
      <c r="AC31" s="33">
        <f ca="1">IF(Y31&lt;Bewertung_Stammdaten!L$11,Bewertung_Stammdaten!K$11,IF(Y31&lt;Bewertung_Stammdaten!L$12,Bewertung_Stammdaten!K$12,IF(Y31&lt;Bewertung_Stammdaten!L$13,Bewertung_Stammdaten!K$13,IF(Y31&lt;Bewertung_Stammdaten!L$14,Bewertung_Stammdaten!K$14,IF(Y31&lt;Bewertung_Stammdaten!L$15,Bewertung_Stammdaten!K$15,IF(Y31&lt;Bewertung_Stammdaten!L$16,Bewertung_Stammdaten!K$16,IF(Y31&lt;Bewertung_Stammdaten!L$17,Bewertung_Stammdaten!K$17,IF(Y31&lt;Bewertung_Stammdaten!L$18,Bewertung_Stammdaten!K$18,IF(Y31&lt;Bewertung_Stammdaten!L$19,Bewertung_Stammdaten!K$19,Bewertung_Stammdaten!K$20)))))))))</f>
        <v>2</v>
      </c>
      <c r="AD31" s="33">
        <f>IF(Z31&lt;Bewertung_Stammdaten!R$11,Bewertung_Stammdaten!Q$11,IF(Z31&lt;Bewertung_Stammdaten!R$12,Bewertung_Stammdaten!Q$12,IF(Z31&lt;Bewertung_Stammdaten!R$13,Bewertung_Stammdaten!Q$13,IF(Z31&lt;Bewertung_Stammdaten!R$14,Bewertung_Stammdaten!Q$14,IF(Z31&lt;Bewertung_Stammdaten!R$15,Bewertung_Stammdaten!Q$15,IF(Z31&lt;Bewertung_Stammdaten!R$16,Bewertung_Stammdaten!Q$16,IF(Z31&lt;Bewertung_Stammdaten!R$17,Bewertung_Stammdaten!Q$17,IF(Z31&lt;Bewertung_Stammdaten!R$18,Bewertung_Stammdaten!Q$18,IF(Z31&lt;Bewertung_Stammdaten!R$19,Bewertung_Stammdaten!Q$19,Bewertung_Stammdaten!Q$20)))))))))</f>
        <v>1</v>
      </c>
      <c r="AE31" s="33">
        <f ca="1">IF(AB31&lt;Bewertung_Stammdaten!P$11,Bewertung_Stammdaten!O$11,IF(AB31&lt;Bewertung_Stammdaten!P$12,Bewertung_Stammdaten!O$12,IF(AB31&lt;Bewertung_Stammdaten!P$13,Bewertung_Stammdaten!O$13,IF(AB31&lt;Bewertung_Stammdaten!P$14,Bewertung_Stammdaten!O$14,IF(AB31&lt;Bewertung_Stammdaten!P$15,Bewertung_Stammdaten!O$15,IF(AB31&lt;Bewertung_Stammdaten!P$16,Bewertung_Stammdaten!O$16,IF(AB31&lt;Bewertung_Stammdaten!P$17,Bewertung_Stammdaten!O$17,IF(AB31&lt;Bewertung_Stammdaten!P$18,Bewertung_Stammdaten!O$18,IF(AB31&lt;Bewertung_Stammdaten!P$19,Bewertung_Stammdaten!O$19,Bewertung_Stammdaten!O$20)))))))))</f>
        <v>1</v>
      </c>
      <c r="AF31" s="44"/>
      <c r="AG31" s="14">
        <f ca="1">VLOOKUP(A31,Dividende_je_Aktie!A3:AM68,24,FALSE)</f>
        <v>4.392444444444445</v>
      </c>
      <c r="AH31" s="14">
        <f>VLOOKUP(A31,Dividende_je_Aktie!A3:AM68,20,FALSE)</f>
        <v>3.1321428571428567</v>
      </c>
      <c r="AI31" s="12">
        <f ca="1">VLOOKUP(A31,Dividende_je_Aktie!A3:AM68,25,FALSE)</f>
        <v>0.40237678956037026</v>
      </c>
      <c r="AJ31" s="41">
        <f>VLOOKUP(A31,Dividende_je_Aktie!A3:AM68,39,FALSE)</f>
        <v>3.539823008849563E-2</v>
      </c>
      <c r="AK31" s="16">
        <f t="shared" ca="1" si="6"/>
        <v>4.392444444444445</v>
      </c>
      <c r="AL31" s="12">
        <f t="shared" ca="1" si="7"/>
        <v>0.40237678956037026</v>
      </c>
      <c r="AM31" s="33">
        <f ca="1">IF(AI31&lt;Bewertung_Stammdaten!P$24,Bewertung_Stammdaten!O$24,IF(AI31&lt;Bewertung_Stammdaten!P$25,Bewertung_Stammdaten!O$25,IF(AI31&lt;Bewertung_Stammdaten!P$26,Bewertung_Stammdaten!O$26,IF(AI31&lt;Bewertung_Stammdaten!P$27,Bewertung_Stammdaten!O$27,IF(AI31&lt;Bewertung_Stammdaten!P$28,Bewertung_Stammdaten!O$28,IF(AI31&lt;Bewertung_Stammdaten!P$29,Bewertung_Stammdaten!O$29,IF(AI31&lt;Bewertung_Stammdaten!P$30,Bewertung_Stammdaten!O$30,IF(AI31&lt;Bewertung_Stammdaten!P$31,Bewertung_Stammdaten!O$31,IF(AI31&lt;Bewertung_Stammdaten!P$32,Bewertung_Stammdaten!O$32,Bewertung_Stammdaten!O$33)))))))))</f>
        <v>14</v>
      </c>
      <c r="AN31" s="33">
        <f>IF(AJ31&lt;Bewertung_Stammdaten!R$24,Bewertung_Stammdaten!Q$24,IF(AJ31&lt;Bewertung_Stammdaten!R$25,Bewertung_Stammdaten!Q$25,IF(AJ31&lt;Bewertung_Stammdaten!R$26,Bewertung_Stammdaten!Q$26,IF(AJ31&lt;Bewertung_Stammdaten!R$27,Bewertung_Stammdaten!Q$27,IF(AJ31&lt;Bewertung_Stammdaten!R$28,Bewertung_Stammdaten!Q$28,IF(AJ31&lt;Bewertung_Stammdaten!R$29,Bewertung_Stammdaten!Q$29,IF(AJ31&lt;Bewertung_Stammdaten!R$30,Bewertung_Stammdaten!Q$30,IF(AJ31&lt;Bewertung_Stammdaten!R$31,Bewertung_Stammdaten!Q$31,IF(AJ31&lt;Bewertung_Stammdaten!R$32,Bewertung_Stammdaten!Q$32,Bewertung_Stammdaten!Q$33)))))))))</f>
        <v>8</v>
      </c>
      <c r="AO31" s="33">
        <f ca="1">IF(AL31&lt;Bewertung_Stammdaten!T$24,Bewertung_Stammdaten!S$24,IF(AL31&lt;Bewertung_Stammdaten!T$25,Bewertung_Stammdaten!S$25,IF(AL31&lt;Bewertung_Stammdaten!T$26,Bewertung_Stammdaten!S$26,IF(AL31&lt;Bewertung_Stammdaten!T$27,Bewertung_Stammdaten!S$27,IF(AL31&lt;Bewertung_Stammdaten!T$28,Bewertung_Stammdaten!S$28,IF(AL31&lt;Bewertung_Stammdaten!T$29,Bewertung_Stammdaten!S$29,IF(AL31&lt;Bewertung_Stammdaten!T$30,Bewertung_Stammdaten!S$30,IF(AL31&lt;Bewertung_Stammdaten!T$31,Bewertung_Stammdaten!S$31,IF(AL31&lt;Bewertung_Stammdaten!T$32,Bewertung_Stammdaten!S$32,Bewertung_Stammdaten!S$33)))))))))</f>
        <v>8</v>
      </c>
      <c r="AP31" s="44"/>
      <c r="AQ31" s="12">
        <f ca="1">VLOOKUP(A31,Dividendenrendite!A3:R68,17,FALSE)</f>
        <v>4.3224212206695971E-2</v>
      </c>
      <c r="AR31" s="12">
        <f>VLOOKUP(A31,Dividendenrendite!A3:R68,16,FALSE)</f>
        <v>3.2993490259934886E-2</v>
      </c>
      <c r="AS31" s="12">
        <f ca="1">VLOOKUP(A31,Dividendenrendite!A3:R68,18,FALSE)</f>
        <v>0.31008304566020994</v>
      </c>
      <c r="AT31" s="33">
        <f ca="1">IF(AQ31&lt;Bewertung_Stammdaten!D$11,Bewertung_Stammdaten!C$11,IF(AQ31&lt;Bewertung_Stammdaten!D$12,Bewertung_Stammdaten!C$12,IF(AQ31&lt;Bewertung_Stammdaten!D$13,Bewertung_Stammdaten!C$13,IF(AQ31&lt;Bewertung_Stammdaten!D$14,Bewertung_Stammdaten!C$14,IF(AQ31&lt;Bewertung_Stammdaten!D$15,Bewertung_Stammdaten!C$15,IF(AQ31&lt;Bewertung_Stammdaten!D$16,Bewertung_Stammdaten!C$16,IF(AQ31&lt;Bewertung_Stammdaten!D$17,Bewertung_Stammdaten!C$17,IF(AQ31&lt;Bewertung_Stammdaten!D$18,Bewertung_Stammdaten!C$18,IF(AQ31&lt;Bewertung_Stammdaten!D$19,Bewertung_Stammdaten!C$19,Bewertung_Stammdaten!C$20)))))))))</f>
        <v>13.5</v>
      </c>
      <c r="AU31" s="33">
        <f>IF(AR31&lt;Bewertung_Stammdaten!T$11,Bewertung_Stammdaten!S$11,IF(AR31&lt;Bewertung_Stammdaten!T$12,Bewertung_Stammdaten!S$12,IF(AR31&lt;Bewertung_Stammdaten!T$13,Bewertung_Stammdaten!S$13,IF(AR31&lt;Bewertung_Stammdaten!T$14,Bewertung_Stammdaten!S$14,IF(AR31&lt;Bewertung_Stammdaten!T$15,Bewertung_Stammdaten!S$15,IF(AR31&lt;Bewertung_Stammdaten!T$16,Bewertung_Stammdaten!S$16,IF(AR31&lt;Bewertung_Stammdaten!T$17,Bewertung_Stammdaten!S$17,IF(AR31&lt;Bewertung_Stammdaten!T$18,Bewertung_Stammdaten!S$18,IF(AR31&lt;Bewertung_Stammdaten!T$19,Bewertung_Stammdaten!S$19,Bewertung_Stammdaten!S$20)))))))))</f>
        <v>7</v>
      </c>
      <c r="AV31" s="33">
        <f ca="1">IF(AS31&lt;Bewertung_Stammdaten!F$11,Bewertung_Stammdaten!E$11,IF(AS31&lt;Bewertung_Stammdaten!F$12,Bewertung_Stammdaten!E$12,IF(AS31&lt;Bewertung_Stammdaten!F$13,Bewertung_Stammdaten!E$13,IF(AS31&lt;Bewertung_Stammdaten!F$14,Bewertung_Stammdaten!E$14,IF(AS31&lt;Bewertung_Stammdaten!F$15,Bewertung_Stammdaten!E$15,IF(AS31&lt;Bewertung_Stammdaten!F$16,Bewertung_Stammdaten!E$16,IF(AS31&lt;Bewertung_Stammdaten!F$17,Bewertung_Stammdaten!E$17,IF(AS31&lt;Bewertung_Stammdaten!F$18,Bewertung_Stammdaten!E$18,IF(AS31&lt;Bewertung_Stammdaten!F$19,Bewertung_Stammdaten!E$19,Bewertung_Stammdaten!E$20)))))))))</f>
        <v>5</v>
      </c>
      <c r="AW31" s="44"/>
      <c r="AX31" s="12">
        <f>VLOOKUP(A31,Aktien_im_Umlauf_splitbereinigt!A3:Z68,26,FALSE)</f>
        <v>-1.7763845350052265E-2</v>
      </c>
      <c r="AY31" s="12">
        <f>VLOOKUP(A31,Aktien_im_Umlauf_splitbereinigt!A3:Y68,24,FALSE)</f>
        <v>-1.8841707726894346E-2</v>
      </c>
      <c r="AZ31" s="12">
        <f>VLOOKUP(A31,Aktien_im_Umlauf_splitbereinigt!A3:Y68,25,FALSE)</f>
        <v>-5.7206193433494201E-2</v>
      </c>
      <c r="BA31" s="42">
        <f>IF(AX31&lt;Bewertung_Stammdaten!J$24,Bewertung_Stammdaten!I$24,IF(AX31&lt;Bewertung_Stammdaten!J$25,Bewertung_Stammdaten!I$25,IF(AX31&lt;Bewertung_Stammdaten!J$26,Bewertung_Stammdaten!I$26,IF(AX31&lt;Bewertung_Stammdaten!J$27,Bewertung_Stammdaten!I$27,IF(AX31&lt;Bewertung_Stammdaten!J$28,Bewertung_Stammdaten!I$28,IF(AX31&lt;Bewertung_Stammdaten!J$29,Bewertung_Stammdaten!I$29,IF(AX31&lt;Bewertung_Stammdaten!J$30,Bewertung_Stammdaten!I$30,IF(AX31&lt;Bewertung_Stammdaten!J$31,Bewertung_Stammdaten!I$31,IF(AX31&lt;Bewertung_Stammdaten!J$32,Bewertung_Stammdaten!I$32,Bewertung_Stammdaten!I$33)))))))))</f>
        <v>6</v>
      </c>
      <c r="BB31" s="42">
        <f>IF(AY31&lt;Bewertung_Stammdaten!L$24,Bewertung_Stammdaten!K$24,IF(AY31&lt;Bewertung_Stammdaten!L$25,Bewertung_Stammdaten!K$25,IF(AY31&lt;Bewertung_Stammdaten!L$26,Bewertung_Stammdaten!K$26,IF(AY31&lt;Bewertung_Stammdaten!L$27,Bewertung_Stammdaten!K$27,IF(AY31&lt;Bewertung_Stammdaten!L$28,Bewertung_Stammdaten!K$28,IF(AY31&lt;Bewertung_Stammdaten!L$29,Bewertung_Stammdaten!K$29,IF(AY31&lt;Bewertung_Stammdaten!L$30,Bewertung_Stammdaten!K$30,IF(AY31&lt;Bewertung_Stammdaten!L$31,Bewertung_Stammdaten!K$31,IF(AY31&lt;Bewertung_Stammdaten!L$32,Bewertung_Stammdaten!K$32,Bewertung_Stammdaten!K$33)))))))))</f>
        <v>6</v>
      </c>
      <c r="BC31" s="42">
        <f>IF(AZ31&lt;Bewertung_Stammdaten!N$24,Bewertung_Stammdaten!M$24,IF(AZ31&lt;Bewertung_Stammdaten!N$25,Bewertung_Stammdaten!M$25,IF(AZ31&lt;Bewertung_Stammdaten!N$26,Bewertung_Stammdaten!M$26,IF(AZ31&lt;Bewertung_Stammdaten!N$27,Bewertung_Stammdaten!M$27,IF(AZ31&lt;Bewertung_Stammdaten!N$28,Bewertung_Stammdaten!M$28,IF(AZ31&lt;Bewertung_Stammdaten!N$29,Bewertung_Stammdaten!M$29,IF(AZ31&lt;Bewertung_Stammdaten!N$30,Bewertung_Stammdaten!M$30,IF(AZ31&lt;Bewertung_Stammdaten!N$31,Bewertung_Stammdaten!M$31,IF(AZ31&lt;Bewertung_Stammdaten!N$32,Bewertung_Stammdaten!M$32,Bewertung_Stammdaten!M$33)))))))))</f>
        <v>2.5</v>
      </c>
      <c r="BD31" s="44"/>
      <c r="BE31" s="12">
        <f ca="1">VLOOKUP(A31,Ausschüttungsquote!A3:X68,23,FALSE)</f>
        <v>1.0800107838762458</v>
      </c>
      <c r="BF31" s="12">
        <f>VLOOKUP(A31,Ausschüttungsquote!A3:X68,19,FALSE)</f>
        <v>0.4191964944911355</v>
      </c>
      <c r="BG31" s="12">
        <f ca="1">VLOOKUP(A31,Ausschüttungsquote!A3:X68,24,FALSE)</f>
        <v>1.5763831474480141</v>
      </c>
      <c r="BH31" s="33">
        <f ca="1">IF(BE31&lt;Bewertung_Stammdaten!H$11,Bewertung_Stammdaten!G$11,IF(BE31&lt;Bewertung_Stammdaten!H$12,Bewertung_Stammdaten!G$12,IF(BE31&lt;Bewertung_Stammdaten!H$13,Bewertung_Stammdaten!G$13,IF(BE31&lt;Bewertung_Stammdaten!H$14,Bewertung_Stammdaten!G$14,IF(BE31&lt;Bewertung_Stammdaten!H$15,Bewertung_Stammdaten!G$15,IF(BE31&lt;Bewertung_Stammdaten!H$16,Bewertung_Stammdaten!G$16,IF(BE31&lt;Bewertung_Stammdaten!H$17,Bewertung_Stammdaten!G$17,IF(BE31&lt;Bewertung_Stammdaten!H$18,Bewertung_Stammdaten!G$18,IF(BE31&lt;Bewertung_Stammdaten!H$19,Bewertung_Stammdaten!G$19,Bewertung_Stammdaten!G$20)))))))))</f>
        <v>1</v>
      </c>
      <c r="BI31" s="42">
        <f>IF(BF31&lt;Bewertung_Stammdaten!B$24,Bewertung_Stammdaten!A$24,IF(BF31&lt;Bewertung_Stammdaten!B$25,Bewertung_Stammdaten!A$25,IF(BF31&lt;Bewertung_Stammdaten!B$26,Bewertung_Stammdaten!A$26,IF(BF31&lt;Bewertung_Stammdaten!B$27,Bewertung_Stammdaten!A$27,IF(BF31&lt;Bewertung_Stammdaten!B$28,Bewertung_Stammdaten!A$28,IF(BF31&lt;Bewertung_Stammdaten!B$29,Bewertung_Stammdaten!A$29,IF(BF31&lt;Bewertung_Stammdaten!B$30,Bewertung_Stammdaten!A$30,IF(BF31&lt;Bewertung_Stammdaten!B$31,Bewertung_Stammdaten!A$31,IF(BF31&lt;Bewertung_Stammdaten!B$32,Bewertung_Stammdaten!A$32,Bewertung_Stammdaten!A$33)))))))))</f>
        <v>9</v>
      </c>
      <c r="BJ31" s="33">
        <f ca="1">IF(BG31&lt;Bewertung_Stammdaten!J$11,Bewertung_Stammdaten!I$11,IF(BG31&lt;Bewertung_Stammdaten!J$12,Bewertung_Stammdaten!I$12,IF(BG31&lt;Bewertung_Stammdaten!J$13,Bewertung_Stammdaten!I$13,IF(BG31&lt;Bewertung_Stammdaten!J$14,Bewertung_Stammdaten!I$14,IF(BG31&lt;Bewertung_Stammdaten!J$15,Bewertung_Stammdaten!I$15,IF(BG31&lt;Bewertung_Stammdaten!J$16,Bewertung_Stammdaten!I$16,IF(BG31&lt;Bewertung_Stammdaten!J$17,Bewertung_Stammdaten!I$17,IF(BG31&lt;Bewertung_Stammdaten!J$18,Bewertung_Stammdaten!I$18,IF(BG31&lt;Bewertung_Stammdaten!J$19,Bewertung_Stammdaten!I$19,Bewertung_Stammdaten!I$20)))))))))</f>
        <v>1</v>
      </c>
    </row>
    <row r="32" spans="1:62" x14ac:dyDescent="0.25">
      <c r="A32" s="39" t="s">
        <v>58</v>
      </c>
      <c r="B32" s="39" t="s">
        <v>59</v>
      </c>
      <c r="C32" s="33">
        <f t="shared" ca="1" si="8"/>
        <v>133.5</v>
      </c>
      <c r="D32" s="44"/>
      <c r="E32" s="11">
        <f ca="1">VLOOKUP(A32,KGV!A3:R68,17,FALSE)</f>
        <v>19.831603356890458</v>
      </c>
      <c r="F32" s="11">
        <f>VLOOKUP(A32,KGV!A3:R68,16,FALSE)</f>
        <v>18.662037037037038</v>
      </c>
      <c r="G32" s="12">
        <f ca="1">VLOOKUP(A32,KGV!A3:R68,18,FALSE)</f>
        <v>6.2670881937072265E-2</v>
      </c>
      <c r="H32" s="16">
        <f t="shared" ca="1" si="0"/>
        <v>23.550028986307417</v>
      </c>
      <c r="I32" s="12">
        <f t="shared" ca="1" si="1"/>
        <v>0.2619216723002733</v>
      </c>
      <c r="J32" s="33">
        <f ca="1">IF(G32&lt;Bewertung_Stammdaten!B$11,Bewertung_Stammdaten!A$11,IF(G32&lt;Bewertung_Stammdaten!B$12,Bewertung_Stammdaten!A$12,IF(G32&lt;Bewertung_Stammdaten!B$13,Bewertung_Stammdaten!A$13,IF(G32&lt;Bewertung_Stammdaten!B$14,Bewertung_Stammdaten!A$14,IF(G32&lt;Bewertung_Stammdaten!B$15,Bewertung_Stammdaten!A$15,IF(G32&lt;Bewertung_Stammdaten!B$16,Bewertung_Stammdaten!A$16,IF(G32&lt;Bewertung_Stammdaten!B$17,Bewertung_Stammdaten!A$17,IF(G32&lt;Bewertung_Stammdaten!B$18,Bewertung_Stammdaten!A$18,IF(G32&lt;Bewertung_Stammdaten!B$19,Bewertung_Stammdaten!A$19,Bewertung_Stammdaten!A$20)))))))))</f>
        <v>15</v>
      </c>
      <c r="K32" s="33">
        <f ca="1">IF(I32&lt;Bewertung_Stammdaten!N$11,Bewertung_Stammdaten!M$11,IF(I32&lt;Bewertung_Stammdaten!N$12,Bewertung_Stammdaten!M$12,IF(I32&lt;Bewertung_Stammdaten!N$13,Bewertung_Stammdaten!M$13,IF(I32&lt;Bewertung_Stammdaten!N$14,Bewertung_Stammdaten!M$14,IF(I32&lt;Bewertung_Stammdaten!N$15,Bewertung_Stammdaten!M$15,IF(I32&lt;Bewertung_Stammdaten!N$16,Bewertung_Stammdaten!M$16,IF(I32&lt;Bewertung_Stammdaten!N$17,Bewertung_Stammdaten!M$17,IF(I32&lt;Bewertung_Stammdaten!N$18,Bewertung_Stammdaten!M$18,IF(I32&lt;Bewertung_Stammdaten!N$19,Bewertung_Stammdaten!M$19,Bewertung_Stammdaten!M$20)))))))))</f>
        <v>6</v>
      </c>
      <c r="L32" s="44"/>
      <c r="M32" s="11">
        <f ca="1">VLOOKUP(A32,Buchwert_je_Aktie!A3:AK68,23,FALSE)</f>
        <v>6.8459444444444442</v>
      </c>
      <c r="N32" s="11">
        <f>VLOOKUP(A32,Buchwert_je_Aktie!A3:AK68,19,FALSE)</f>
        <v>5.9815384615384621</v>
      </c>
      <c r="O32" s="12">
        <f ca="1">VLOOKUP(A32,Buchwert_je_Aktie!A3:AK68,24,FALSE)</f>
        <v>0.14451231710105161</v>
      </c>
      <c r="P32" s="12">
        <f>VLOOKUP(A32,Buchwert_je_Aktie!A3:AK68,37,FALSE)</f>
        <v>-7.9575596816976124E-2</v>
      </c>
      <c r="Q32" s="16">
        <f t="shared" ca="1" si="2"/>
        <v>6.3011743295019151</v>
      </c>
      <c r="R32" s="12">
        <f t="shared" ca="1" si="3"/>
        <v>5.3437066403354994E-2</v>
      </c>
      <c r="S32" s="53">
        <f ca="1">IF(O32&lt;Bewertung_Stammdaten!D$24,Bewertung_Stammdaten!C$24,IF(O32&lt;Bewertung_Stammdaten!D$25,Bewertung_Stammdaten!C$25,IF(O32&lt;Bewertung_Stammdaten!D$26,Bewertung_Stammdaten!C$26,IF(O32&lt;Bewertung_Stammdaten!D$27,Bewertung_Stammdaten!C$27,IF(O32&lt;Bewertung_Stammdaten!D$28,Bewertung_Stammdaten!C$28,IF(O32&lt;Bewertung_Stammdaten!D$29,Bewertung_Stammdaten!C$29,IF(O32&lt;Bewertung_Stammdaten!D$30,Bewertung_Stammdaten!C$30,IF(O32&lt;Bewertung_Stammdaten!D$31,Bewertung_Stammdaten!C$31,IF(O32&lt;Bewertung_Stammdaten!D$32,Bewertung_Stammdaten!C$32,Bewertung_Stammdaten!C$33)))))))))</f>
        <v>6</v>
      </c>
      <c r="T32" s="53">
        <f>IF(P32&lt;Bewertung_Stammdaten!F$24,Bewertung_Stammdaten!E$24,IF(P32&lt;Bewertung_Stammdaten!F$25,Bewertung_Stammdaten!E$25,IF(P32&lt;Bewertung_Stammdaten!F$26,Bewertung_Stammdaten!E$26,IF(P32&lt;Bewertung_Stammdaten!F$27,Bewertung_Stammdaten!E$27,IF(P32&lt;Bewertung_Stammdaten!F$28,Bewertung_Stammdaten!E$28,IF(P32&lt;Bewertung_Stammdaten!F$29,Bewertung_Stammdaten!E$29,IF(P32&lt;Bewertung_Stammdaten!F$30,Bewertung_Stammdaten!E$30,IF(P32&lt;Bewertung_Stammdaten!F$31,Bewertung_Stammdaten!E$31,IF(P32&lt;Bewertung_Stammdaten!F$32,Bewertung_Stammdaten!E$32,Bewertung_Stammdaten!E$33)))))))))</f>
        <v>9</v>
      </c>
      <c r="U32" s="53">
        <f ca="1">IF(R32&lt;Bewertung_Stammdaten!H$24,Bewertung_Stammdaten!G$24,IF(R32&lt;Bewertung_Stammdaten!H$25,Bewertung_Stammdaten!G$25,IF(R32&lt;Bewertung_Stammdaten!H$26,Bewertung_Stammdaten!G$26,IF(R32&lt;Bewertung_Stammdaten!H$27,Bewertung_Stammdaten!G$27,IF(R32&lt;Bewertung_Stammdaten!H$28,Bewertung_Stammdaten!G$28,IF(R32&lt;Bewertung_Stammdaten!H$29,Bewertung_Stammdaten!G$29,IF(R32&lt;Bewertung_Stammdaten!H$30,Bewertung_Stammdaten!G$30,IF(R32&lt;Bewertung_Stammdaten!H$31,Bewertung_Stammdaten!G$31,IF(R32&lt;Bewertung_Stammdaten!H$32,Bewertung_Stammdaten!G$32,Bewertung_Stammdaten!G$33)))))))))</f>
        <v>3</v>
      </c>
      <c r="V32" s="44"/>
      <c r="W32" s="14">
        <f ca="1">VLOOKUP(A32,Ergebnis_je_Aktie_verwässert!A3:AK68,23,FALSE)</f>
        <v>2.0124444444444443</v>
      </c>
      <c r="X32" s="14">
        <f>VLOOKUP(A32,Ergebnis_je_Aktie_verwässert!A3:AK68,19,FALSE)</f>
        <v>1.6730769230769234</v>
      </c>
      <c r="Y32" s="12">
        <f ca="1">VLOOKUP(A32,Ergebnis_je_Aktie_verwässert!A3:AK68,24,FALSE)</f>
        <v>0.20284035759897789</v>
      </c>
      <c r="Z32" s="41">
        <f>VLOOKUP(A32,Ergebnis_je_Aktie_verwässert!A3:AK68,37,FALSE)</f>
        <v>-0.1578947368421052</v>
      </c>
      <c r="AA32" s="16">
        <f t="shared" ca="1" si="4"/>
        <v>1.6946900584795321</v>
      </c>
      <c r="AB32" s="12">
        <f t="shared" ca="1" si="5"/>
        <v>1.2918195872823723E-2</v>
      </c>
      <c r="AC32" s="33">
        <f ca="1">IF(Y32&lt;Bewertung_Stammdaten!L$11,Bewertung_Stammdaten!K$11,IF(Y32&lt;Bewertung_Stammdaten!L$12,Bewertung_Stammdaten!K$12,IF(Y32&lt;Bewertung_Stammdaten!L$13,Bewertung_Stammdaten!K$13,IF(Y32&lt;Bewertung_Stammdaten!L$14,Bewertung_Stammdaten!K$14,IF(Y32&lt;Bewertung_Stammdaten!L$15,Bewertung_Stammdaten!K$15,IF(Y32&lt;Bewertung_Stammdaten!L$16,Bewertung_Stammdaten!K$16,IF(Y32&lt;Bewertung_Stammdaten!L$17,Bewertung_Stammdaten!K$17,IF(Y32&lt;Bewertung_Stammdaten!L$18,Bewertung_Stammdaten!K$18,IF(Y32&lt;Bewertung_Stammdaten!L$19,Bewertung_Stammdaten!K$19,Bewertung_Stammdaten!K$20)))))))))</f>
        <v>10</v>
      </c>
      <c r="AD32" s="33">
        <f>IF(Z32&lt;Bewertung_Stammdaten!R$11,Bewertung_Stammdaten!Q$11,IF(Z32&lt;Bewertung_Stammdaten!R$12,Bewertung_Stammdaten!Q$12,IF(Z32&lt;Bewertung_Stammdaten!R$13,Bewertung_Stammdaten!Q$13,IF(Z32&lt;Bewertung_Stammdaten!R$14,Bewertung_Stammdaten!Q$14,IF(Z32&lt;Bewertung_Stammdaten!R$15,Bewertung_Stammdaten!Q$15,IF(Z32&lt;Bewertung_Stammdaten!R$16,Bewertung_Stammdaten!Q$16,IF(Z32&lt;Bewertung_Stammdaten!R$17,Bewertung_Stammdaten!Q$17,IF(Z32&lt;Bewertung_Stammdaten!R$18,Bewertung_Stammdaten!Q$18,IF(Z32&lt;Bewertung_Stammdaten!R$19,Bewertung_Stammdaten!Q$19,Bewertung_Stammdaten!Q$20)))))))))</f>
        <v>6</v>
      </c>
      <c r="AE32" s="33">
        <f ca="1">IF(AB32&lt;Bewertung_Stammdaten!P$11,Bewertung_Stammdaten!O$11,IF(AB32&lt;Bewertung_Stammdaten!P$12,Bewertung_Stammdaten!O$12,IF(AB32&lt;Bewertung_Stammdaten!P$13,Bewertung_Stammdaten!O$13,IF(AB32&lt;Bewertung_Stammdaten!P$14,Bewertung_Stammdaten!O$14,IF(AB32&lt;Bewertung_Stammdaten!P$15,Bewertung_Stammdaten!O$15,IF(AB32&lt;Bewertung_Stammdaten!P$16,Bewertung_Stammdaten!O$16,IF(AB32&lt;Bewertung_Stammdaten!P$17,Bewertung_Stammdaten!O$17,IF(AB32&lt;Bewertung_Stammdaten!P$18,Bewertung_Stammdaten!O$18,IF(AB32&lt;Bewertung_Stammdaten!P$19,Bewertung_Stammdaten!O$19,Bewertung_Stammdaten!O$20)))))))))</f>
        <v>4</v>
      </c>
      <c r="AF32" s="44"/>
      <c r="AG32" s="14">
        <f ca="1">VLOOKUP(A32,Dividende_je_Aktie!A3:AM68,24,FALSE)</f>
        <v>1.3502777777777779</v>
      </c>
      <c r="AH32" s="14">
        <f>VLOOKUP(A32,Dividende_je_Aktie!A3:AM68,20,FALSE)</f>
        <v>0.95642857142857129</v>
      </c>
      <c r="AI32" s="12">
        <f ca="1">VLOOKUP(A32,Dividende_je_Aktie!A3:AM68,25,FALSE)</f>
        <v>0.41179155256825184</v>
      </c>
      <c r="AJ32" s="41">
        <f>VLOOKUP(A32,Dividende_je_Aktie!A3:AM68,39,FALSE)</f>
        <v>5.5944055944056048E-2</v>
      </c>
      <c r="AK32" s="16">
        <f t="shared" ca="1" si="6"/>
        <v>1.3502777777777779</v>
      </c>
      <c r="AL32" s="12">
        <f t="shared" ca="1" si="7"/>
        <v>0.41179155256825184</v>
      </c>
      <c r="AM32" s="33">
        <f ca="1">IF(AI32&lt;Bewertung_Stammdaten!P$24,Bewertung_Stammdaten!O$24,IF(AI32&lt;Bewertung_Stammdaten!P$25,Bewertung_Stammdaten!O$25,IF(AI32&lt;Bewertung_Stammdaten!P$26,Bewertung_Stammdaten!O$26,IF(AI32&lt;Bewertung_Stammdaten!P$27,Bewertung_Stammdaten!O$27,IF(AI32&lt;Bewertung_Stammdaten!P$28,Bewertung_Stammdaten!O$28,IF(AI32&lt;Bewertung_Stammdaten!P$29,Bewertung_Stammdaten!O$29,IF(AI32&lt;Bewertung_Stammdaten!P$30,Bewertung_Stammdaten!O$30,IF(AI32&lt;Bewertung_Stammdaten!P$31,Bewertung_Stammdaten!O$31,IF(AI32&lt;Bewertung_Stammdaten!P$32,Bewertung_Stammdaten!O$32,Bewertung_Stammdaten!O$33)))))))))</f>
        <v>14</v>
      </c>
      <c r="AN32" s="33">
        <f>IF(AJ32&lt;Bewertung_Stammdaten!R$24,Bewertung_Stammdaten!Q$24,IF(AJ32&lt;Bewertung_Stammdaten!R$25,Bewertung_Stammdaten!Q$25,IF(AJ32&lt;Bewertung_Stammdaten!R$26,Bewertung_Stammdaten!Q$26,IF(AJ32&lt;Bewertung_Stammdaten!R$27,Bewertung_Stammdaten!Q$27,IF(AJ32&lt;Bewertung_Stammdaten!R$28,Bewertung_Stammdaten!Q$28,IF(AJ32&lt;Bewertung_Stammdaten!R$29,Bewertung_Stammdaten!Q$29,IF(AJ32&lt;Bewertung_Stammdaten!R$30,Bewertung_Stammdaten!Q$30,IF(AJ32&lt;Bewertung_Stammdaten!R$31,Bewertung_Stammdaten!Q$31,IF(AJ32&lt;Bewertung_Stammdaten!R$32,Bewertung_Stammdaten!Q$32,Bewertung_Stammdaten!Q$33)))))))))</f>
        <v>8</v>
      </c>
      <c r="AO32" s="33">
        <f ca="1">IF(AL32&lt;Bewertung_Stammdaten!T$24,Bewertung_Stammdaten!S$24,IF(AL32&lt;Bewertung_Stammdaten!T$25,Bewertung_Stammdaten!S$25,IF(AL32&lt;Bewertung_Stammdaten!T$26,Bewertung_Stammdaten!S$26,IF(AL32&lt;Bewertung_Stammdaten!T$27,Bewertung_Stammdaten!S$27,IF(AL32&lt;Bewertung_Stammdaten!T$28,Bewertung_Stammdaten!S$28,IF(AL32&lt;Bewertung_Stammdaten!T$29,Bewertung_Stammdaten!S$29,IF(AL32&lt;Bewertung_Stammdaten!T$30,Bewertung_Stammdaten!S$30,IF(AL32&lt;Bewertung_Stammdaten!T$31,Bewertung_Stammdaten!S$31,IF(AL32&lt;Bewertung_Stammdaten!T$32,Bewertung_Stammdaten!S$32,Bewertung_Stammdaten!S$33)))))))))</f>
        <v>8</v>
      </c>
      <c r="AP32" s="44"/>
      <c r="AQ32" s="12">
        <f ca="1">VLOOKUP(A32,Dividendenrendite!A3:R68,17,FALSE)</f>
        <v>3.3833068849355503E-2</v>
      </c>
      <c r="AR32" s="12">
        <f>VLOOKUP(A32,Dividendenrendite!A3:R68,16,FALSE)</f>
        <v>2.8373787310174339E-2</v>
      </c>
      <c r="AS32" s="12">
        <f ca="1">VLOOKUP(A32,Dividendenrendite!A3:R68,18,FALSE)</f>
        <v>0.1924058103171713</v>
      </c>
      <c r="AT32" s="33">
        <f ca="1">IF(AQ32&lt;Bewertung_Stammdaten!D$11,Bewertung_Stammdaten!C$11,IF(AQ32&lt;Bewertung_Stammdaten!D$12,Bewertung_Stammdaten!C$12,IF(AQ32&lt;Bewertung_Stammdaten!D$13,Bewertung_Stammdaten!C$13,IF(AQ32&lt;Bewertung_Stammdaten!D$14,Bewertung_Stammdaten!C$14,IF(AQ32&lt;Bewertung_Stammdaten!D$15,Bewertung_Stammdaten!C$15,IF(AQ32&lt;Bewertung_Stammdaten!D$16,Bewertung_Stammdaten!C$16,IF(AQ32&lt;Bewertung_Stammdaten!D$17,Bewertung_Stammdaten!C$17,IF(AQ32&lt;Bewertung_Stammdaten!D$18,Bewertung_Stammdaten!C$18,IF(AQ32&lt;Bewertung_Stammdaten!D$19,Bewertung_Stammdaten!C$19,Bewertung_Stammdaten!C$20)))))))))</f>
        <v>10.5</v>
      </c>
      <c r="AU32" s="33">
        <f>IF(AR32&lt;Bewertung_Stammdaten!T$11,Bewertung_Stammdaten!S$11,IF(AR32&lt;Bewertung_Stammdaten!T$12,Bewertung_Stammdaten!S$12,IF(AR32&lt;Bewertung_Stammdaten!T$13,Bewertung_Stammdaten!S$13,IF(AR32&lt;Bewertung_Stammdaten!T$14,Bewertung_Stammdaten!S$14,IF(AR32&lt;Bewertung_Stammdaten!T$15,Bewertung_Stammdaten!S$15,IF(AR32&lt;Bewertung_Stammdaten!T$16,Bewertung_Stammdaten!S$16,IF(AR32&lt;Bewertung_Stammdaten!T$17,Bewertung_Stammdaten!S$17,IF(AR32&lt;Bewertung_Stammdaten!T$18,Bewertung_Stammdaten!S$18,IF(AR32&lt;Bewertung_Stammdaten!T$19,Bewertung_Stammdaten!S$19,Bewertung_Stammdaten!S$20)))))))))</f>
        <v>6</v>
      </c>
      <c r="AV32" s="33">
        <f ca="1">IF(AS32&lt;Bewertung_Stammdaten!F$11,Bewertung_Stammdaten!E$11,IF(AS32&lt;Bewertung_Stammdaten!F$12,Bewertung_Stammdaten!E$12,IF(AS32&lt;Bewertung_Stammdaten!F$13,Bewertung_Stammdaten!E$13,IF(AS32&lt;Bewertung_Stammdaten!F$14,Bewertung_Stammdaten!E$14,IF(AS32&lt;Bewertung_Stammdaten!F$15,Bewertung_Stammdaten!E$15,IF(AS32&lt;Bewertung_Stammdaten!F$16,Bewertung_Stammdaten!E$16,IF(AS32&lt;Bewertung_Stammdaten!F$17,Bewertung_Stammdaten!E$17,IF(AS32&lt;Bewertung_Stammdaten!F$18,Bewertung_Stammdaten!E$18,IF(AS32&lt;Bewertung_Stammdaten!F$19,Bewertung_Stammdaten!E$19,Bewertung_Stammdaten!E$20)))))))))</f>
        <v>4.5</v>
      </c>
      <c r="AW32" s="44"/>
      <c r="AX32" s="12">
        <f>VLOOKUP(A32,Aktien_im_Umlauf_splitbereinigt!A3:Z68,26,FALSE)</f>
        <v>-8.1781008632439978E-3</v>
      </c>
      <c r="AY32" s="12">
        <f>VLOOKUP(A32,Aktien_im_Umlauf_splitbereinigt!A3:Y68,24,FALSE)</f>
        <v>-9.0224997244694825E-3</v>
      </c>
      <c r="AZ32" s="12">
        <f>VLOOKUP(A32,Aktien_im_Umlauf_splitbereinigt!A3:Y68,25,FALSE)</f>
        <v>-9.3588128236283707E-2</v>
      </c>
      <c r="BA32" s="42">
        <f>IF(AX32&lt;Bewertung_Stammdaten!J$24,Bewertung_Stammdaten!I$24,IF(AX32&lt;Bewertung_Stammdaten!J$25,Bewertung_Stammdaten!I$25,IF(AX32&lt;Bewertung_Stammdaten!J$26,Bewertung_Stammdaten!I$26,IF(AX32&lt;Bewertung_Stammdaten!J$27,Bewertung_Stammdaten!I$27,IF(AX32&lt;Bewertung_Stammdaten!J$28,Bewertung_Stammdaten!I$28,IF(AX32&lt;Bewertung_Stammdaten!J$29,Bewertung_Stammdaten!I$29,IF(AX32&lt;Bewertung_Stammdaten!J$30,Bewertung_Stammdaten!I$30,IF(AX32&lt;Bewertung_Stammdaten!J$31,Bewertung_Stammdaten!I$31,IF(AX32&lt;Bewertung_Stammdaten!J$32,Bewertung_Stammdaten!I$32,Bewertung_Stammdaten!I$33)))))))))</f>
        <v>4</v>
      </c>
      <c r="BB32" s="42">
        <f>IF(AY32&lt;Bewertung_Stammdaten!L$24,Bewertung_Stammdaten!K$24,IF(AY32&lt;Bewertung_Stammdaten!L$25,Bewertung_Stammdaten!K$25,IF(AY32&lt;Bewertung_Stammdaten!L$26,Bewertung_Stammdaten!K$26,IF(AY32&lt;Bewertung_Stammdaten!L$27,Bewertung_Stammdaten!K$27,IF(AY32&lt;Bewertung_Stammdaten!L$28,Bewertung_Stammdaten!K$28,IF(AY32&lt;Bewertung_Stammdaten!L$29,Bewertung_Stammdaten!K$29,IF(AY32&lt;Bewertung_Stammdaten!L$30,Bewertung_Stammdaten!K$30,IF(AY32&lt;Bewertung_Stammdaten!L$31,Bewertung_Stammdaten!K$31,IF(AY32&lt;Bewertung_Stammdaten!L$32,Bewertung_Stammdaten!K$32,Bewertung_Stammdaten!K$33)))))))))</f>
        <v>4</v>
      </c>
      <c r="BC32" s="42">
        <f>IF(AZ32&lt;Bewertung_Stammdaten!N$24,Bewertung_Stammdaten!M$24,IF(AZ32&lt;Bewertung_Stammdaten!N$25,Bewertung_Stammdaten!M$25,IF(AZ32&lt;Bewertung_Stammdaten!N$26,Bewertung_Stammdaten!M$26,IF(AZ32&lt;Bewertung_Stammdaten!N$27,Bewertung_Stammdaten!M$27,IF(AZ32&lt;Bewertung_Stammdaten!N$28,Bewertung_Stammdaten!M$28,IF(AZ32&lt;Bewertung_Stammdaten!N$29,Bewertung_Stammdaten!M$29,IF(AZ32&lt;Bewertung_Stammdaten!N$30,Bewertung_Stammdaten!M$30,IF(AZ32&lt;Bewertung_Stammdaten!N$31,Bewertung_Stammdaten!M$31,IF(AZ32&lt;Bewertung_Stammdaten!N$32,Bewertung_Stammdaten!M$32,Bewertung_Stammdaten!M$33)))))))))</f>
        <v>2.5</v>
      </c>
      <c r="BD32" s="44"/>
      <c r="BE32" s="12">
        <f ca="1">VLOOKUP(A32,Ausschüttungsquote!A3:X68,23,FALSE)</f>
        <v>0.6710088947627888</v>
      </c>
      <c r="BF32" s="12">
        <f>VLOOKUP(A32,Ausschüttungsquote!A3:X68,19,FALSE)</f>
        <v>0.58644631795504032</v>
      </c>
      <c r="BG32" s="12">
        <f ca="1">VLOOKUP(A32,Ausschüttungsquote!A3:X68,24,FALSE)</f>
        <v>0.14419491472403001</v>
      </c>
      <c r="BH32" s="33">
        <f ca="1">IF(BE32&lt;Bewertung_Stammdaten!H$11,Bewertung_Stammdaten!G$11,IF(BE32&lt;Bewertung_Stammdaten!H$12,Bewertung_Stammdaten!G$12,IF(BE32&lt;Bewertung_Stammdaten!H$13,Bewertung_Stammdaten!G$13,IF(BE32&lt;Bewertung_Stammdaten!H$14,Bewertung_Stammdaten!G$14,IF(BE32&lt;Bewertung_Stammdaten!H$15,Bewertung_Stammdaten!G$15,IF(BE32&lt;Bewertung_Stammdaten!H$16,Bewertung_Stammdaten!G$16,IF(BE32&lt;Bewertung_Stammdaten!H$17,Bewertung_Stammdaten!G$17,IF(BE32&lt;Bewertung_Stammdaten!H$18,Bewertung_Stammdaten!G$18,IF(BE32&lt;Bewertung_Stammdaten!H$19,Bewertung_Stammdaten!G$19,Bewertung_Stammdaten!G$20)))))))))</f>
        <v>4</v>
      </c>
      <c r="BI32" s="42">
        <f>IF(BF32&lt;Bewertung_Stammdaten!B$24,Bewertung_Stammdaten!A$24,IF(BF32&lt;Bewertung_Stammdaten!B$25,Bewertung_Stammdaten!A$25,IF(BF32&lt;Bewertung_Stammdaten!B$26,Bewertung_Stammdaten!A$26,IF(BF32&lt;Bewertung_Stammdaten!B$27,Bewertung_Stammdaten!A$27,IF(BF32&lt;Bewertung_Stammdaten!B$28,Bewertung_Stammdaten!A$28,IF(BF32&lt;Bewertung_Stammdaten!B$29,Bewertung_Stammdaten!A$29,IF(BF32&lt;Bewertung_Stammdaten!B$30,Bewertung_Stammdaten!A$30,IF(BF32&lt;Bewertung_Stammdaten!B$31,Bewertung_Stammdaten!A$31,IF(BF32&lt;Bewertung_Stammdaten!B$32,Bewertung_Stammdaten!A$32,Bewertung_Stammdaten!A$33)))))))))</f>
        <v>6</v>
      </c>
      <c r="BJ32" s="33">
        <f ca="1">IF(BG32&lt;Bewertung_Stammdaten!J$11,Bewertung_Stammdaten!I$11,IF(BG32&lt;Bewertung_Stammdaten!J$12,Bewertung_Stammdaten!I$12,IF(BG32&lt;Bewertung_Stammdaten!J$13,Bewertung_Stammdaten!I$13,IF(BG32&lt;Bewertung_Stammdaten!J$14,Bewertung_Stammdaten!I$14,IF(BG32&lt;Bewertung_Stammdaten!J$15,Bewertung_Stammdaten!I$15,IF(BG32&lt;Bewertung_Stammdaten!J$16,Bewertung_Stammdaten!I$16,IF(BG32&lt;Bewertung_Stammdaten!J$17,Bewertung_Stammdaten!I$17,IF(BG32&lt;Bewertung_Stammdaten!J$18,Bewertung_Stammdaten!I$18,IF(BG32&lt;Bewertung_Stammdaten!J$19,Bewertung_Stammdaten!I$19,Bewertung_Stammdaten!I$20)))))))))</f>
        <v>3</v>
      </c>
    </row>
    <row r="33" spans="1:62" x14ac:dyDescent="0.25">
      <c r="A33" s="39" t="s">
        <v>60</v>
      </c>
      <c r="B33" s="39" t="s">
        <v>61</v>
      </c>
      <c r="C33" s="33">
        <f t="shared" ca="1" si="8"/>
        <v>123.5</v>
      </c>
      <c r="D33" s="44"/>
      <c r="E33" s="11">
        <f ca="1">VLOOKUP(A33,KGV!A3:R68,17,FALSE)</f>
        <v>23.044039270687236</v>
      </c>
      <c r="F33" s="11">
        <f>VLOOKUP(A33,KGV!A3:R68,16,FALSE)</f>
        <v>20.412499999999998</v>
      </c>
      <c r="G33" s="12">
        <f ca="1">VLOOKUP(A33,KGV!A3:R68,18,FALSE)</f>
        <v>0.12891802918247341</v>
      </c>
      <c r="H33" s="16">
        <f t="shared" ca="1" si="0"/>
        <v>24.980513158980283</v>
      </c>
      <c r="I33" s="12">
        <f t="shared" ca="1" si="1"/>
        <v>0.22378509045831163</v>
      </c>
      <c r="J33" s="33">
        <f ca="1">IF(G33&lt;Bewertung_Stammdaten!B$11,Bewertung_Stammdaten!A$11,IF(G33&lt;Bewertung_Stammdaten!B$12,Bewertung_Stammdaten!A$12,IF(G33&lt;Bewertung_Stammdaten!B$13,Bewertung_Stammdaten!A$13,IF(G33&lt;Bewertung_Stammdaten!B$14,Bewertung_Stammdaten!A$14,IF(G33&lt;Bewertung_Stammdaten!B$15,Bewertung_Stammdaten!A$15,IF(G33&lt;Bewertung_Stammdaten!B$16,Bewertung_Stammdaten!A$16,IF(G33&lt;Bewertung_Stammdaten!B$17,Bewertung_Stammdaten!A$17,IF(G33&lt;Bewertung_Stammdaten!B$18,Bewertung_Stammdaten!A$18,IF(G33&lt;Bewertung_Stammdaten!B$19,Bewertung_Stammdaten!A$19,Bewertung_Stammdaten!A$20)))))))))</f>
        <v>12</v>
      </c>
      <c r="K33" s="33">
        <f ca="1">IF(I33&lt;Bewertung_Stammdaten!N$11,Bewertung_Stammdaten!M$11,IF(I33&lt;Bewertung_Stammdaten!N$12,Bewertung_Stammdaten!M$12,IF(I33&lt;Bewertung_Stammdaten!N$13,Bewertung_Stammdaten!M$13,IF(I33&lt;Bewertung_Stammdaten!N$14,Bewertung_Stammdaten!M$14,IF(I33&lt;Bewertung_Stammdaten!N$15,Bewertung_Stammdaten!M$15,IF(I33&lt;Bewertung_Stammdaten!N$16,Bewertung_Stammdaten!M$16,IF(I33&lt;Bewertung_Stammdaten!N$17,Bewertung_Stammdaten!M$17,IF(I33&lt;Bewertung_Stammdaten!N$18,Bewertung_Stammdaten!M$18,IF(I33&lt;Bewertung_Stammdaten!N$19,Bewertung_Stammdaten!M$19,Bewertung_Stammdaten!M$20)))))))))</f>
        <v>7.5</v>
      </c>
      <c r="L33" s="44"/>
      <c r="M33" s="11">
        <f ca="1">VLOOKUP(A33,Buchwert_je_Aktie!A3:AK68,23,FALSE)</f>
        <v>1.7565</v>
      </c>
      <c r="N33" s="11">
        <f>VLOOKUP(A33,Buchwert_je_Aktie!A3:AK68,19,FALSE)</f>
        <v>2.17</v>
      </c>
      <c r="O33" s="12">
        <f ca="1">VLOOKUP(A33,Buchwert_je_Aktie!A3:AK68,24,FALSE)</f>
        <v>-0.19055299539170512</v>
      </c>
      <c r="P33" s="12">
        <f>VLOOKUP(A33,Buchwert_je_Aktie!A3:AK68,37,FALSE)</f>
        <v>-0.54347826086956519</v>
      </c>
      <c r="Q33" s="16">
        <f t="shared" ca="1" si="2"/>
        <v>0.80188043478260873</v>
      </c>
      <c r="R33" s="12">
        <f t="shared" ca="1" si="3"/>
        <v>-0.63046984572230014</v>
      </c>
      <c r="S33" s="53">
        <f ca="1">IF(O33&lt;Bewertung_Stammdaten!D$24,Bewertung_Stammdaten!C$24,IF(O33&lt;Bewertung_Stammdaten!D$25,Bewertung_Stammdaten!C$25,IF(O33&lt;Bewertung_Stammdaten!D$26,Bewertung_Stammdaten!C$26,IF(O33&lt;Bewertung_Stammdaten!D$27,Bewertung_Stammdaten!C$27,IF(O33&lt;Bewertung_Stammdaten!D$28,Bewertung_Stammdaten!C$28,IF(O33&lt;Bewertung_Stammdaten!D$29,Bewertung_Stammdaten!C$29,IF(O33&lt;Bewertung_Stammdaten!D$30,Bewertung_Stammdaten!C$30,IF(O33&lt;Bewertung_Stammdaten!D$31,Bewertung_Stammdaten!C$31,IF(O33&lt;Bewertung_Stammdaten!D$32,Bewertung_Stammdaten!C$32,Bewertung_Stammdaten!C$33)))))))))</f>
        <v>1.5</v>
      </c>
      <c r="T33" s="53">
        <f>IF(P33&lt;Bewertung_Stammdaten!F$24,Bewertung_Stammdaten!E$24,IF(P33&lt;Bewertung_Stammdaten!F$25,Bewertung_Stammdaten!E$25,IF(P33&lt;Bewertung_Stammdaten!F$26,Bewertung_Stammdaten!E$26,IF(P33&lt;Bewertung_Stammdaten!F$27,Bewertung_Stammdaten!E$27,IF(P33&lt;Bewertung_Stammdaten!F$28,Bewertung_Stammdaten!E$28,IF(P33&lt;Bewertung_Stammdaten!F$29,Bewertung_Stammdaten!E$29,IF(P33&lt;Bewertung_Stammdaten!F$30,Bewertung_Stammdaten!E$30,IF(P33&lt;Bewertung_Stammdaten!F$31,Bewertung_Stammdaten!E$31,IF(P33&lt;Bewertung_Stammdaten!F$32,Bewertung_Stammdaten!E$32,Bewertung_Stammdaten!E$33)))))))))</f>
        <v>1.5</v>
      </c>
      <c r="U33" s="53">
        <f ca="1">IF(R33&lt;Bewertung_Stammdaten!H$24,Bewertung_Stammdaten!G$24,IF(R33&lt;Bewertung_Stammdaten!H$25,Bewertung_Stammdaten!G$25,IF(R33&lt;Bewertung_Stammdaten!H$26,Bewertung_Stammdaten!G$26,IF(R33&lt;Bewertung_Stammdaten!H$27,Bewertung_Stammdaten!G$27,IF(R33&lt;Bewertung_Stammdaten!H$28,Bewertung_Stammdaten!G$28,IF(R33&lt;Bewertung_Stammdaten!H$29,Bewertung_Stammdaten!G$29,IF(R33&lt;Bewertung_Stammdaten!H$30,Bewertung_Stammdaten!G$30,IF(R33&lt;Bewertung_Stammdaten!H$31,Bewertung_Stammdaten!G$31,IF(R33&lt;Bewertung_Stammdaten!H$32,Bewertung_Stammdaten!G$32,Bewertung_Stammdaten!G$33)))))))))</f>
        <v>1</v>
      </c>
      <c r="V33" s="44"/>
      <c r="W33" s="14">
        <f ca="1">VLOOKUP(A33,Ergebnis_je_Aktie_verwässert!A3:AK68,23,FALSE)</f>
        <v>2.9708333333333332</v>
      </c>
      <c r="X33" s="14">
        <f>VLOOKUP(A33,Ergebnis_je_Aktie_verwässert!A3:AK68,19,FALSE)</f>
        <v>2.2861538461538462</v>
      </c>
      <c r="Y33" s="12">
        <f ca="1">VLOOKUP(A33,Ergebnis_je_Aktie_verwässert!A3:AK68,24,FALSE)</f>
        <v>0.29948968147151178</v>
      </c>
      <c r="Z33" s="41">
        <f>VLOOKUP(A33,Ergebnis_je_Aktie_verwässert!A3:AK68,37,FALSE)</f>
        <v>-7.7519379844961267E-2</v>
      </c>
      <c r="AA33" s="16">
        <f t="shared" ca="1" si="4"/>
        <v>2.7405361757105942</v>
      </c>
      <c r="AB33" s="12">
        <f t="shared" ca="1" si="5"/>
        <v>0.19875404724891399</v>
      </c>
      <c r="AC33" s="33">
        <f ca="1">IF(Y33&lt;Bewertung_Stammdaten!L$11,Bewertung_Stammdaten!K$11,IF(Y33&lt;Bewertung_Stammdaten!L$12,Bewertung_Stammdaten!K$12,IF(Y33&lt;Bewertung_Stammdaten!L$13,Bewertung_Stammdaten!K$13,IF(Y33&lt;Bewertung_Stammdaten!L$14,Bewertung_Stammdaten!K$14,IF(Y33&lt;Bewertung_Stammdaten!L$15,Bewertung_Stammdaten!K$15,IF(Y33&lt;Bewertung_Stammdaten!L$16,Bewertung_Stammdaten!K$16,IF(Y33&lt;Bewertung_Stammdaten!L$17,Bewertung_Stammdaten!K$17,IF(Y33&lt;Bewertung_Stammdaten!L$18,Bewertung_Stammdaten!K$18,IF(Y33&lt;Bewertung_Stammdaten!L$19,Bewertung_Stammdaten!K$19,Bewertung_Stammdaten!K$20)))))))))</f>
        <v>10</v>
      </c>
      <c r="AD33" s="33">
        <f>IF(Z33&lt;Bewertung_Stammdaten!R$11,Bewertung_Stammdaten!Q$11,IF(Z33&lt;Bewertung_Stammdaten!R$12,Bewertung_Stammdaten!Q$12,IF(Z33&lt;Bewertung_Stammdaten!R$13,Bewertung_Stammdaten!Q$13,IF(Z33&lt;Bewertung_Stammdaten!R$14,Bewertung_Stammdaten!Q$14,IF(Z33&lt;Bewertung_Stammdaten!R$15,Bewertung_Stammdaten!Q$15,IF(Z33&lt;Bewertung_Stammdaten!R$16,Bewertung_Stammdaten!Q$16,IF(Z33&lt;Bewertung_Stammdaten!R$17,Bewertung_Stammdaten!Q$17,IF(Z33&lt;Bewertung_Stammdaten!R$18,Bewertung_Stammdaten!Q$18,IF(Z33&lt;Bewertung_Stammdaten!R$19,Bewertung_Stammdaten!Q$19,Bewertung_Stammdaten!Q$20)))))))))</f>
        <v>7</v>
      </c>
      <c r="AE33" s="33">
        <f ca="1">IF(AB33&lt;Bewertung_Stammdaten!P$11,Bewertung_Stammdaten!O$11,IF(AB33&lt;Bewertung_Stammdaten!P$12,Bewertung_Stammdaten!O$12,IF(AB33&lt;Bewertung_Stammdaten!P$13,Bewertung_Stammdaten!O$13,IF(AB33&lt;Bewertung_Stammdaten!P$14,Bewertung_Stammdaten!O$14,IF(AB33&lt;Bewertung_Stammdaten!P$15,Bewertung_Stammdaten!O$15,IF(AB33&lt;Bewertung_Stammdaten!P$16,Bewertung_Stammdaten!O$16,IF(AB33&lt;Bewertung_Stammdaten!P$17,Bewertung_Stammdaten!O$17,IF(AB33&lt;Bewertung_Stammdaten!P$18,Bewertung_Stammdaten!O$18,IF(AB33&lt;Bewertung_Stammdaten!P$19,Bewertung_Stammdaten!O$19,Bewertung_Stammdaten!O$20)))))))))</f>
        <v>6</v>
      </c>
      <c r="AF33" s="44"/>
      <c r="AG33" s="14">
        <f ca="1">VLOOKUP(A33,Dividende_je_Aktie!A3:AM68,24,FALSE)</f>
        <v>1.5523055555555556</v>
      </c>
      <c r="AH33" s="14">
        <f>VLOOKUP(A33,Dividende_je_Aktie!A3:AM68,20,FALSE)</f>
        <v>1.0785714285714285</v>
      </c>
      <c r="AI33" s="12">
        <f ca="1">VLOOKUP(A33,Dividende_je_Aktie!A3:AM68,25,FALSE)</f>
        <v>0.43922369389256821</v>
      </c>
      <c r="AJ33" s="41">
        <f>VLOOKUP(A33,Dividende_je_Aktie!A3:AM68,39,FALSE)</f>
        <v>6.7669172932330657E-2</v>
      </c>
      <c r="AK33" s="16">
        <f t="shared" ca="1" si="6"/>
        <v>1.5523055555555556</v>
      </c>
      <c r="AL33" s="12">
        <f t="shared" ca="1" si="7"/>
        <v>0.43922369389256821</v>
      </c>
      <c r="AM33" s="33">
        <f ca="1">IF(AI33&lt;Bewertung_Stammdaten!P$24,Bewertung_Stammdaten!O$24,IF(AI33&lt;Bewertung_Stammdaten!P$25,Bewertung_Stammdaten!O$25,IF(AI33&lt;Bewertung_Stammdaten!P$26,Bewertung_Stammdaten!O$26,IF(AI33&lt;Bewertung_Stammdaten!P$27,Bewertung_Stammdaten!O$27,IF(AI33&lt;Bewertung_Stammdaten!P$28,Bewertung_Stammdaten!O$28,IF(AI33&lt;Bewertung_Stammdaten!P$29,Bewertung_Stammdaten!O$29,IF(AI33&lt;Bewertung_Stammdaten!P$30,Bewertung_Stammdaten!O$30,IF(AI33&lt;Bewertung_Stammdaten!P$31,Bewertung_Stammdaten!O$31,IF(AI33&lt;Bewertung_Stammdaten!P$32,Bewertung_Stammdaten!O$32,Bewertung_Stammdaten!O$33)))))))))</f>
        <v>14</v>
      </c>
      <c r="AN33" s="33">
        <f>IF(AJ33&lt;Bewertung_Stammdaten!R$24,Bewertung_Stammdaten!Q$24,IF(AJ33&lt;Bewertung_Stammdaten!R$25,Bewertung_Stammdaten!Q$25,IF(AJ33&lt;Bewertung_Stammdaten!R$26,Bewertung_Stammdaten!Q$26,IF(AJ33&lt;Bewertung_Stammdaten!R$27,Bewertung_Stammdaten!Q$27,IF(AJ33&lt;Bewertung_Stammdaten!R$28,Bewertung_Stammdaten!Q$28,IF(AJ33&lt;Bewertung_Stammdaten!R$29,Bewertung_Stammdaten!Q$29,IF(AJ33&lt;Bewertung_Stammdaten!R$30,Bewertung_Stammdaten!Q$30,IF(AJ33&lt;Bewertung_Stammdaten!R$31,Bewertung_Stammdaten!Q$31,IF(AJ33&lt;Bewertung_Stammdaten!R$32,Bewertung_Stammdaten!Q$32,Bewertung_Stammdaten!Q$33)))))))))</f>
        <v>8</v>
      </c>
      <c r="AO33" s="33">
        <f ca="1">IF(AL33&lt;Bewertung_Stammdaten!T$24,Bewertung_Stammdaten!S$24,IF(AL33&lt;Bewertung_Stammdaten!T$25,Bewertung_Stammdaten!S$25,IF(AL33&lt;Bewertung_Stammdaten!T$26,Bewertung_Stammdaten!S$26,IF(AL33&lt;Bewertung_Stammdaten!T$27,Bewertung_Stammdaten!S$27,IF(AL33&lt;Bewertung_Stammdaten!T$28,Bewertung_Stammdaten!S$28,IF(AL33&lt;Bewertung_Stammdaten!T$29,Bewertung_Stammdaten!S$29,IF(AL33&lt;Bewertung_Stammdaten!T$30,Bewertung_Stammdaten!S$30,IF(AL33&lt;Bewertung_Stammdaten!T$31,Bewertung_Stammdaten!S$31,IF(AL33&lt;Bewertung_Stammdaten!T$32,Bewertung_Stammdaten!S$32,Bewertung_Stammdaten!S$33)))))))))</f>
        <v>8</v>
      </c>
      <c r="AP33" s="44"/>
      <c r="AQ33" s="12">
        <f ca="1">VLOOKUP(A33,Dividendenrendite!A3:R68,17,FALSE)</f>
        <v>2.2674635634758338E-2</v>
      </c>
      <c r="AR33" s="12">
        <f>VLOOKUP(A33,Dividendenrendite!A3:R68,16,FALSE)</f>
        <v>2.2117470071771339E-2</v>
      </c>
      <c r="AS33" s="12">
        <f ca="1">VLOOKUP(A33,Dividendenrendite!A3:R68,18,FALSE)</f>
        <v>2.5191197780713326E-2</v>
      </c>
      <c r="AT33" s="33">
        <f ca="1">IF(AQ33&lt;Bewertung_Stammdaten!D$11,Bewertung_Stammdaten!C$11,IF(AQ33&lt;Bewertung_Stammdaten!D$12,Bewertung_Stammdaten!C$12,IF(AQ33&lt;Bewertung_Stammdaten!D$13,Bewertung_Stammdaten!C$13,IF(AQ33&lt;Bewertung_Stammdaten!D$14,Bewertung_Stammdaten!C$14,IF(AQ33&lt;Bewertung_Stammdaten!D$15,Bewertung_Stammdaten!C$15,IF(AQ33&lt;Bewertung_Stammdaten!D$16,Bewertung_Stammdaten!C$16,IF(AQ33&lt;Bewertung_Stammdaten!D$17,Bewertung_Stammdaten!C$17,IF(AQ33&lt;Bewertung_Stammdaten!D$18,Bewertung_Stammdaten!C$18,IF(AQ33&lt;Bewertung_Stammdaten!D$19,Bewertung_Stammdaten!C$19,Bewertung_Stammdaten!C$20)))))))))</f>
        <v>7.5</v>
      </c>
      <c r="AU33" s="33">
        <f>IF(AR33&lt;Bewertung_Stammdaten!T$11,Bewertung_Stammdaten!S$11,IF(AR33&lt;Bewertung_Stammdaten!T$12,Bewertung_Stammdaten!S$12,IF(AR33&lt;Bewertung_Stammdaten!T$13,Bewertung_Stammdaten!S$13,IF(AR33&lt;Bewertung_Stammdaten!T$14,Bewertung_Stammdaten!S$14,IF(AR33&lt;Bewertung_Stammdaten!T$15,Bewertung_Stammdaten!S$15,IF(AR33&lt;Bewertung_Stammdaten!T$16,Bewertung_Stammdaten!S$16,IF(AR33&lt;Bewertung_Stammdaten!T$17,Bewertung_Stammdaten!S$17,IF(AR33&lt;Bewertung_Stammdaten!T$18,Bewertung_Stammdaten!S$18,IF(AR33&lt;Bewertung_Stammdaten!T$19,Bewertung_Stammdaten!S$19,Bewertung_Stammdaten!S$20)))))))))</f>
        <v>5</v>
      </c>
      <c r="AV33" s="33">
        <f ca="1">IF(AS33&lt;Bewertung_Stammdaten!F$11,Bewertung_Stammdaten!E$11,IF(AS33&lt;Bewertung_Stammdaten!F$12,Bewertung_Stammdaten!E$12,IF(AS33&lt;Bewertung_Stammdaten!F$13,Bewertung_Stammdaten!E$13,IF(AS33&lt;Bewertung_Stammdaten!F$14,Bewertung_Stammdaten!E$14,IF(AS33&lt;Bewertung_Stammdaten!F$15,Bewertung_Stammdaten!E$15,IF(AS33&lt;Bewertung_Stammdaten!F$16,Bewertung_Stammdaten!E$16,IF(AS33&lt;Bewertung_Stammdaten!F$17,Bewertung_Stammdaten!E$17,IF(AS33&lt;Bewertung_Stammdaten!F$18,Bewertung_Stammdaten!E$18,IF(AS33&lt;Bewertung_Stammdaten!F$19,Bewertung_Stammdaten!E$19,Bewertung_Stammdaten!E$20)))))))))</f>
        <v>3</v>
      </c>
      <c r="AW33" s="44"/>
      <c r="AX33" s="12">
        <f>VLOOKUP(A33,Aktien_im_Umlauf_splitbereinigt!A3:Z68,26,FALSE)</f>
        <v>-1.290617450540843E-2</v>
      </c>
      <c r="AY33" s="12">
        <f>VLOOKUP(A33,Aktien_im_Umlauf_splitbereinigt!A3:Y68,24,FALSE)</f>
        <v>-1.4195960454157719E-2</v>
      </c>
      <c r="AZ33" s="12">
        <f>VLOOKUP(A33,Aktien_im_Umlauf_splitbereinigt!A3:Y68,25,FALSE)</f>
        <v>-9.0855842612011184E-2</v>
      </c>
      <c r="BA33" s="42">
        <f>IF(AX33&lt;Bewertung_Stammdaten!J$24,Bewertung_Stammdaten!I$24,IF(AX33&lt;Bewertung_Stammdaten!J$25,Bewertung_Stammdaten!I$25,IF(AX33&lt;Bewertung_Stammdaten!J$26,Bewertung_Stammdaten!I$26,IF(AX33&lt;Bewertung_Stammdaten!J$27,Bewertung_Stammdaten!I$27,IF(AX33&lt;Bewertung_Stammdaten!J$28,Bewertung_Stammdaten!I$28,IF(AX33&lt;Bewertung_Stammdaten!J$29,Bewertung_Stammdaten!I$29,IF(AX33&lt;Bewertung_Stammdaten!J$30,Bewertung_Stammdaten!I$30,IF(AX33&lt;Bewertung_Stammdaten!J$31,Bewertung_Stammdaten!I$31,IF(AX33&lt;Bewertung_Stammdaten!J$32,Bewertung_Stammdaten!I$32,Bewertung_Stammdaten!I$33)))))))))</f>
        <v>5</v>
      </c>
      <c r="BB33" s="42">
        <f>IF(AY33&lt;Bewertung_Stammdaten!L$24,Bewertung_Stammdaten!K$24,IF(AY33&lt;Bewertung_Stammdaten!L$25,Bewertung_Stammdaten!K$25,IF(AY33&lt;Bewertung_Stammdaten!L$26,Bewertung_Stammdaten!K$26,IF(AY33&lt;Bewertung_Stammdaten!L$27,Bewertung_Stammdaten!K$27,IF(AY33&lt;Bewertung_Stammdaten!L$28,Bewertung_Stammdaten!K$28,IF(AY33&lt;Bewertung_Stammdaten!L$29,Bewertung_Stammdaten!K$29,IF(AY33&lt;Bewertung_Stammdaten!L$30,Bewertung_Stammdaten!K$30,IF(AY33&lt;Bewertung_Stammdaten!L$31,Bewertung_Stammdaten!K$31,IF(AY33&lt;Bewertung_Stammdaten!L$32,Bewertung_Stammdaten!K$32,Bewertung_Stammdaten!K$33)))))))))</f>
        <v>5</v>
      </c>
      <c r="BC33" s="42">
        <f>IF(AZ33&lt;Bewertung_Stammdaten!N$24,Bewertung_Stammdaten!M$24,IF(AZ33&lt;Bewertung_Stammdaten!N$25,Bewertung_Stammdaten!M$25,IF(AZ33&lt;Bewertung_Stammdaten!N$26,Bewertung_Stammdaten!M$26,IF(AZ33&lt;Bewertung_Stammdaten!N$27,Bewertung_Stammdaten!M$27,IF(AZ33&lt;Bewertung_Stammdaten!N$28,Bewertung_Stammdaten!M$28,IF(AZ33&lt;Bewertung_Stammdaten!N$29,Bewertung_Stammdaten!M$29,IF(AZ33&lt;Bewertung_Stammdaten!N$30,Bewertung_Stammdaten!M$30,IF(AZ33&lt;Bewertung_Stammdaten!N$31,Bewertung_Stammdaten!M$31,IF(AZ33&lt;Bewertung_Stammdaten!N$32,Bewertung_Stammdaten!M$32,Bewertung_Stammdaten!M$33)))))))))</f>
        <v>2.5</v>
      </c>
      <c r="BD33" s="44"/>
      <c r="BE33" s="12">
        <f ca="1">VLOOKUP(A33,Ausschüttungsquote!A3:X68,23,FALSE)</f>
        <v>0.52275793714516139</v>
      </c>
      <c r="BF33" s="12">
        <f>VLOOKUP(A33,Ausschüttungsquote!A3:X68,19,FALSE)</f>
        <v>0.4869536179203407</v>
      </c>
      <c r="BG33" s="12">
        <f ca="1">VLOOKUP(A33,Ausschüttungsquote!A3:X68,24,FALSE)</f>
        <v>7.3527165436684028E-2</v>
      </c>
      <c r="BH33" s="33">
        <f ca="1">IF(BE33&lt;Bewertung_Stammdaten!H$11,Bewertung_Stammdaten!G$11,IF(BE33&lt;Bewertung_Stammdaten!H$12,Bewertung_Stammdaten!G$12,IF(BE33&lt;Bewertung_Stammdaten!H$13,Bewertung_Stammdaten!G$13,IF(BE33&lt;Bewertung_Stammdaten!H$14,Bewertung_Stammdaten!G$14,IF(BE33&lt;Bewertung_Stammdaten!H$15,Bewertung_Stammdaten!G$15,IF(BE33&lt;Bewertung_Stammdaten!H$16,Bewertung_Stammdaten!G$16,IF(BE33&lt;Bewertung_Stammdaten!H$17,Bewertung_Stammdaten!G$17,IF(BE33&lt;Bewertung_Stammdaten!H$18,Bewertung_Stammdaten!G$18,IF(BE33&lt;Bewertung_Stammdaten!H$19,Bewertung_Stammdaten!G$19,Bewertung_Stammdaten!G$20)))))))))</f>
        <v>7</v>
      </c>
      <c r="BI33" s="42">
        <f>IF(BF33&lt;Bewertung_Stammdaten!B$24,Bewertung_Stammdaten!A$24,IF(BF33&lt;Bewertung_Stammdaten!B$25,Bewertung_Stammdaten!A$25,IF(BF33&lt;Bewertung_Stammdaten!B$26,Bewertung_Stammdaten!A$26,IF(BF33&lt;Bewertung_Stammdaten!B$27,Bewertung_Stammdaten!A$27,IF(BF33&lt;Bewertung_Stammdaten!B$28,Bewertung_Stammdaten!A$28,IF(BF33&lt;Bewertung_Stammdaten!B$29,Bewertung_Stammdaten!A$29,IF(BF33&lt;Bewertung_Stammdaten!B$30,Bewertung_Stammdaten!A$30,IF(BF33&lt;Bewertung_Stammdaten!B$31,Bewertung_Stammdaten!A$31,IF(BF33&lt;Bewertung_Stammdaten!B$32,Bewertung_Stammdaten!A$32,Bewertung_Stammdaten!A$33)))))))))</f>
        <v>8</v>
      </c>
      <c r="BJ33" s="33">
        <f ca="1">IF(BG33&lt;Bewertung_Stammdaten!J$11,Bewertung_Stammdaten!I$11,IF(BG33&lt;Bewertung_Stammdaten!J$12,Bewertung_Stammdaten!I$12,IF(BG33&lt;Bewertung_Stammdaten!J$13,Bewertung_Stammdaten!I$13,IF(BG33&lt;Bewertung_Stammdaten!J$14,Bewertung_Stammdaten!I$14,IF(BG33&lt;Bewertung_Stammdaten!J$15,Bewertung_Stammdaten!I$15,IF(BG33&lt;Bewertung_Stammdaten!J$16,Bewertung_Stammdaten!I$16,IF(BG33&lt;Bewertung_Stammdaten!J$17,Bewertung_Stammdaten!I$17,IF(BG33&lt;Bewertung_Stammdaten!J$18,Bewertung_Stammdaten!I$18,IF(BG33&lt;Bewertung_Stammdaten!J$19,Bewertung_Stammdaten!I$19,Bewertung_Stammdaten!I$20)))))))))</f>
        <v>4</v>
      </c>
    </row>
    <row r="34" spans="1:62" x14ac:dyDescent="0.25">
      <c r="A34" s="39" t="s">
        <v>62</v>
      </c>
      <c r="B34" s="39" t="s">
        <v>63</v>
      </c>
      <c r="C34" s="33">
        <f t="shared" ca="1" si="8"/>
        <v>114.5</v>
      </c>
      <c r="D34" s="44"/>
      <c r="E34" s="11">
        <f ca="1">VLOOKUP(A34,KGV!A3:R68,17,FALSE)</f>
        <v>15.187762275384669</v>
      </c>
      <c r="F34" s="11">
        <f>VLOOKUP(A34,KGV!A3:R68,16,FALSE)</f>
        <v>15.408783783783784</v>
      </c>
      <c r="G34" s="12">
        <f ca="1">VLOOKUP(A34,KGV!A3:R68,18,FALSE)</f>
        <v>-1.4343864609984269E-2</v>
      </c>
      <c r="H34" s="16">
        <f t="shared" ca="1" si="0"/>
        <v>73.244208392580916</v>
      </c>
      <c r="I34" s="12">
        <f t="shared" ca="1" si="1"/>
        <v>3.7534062013163672</v>
      </c>
      <c r="J34" s="33">
        <f ca="1">IF(G34&lt;Bewertung_Stammdaten!B$11,Bewertung_Stammdaten!A$11,IF(G34&lt;Bewertung_Stammdaten!B$12,Bewertung_Stammdaten!A$12,IF(G34&lt;Bewertung_Stammdaten!B$13,Bewertung_Stammdaten!A$13,IF(G34&lt;Bewertung_Stammdaten!B$14,Bewertung_Stammdaten!A$14,IF(G34&lt;Bewertung_Stammdaten!B$15,Bewertung_Stammdaten!A$15,IF(G34&lt;Bewertung_Stammdaten!B$16,Bewertung_Stammdaten!A$16,IF(G34&lt;Bewertung_Stammdaten!B$17,Bewertung_Stammdaten!A$17,IF(G34&lt;Bewertung_Stammdaten!B$18,Bewertung_Stammdaten!A$18,IF(G34&lt;Bewertung_Stammdaten!B$19,Bewertung_Stammdaten!A$19,Bewertung_Stammdaten!A$20)))))))))</f>
        <v>21</v>
      </c>
      <c r="K34" s="33">
        <f ca="1">IF(I34&lt;Bewertung_Stammdaten!N$11,Bewertung_Stammdaten!M$11,IF(I34&lt;Bewertung_Stammdaten!N$12,Bewertung_Stammdaten!M$12,IF(I34&lt;Bewertung_Stammdaten!N$13,Bewertung_Stammdaten!M$13,IF(I34&lt;Bewertung_Stammdaten!N$14,Bewertung_Stammdaten!M$14,IF(I34&lt;Bewertung_Stammdaten!N$15,Bewertung_Stammdaten!M$15,IF(I34&lt;Bewertung_Stammdaten!N$16,Bewertung_Stammdaten!M$16,IF(I34&lt;Bewertung_Stammdaten!N$17,Bewertung_Stammdaten!M$17,IF(I34&lt;Bewertung_Stammdaten!N$18,Bewertung_Stammdaten!M$18,IF(I34&lt;Bewertung_Stammdaten!N$19,Bewertung_Stammdaten!M$19,Bewertung_Stammdaten!M$20)))))))))</f>
        <v>1.5</v>
      </c>
      <c r="L34" s="44"/>
      <c r="M34" s="11">
        <f ca="1">VLOOKUP(A34,Buchwert_je_Aktie!A3:AK68,23,FALSE)</f>
        <v>21.08388888888889</v>
      </c>
      <c r="N34" s="11">
        <f>VLOOKUP(A34,Buchwert_je_Aktie!A3:AK68,19,FALSE)</f>
        <v>20.386666666666667</v>
      </c>
      <c r="O34" s="12">
        <f ca="1">VLOOKUP(A34,Buchwert_je_Aktie!A3:AK68,24,FALSE)</f>
        <v>3.4199912797035159E-2</v>
      </c>
      <c r="P34" s="12">
        <f>VLOOKUP(A34,Buchwert_je_Aktie!A3:AK68,37,FALSE)</f>
        <v>-0.14874551971326166</v>
      </c>
      <c r="Q34" s="16">
        <f t="shared" ca="1" si="2"/>
        <v>17.94775487853445</v>
      </c>
      <c r="R34" s="12">
        <f t="shared" ca="1" si="3"/>
        <v>-0.11963269071936966</v>
      </c>
      <c r="S34" s="53">
        <f ca="1">IF(O34&lt;Bewertung_Stammdaten!D$24,Bewertung_Stammdaten!C$24,IF(O34&lt;Bewertung_Stammdaten!D$25,Bewertung_Stammdaten!C$25,IF(O34&lt;Bewertung_Stammdaten!D$26,Bewertung_Stammdaten!C$26,IF(O34&lt;Bewertung_Stammdaten!D$27,Bewertung_Stammdaten!C$27,IF(O34&lt;Bewertung_Stammdaten!D$28,Bewertung_Stammdaten!C$28,IF(O34&lt;Bewertung_Stammdaten!D$29,Bewertung_Stammdaten!C$29,IF(O34&lt;Bewertung_Stammdaten!D$30,Bewertung_Stammdaten!C$30,IF(O34&lt;Bewertung_Stammdaten!D$31,Bewertung_Stammdaten!C$31,IF(O34&lt;Bewertung_Stammdaten!D$32,Bewertung_Stammdaten!C$32,Bewertung_Stammdaten!C$33)))))))))</f>
        <v>4.5</v>
      </c>
      <c r="T34" s="53">
        <f>IF(P34&lt;Bewertung_Stammdaten!F$24,Bewertung_Stammdaten!E$24,IF(P34&lt;Bewertung_Stammdaten!F$25,Bewertung_Stammdaten!E$25,IF(P34&lt;Bewertung_Stammdaten!F$26,Bewertung_Stammdaten!E$26,IF(P34&lt;Bewertung_Stammdaten!F$27,Bewertung_Stammdaten!E$27,IF(P34&lt;Bewertung_Stammdaten!F$28,Bewertung_Stammdaten!E$28,IF(P34&lt;Bewertung_Stammdaten!F$29,Bewertung_Stammdaten!E$29,IF(P34&lt;Bewertung_Stammdaten!F$30,Bewertung_Stammdaten!E$30,IF(P34&lt;Bewertung_Stammdaten!F$31,Bewertung_Stammdaten!E$31,IF(P34&lt;Bewertung_Stammdaten!F$32,Bewertung_Stammdaten!E$32,Bewertung_Stammdaten!E$33)))))))))</f>
        <v>7.5</v>
      </c>
      <c r="U34" s="53">
        <f ca="1">IF(R34&lt;Bewertung_Stammdaten!H$24,Bewertung_Stammdaten!G$24,IF(R34&lt;Bewertung_Stammdaten!H$25,Bewertung_Stammdaten!G$25,IF(R34&lt;Bewertung_Stammdaten!H$26,Bewertung_Stammdaten!G$26,IF(R34&lt;Bewertung_Stammdaten!H$27,Bewertung_Stammdaten!G$27,IF(R34&lt;Bewertung_Stammdaten!H$28,Bewertung_Stammdaten!G$28,IF(R34&lt;Bewertung_Stammdaten!H$29,Bewertung_Stammdaten!G$29,IF(R34&lt;Bewertung_Stammdaten!H$30,Bewertung_Stammdaten!G$30,IF(R34&lt;Bewertung_Stammdaten!H$31,Bewertung_Stammdaten!G$31,IF(R34&lt;Bewertung_Stammdaten!H$32,Bewertung_Stammdaten!G$32,Bewertung_Stammdaten!G$33)))))))))</f>
        <v>1</v>
      </c>
      <c r="V34" s="44"/>
      <c r="W34" s="14">
        <f ca="1">VLOOKUP(A34,Ergebnis_je_Aktie_verwässert!A3:AK68,23,FALSE)</f>
        <v>3.0978888888888889</v>
      </c>
      <c r="X34" s="14">
        <f>VLOOKUP(A34,Ergebnis_je_Aktie_verwässert!A3:AK68,19,FALSE)</f>
        <v>2.6315384615384616</v>
      </c>
      <c r="Y34" s="12">
        <f ca="1">VLOOKUP(A34,Ergebnis_je_Aktie_verwässert!A3:AK68,24,FALSE)</f>
        <v>0.17721588879145145</v>
      </c>
      <c r="Z34" s="41">
        <f>VLOOKUP(A34,Ergebnis_je_Aktie_verwässert!A3:AK68,37,FALSE)</f>
        <v>-0.79264214046822745</v>
      </c>
      <c r="AA34" s="16">
        <f t="shared" ca="1" si="4"/>
        <v>0.64237160906726121</v>
      </c>
      <c r="AB34" s="12">
        <f t="shared" ca="1" si="5"/>
        <v>-0.75589503309341144</v>
      </c>
      <c r="AC34" s="33">
        <f ca="1">IF(Y34&lt;Bewertung_Stammdaten!L$11,Bewertung_Stammdaten!K$11,IF(Y34&lt;Bewertung_Stammdaten!L$12,Bewertung_Stammdaten!K$12,IF(Y34&lt;Bewertung_Stammdaten!L$13,Bewertung_Stammdaten!K$13,IF(Y34&lt;Bewertung_Stammdaten!L$14,Bewertung_Stammdaten!K$14,IF(Y34&lt;Bewertung_Stammdaten!L$15,Bewertung_Stammdaten!K$15,IF(Y34&lt;Bewertung_Stammdaten!L$16,Bewertung_Stammdaten!K$16,IF(Y34&lt;Bewertung_Stammdaten!L$17,Bewertung_Stammdaten!K$17,IF(Y34&lt;Bewertung_Stammdaten!L$18,Bewertung_Stammdaten!K$18,IF(Y34&lt;Bewertung_Stammdaten!L$19,Bewertung_Stammdaten!K$19,Bewertung_Stammdaten!K$20)))))))))</f>
        <v>8</v>
      </c>
      <c r="AD34" s="33">
        <f>IF(Z34&lt;Bewertung_Stammdaten!R$11,Bewertung_Stammdaten!Q$11,IF(Z34&lt;Bewertung_Stammdaten!R$12,Bewertung_Stammdaten!Q$12,IF(Z34&lt;Bewertung_Stammdaten!R$13,Bewertung_Stammdaten!Q$13,IF(Z34&lt;Bewertung_Stammdaten!R$14,Bewertung_Stammdaten!Q$14,IF(Z34&lt;Bewertung_Stammdaten!R$15,Bewertung_Stammdaten!Q$15,IF(Z34&lt;Bewertung_Stammdaten!R$16,Bewertung_Stammdaten!Q$16,IF(Z34&lt;Bewertung_Stammdaten!R$17,Bewertung_Stammdaten!Q$17,IF(Z34&lt;Bewertung_Stammdaten!R$18,Bewertung_Stammdaten!Q$18,IF(Z34&lt;Bewertung_Stammdaten!R$19,Bewertung_Stammdaten!Q$19,Bewertung_Stammdaten!Q$20)))))))))</f>
        <v>1</v>
      </c>
      <c r="AE34" s="33">
        <f ca="1">IF(AB34&lt;Bewertung_Stammdaten!P$11,Bewertung_Stammdaten!O$11,IF(AB34&lt;Bewertung_Stammdaten!P$12,Bewertung_Stammdaten!O$12,IF(AB34&lt;Bewertung_Stammdaten!P$13,Bewertung_Stammdaten!O$13,IF(AB34&lt;Bewertung_Stammdaten!P$14,Bewertung_Stammdaten!O$14,IF(AB34&lt;Bewertung_Stammdaten!P$15,Bewertung_Stammdaten!O$15,IF(AB34&lt;Bewertung_Stammdaten!P$16,Bewertung_Stammdaten!O$16,IF(AB34&lt;Bewertung_Stammdaten!P$17,Bewertung_Stammdaten!O$17,IF(AB34&lt;Bewertung_Stammdaten!P$18,Bewertung_Stammdaten!O$18,IF(AB34&lt;Bewertung_Stammdaten!P$19,Bewertung_Stammdaten!O$19,Bewertung_Stammdaten!O$20)))))))))</f>
        <v>1</v>
      </c>
      <c r="AF34" s="44"/>
      <c r="AG34" s="14">
        <f ca="1">VLOOKUP(A34,Dividende_je_Aktie!A3:AM68,24,FALSE)</f>
        <v>1.6523055555555555</v>
      </c>
      <c r="AH34" s="14">
        <f>VLOOKUP(A34,Dividende_je_Aktie!A3:AM68,20,FALSE)</f>
        <v>1.3471428571428572</v>
      </c>
      <c r="AI34" s="12">
        <f ca="1">VLOOKUP(A34,Dividende_je_Aktie!A3:AM68,25,FALSE)</f>
        <v>0.22652586308471778</v>
      </c>
      <c r="AJ34" s="41">
        <f>VLOOKUP(A34,Dividende_je_Aktie!A3:AM68,39,FALSE)</f>
        <v>-0.64285714285714279</v>
      </c>
      <c r="AK34" s="16">
        <f t="shared" ca="1" si="6"/>
        <v>0.5901091269841271</v>
      </c>
      <c r="AL34" s="12">
        <f t="shared" ca="1" si="7"/>
        <v>-0.56195504889831494</v>
      </c>
      <c r="AM34" s="33">
        <f ca="1">IF(AI34&lt;Bewertung_Stammdaten!P$24,Bewertung_Stammdaten!O$24,IF(AI34&lt;Bewertung_Stammdaten!P$25,Bewertung_Stammdaten!O$25,IF(AI34&lt;Bewertung_Stammdaten!P$26,Bewertung_Stammdaten!O$26,IF(AI34&lt;Bewertung_Stammdaten!P$27,Bewertung_Stammdaten!O$27,IF(AI34&lt;Bewertung_Stammdaten!P$28,Bewertung_Stammdaten!O$28,IF(AI34&lt;Bewertung_Stammdaten!P$29,Bewertung_Stammdaten!O$29,IF(AI34&lt;Bewertung_Stammdaten!P$30,Bewertung_Stammdaten!O$30,IF(AI34&lt;Bewertung_Stammdaten!P$31,Bewertung_Stammdaten!O$31,IF(AI34&lt;Bewertung_Stammdaten!P$32,Bewertung_Stammdaten!O$32,Bewertung_Stammdaten!O$33)))))))))</f>
        <v>10</v>
      </c>
      <c r="AN34" s="33">
        <f>IF(AJ34&lt;Bewertung_Stammdaten!R$24,Bewertung_Stammdaten!Q$24,IF(AJ34&lt;Bewertung_Stammdaten!R$25,Bewertung_Stammdaten!Q$25,IF(AJ34&lt;Bewertung_Stammdaten!R$26,Bewertung_Stammdaten!Q$26,IF(AJ34&lt;Bewertung_Stammdaten!R$27,Bewertung_Stammdaten!Q$27,IF(AJ34&lt;Bewertung_Stammdaten!R$28,Bewertung_Stammdaten!Q$28,IF(AJ34&lt;Bewertung_Stammdaten!R$29,Bewertung_Stammdaten!Q$29,IF(AJ34&lt;Bewertung_Stammdaten!R$30,Bewertung_Stammdaten!Q$30,IF(AJ34&lt;Bewertung_Stammdaten!R$31,Bewertung_Stammdaten!Q$31,IF(AJ34&lt;Bewertung_Stammdaten!R$32,Bewertung_Stammdaten!Q$32,Bewertung_Stammdaten!Q$33)))))))))</f>
        <v>1</v>
      </c>
      <c r="AO34" s="33">
        <f ca="1">IF(AL34&lt;Bewertung_Stammdaten!T$24,Bewertung_Stammdaten!S$24,IF(AL34&lt;Bewertung_Stammdaten!T$25,Bewertung_Stammdaten!S$25,IF(AL34&lt;Bewertung_Stammdaten!T$26,Bewertung_Stammdaten!S$26,IF(AL34&lt;Bewertung_Stammdaten!T$27,Bewertung_Stammdaten!S$27,IF(AL34&lt;Bewertung_Stammdaten!T$28,Bewertung_Stammdaten!S$28,IF(AL34&lt;Bewertung_Stammdaten!T$29,Bewertung_Stammdaten!S$29,IF(AL34&lt;Bewertung_Stammdaten!T$30,Bewertung_Stammdaten!S$30,IF(AL34&lt;Bewertung_Stammdaten!T$31,Bewertung_Stammdaten!S$31,IF(AL34&lt;Bewertung_Stammdaten!T$32,Bewertung_Stammdaten!S$32,Bewertung_Stammdaten!S$33)))))))))</f>
        <v>1</v>
      </c>
      <c r="AP34" s="44"/>
      <c r="AQ34" s="12">
        <f ca="1">VLOOKUP(A34,Dividendenrendite!A3:R68,17,FALSE)</f>
        <v>3.5118077695123394E-2</v>
      </c>
      <c r="AR34" s="12">
        <f>VLOOKUP(A34,Dividendenrendite!A3:R68,16,FALSE)</f>
        <v>3.823691995311617E-2</v>
      </c>
      <c r="AS34" s="12">
        <f ca="1">VLOOKUP(A34,Dividendenrendite!A3:R68,18,FALSE)</f>
        <v>-8.1566252245654614E-2</v>
      </c>
      <c r="AT34" s="33">
        <f ca="1">IF(AQ34&lt;Bewertung_Stammdaten!D$11,Bewertung_Stammdaten!C$11,IF(AQ34&lt;Bewertung_Stammdaten!D$12,Bewertung_Stammdaten!C$12,IF(AQ34&lt;Bewertung_Stammdaten!D$13,Bewertung_Stammdaten!C$13,IF(AQ34&lt;Bewertung_Stammdaten!D$14,Bewertung_Stammdaten!C$14,IF(AQ34&lt;Bewertung_Stammdaten!D$15,Bewertung_Stammdaten!C$15,IF(AQ34&lt;Bewertung_Stammdaten!D$16,Bewertung_Stammdaten!C$16,IF(AQ34&lt;Bewertung_Stammdaten!D$17,Bewertung_Stammdaten!C$17,IF(AQ34&lt;Bewertung_Stammdaten!D$18,Bewertung_Stammdaten!C$18,IF(AQ34&lt;Bewertung_Stammdaten!D$19,Bewertung_Stammdaten!C$19,Bewertung_Stammdaten!C$20)))))))))</f>
        <v>12</v>
      </c>
      <c r="AU34" s="33">
        <f>IF(AR34&lt;Bewertung_Stammdaten!T$11,Bewertung_Stammdaten!S$11,IF(AR34&lt;Bewertung_Stammdaten!T$12,Bewertung_Stammdaten!S$12,IF(AR34&lt;Bewertung_Stammdaten!T$13,Bewertung_Stammdaten!S$13,IF(AR34&lt;Bewertung_Stammdaten!T$14,Bewertung_Stammdaten!S$14,IF(AR34&lt;Bewertung_Stammdaten!T$15,Bewertung_Stammdaten!S$15,IF(AR34&lt;Bewertung_Stammdaten!T$16,Bewertung_Stammdaten!S$16,IF(AR34&lt;Bewertung_Stammdaten!T$17,Bewertung_Stammdaten!S$17,IF(AR34&lt;Bewertung_Stammdaten!T$18,Bewertung_Stammdaten!S$18,IF(AR34&lt;Bewertung_Stammdaten!T$19,Bewertung_Stammdaten!S$19,Bewertung_Stammdaten!S$20)))))))))</f>
        <v>8</v>
      </c>
      <c r="AV34" s="33">
        <f ca="1">IF(AS34&lt;Bewertung_Stammdaten!F$11,Bewertung_Stammdaten!E$11,IF(AS34&lt;Bewertung_Stammdaten!F$12,Bewertung_Stammdaten!E$12,IF(AS34&lt;Bewertung_Stammdaten!F$13,Bewertung_Stammdaten!E$13,IF(AS34&lt;Bewertung_Stammdaten!F$14,Bewertung_Stammdaten!E$14,IF(AS34&lt;Bewertung_Stammdaten!F$15,Bewertung_Stammdaten!E$15,IF(AS34&lt;Bewertung_Stammdaten!F$16,Bewertung_Stammdaten!E$16,IF(AS34&lt;Bewertung_Stammdaten!F$17,Bewertung_Stammdaten!E$17,IF(AS34&lt;Bewertung_Stammdaten!F$18,Bewertung_Stammdaten!E$18,IF(AS34&lt;Bewertung_Stammdaten!F$19,Bewertung_Stammdaten!E$19,Bewertung_Stammdaten!E$20)))))))))</f>
        <v>2</v>
      </c>
      <c r="AW34" s="44"/>
      <c r="AX34" s="12">
        <f>VLOOKUP(A34,Aktien_im_Umlauf_splitbereinigt!A3:Z68,26,FALSE)</f>
        <v>-3.9004149377593333E-2</v>
      </c>
      <c r="AY34" s="12">
        <f>VLOOKUP(A34,Aktien_im_Umlauf_splitbereinigt!A3:Y68,24,FALSE)</f>
        <v>1.6141638768150778E-3</v>
      </c>
      <c r="AZ34" s="12">
        <f>VLOOKUP(A34,Aktien_im_Umlauf_splitbereinigt!A3:Y68,25,FALSE)</f>
        <v>25.163686189380471</v>
      </c>
      <c r="BA34" s="42">
        <f>IF(AX34&lt;Bewertung_Stammdaten!J$24,Bewertung_Stammdaten!I$24,IF(AX34&lt;Bewertung_Stammdaten!J$25,Bewertung_Stammdaten!I$25,IF(AX34&lt;Bewertung_Stammdaten!J$26,Bewertung_Stammdaten!I$26,IF(AX34&lt;Bewertung_Stammdaten!J$27,Bewertung_Stammdaten!I$27,IF(AX34&lt;Bewertung_Stammdaten!J$28,Bewertung_Stammdaten!I$28,IF(AX34&lt;Bewertung_Stammdaten!J$29,Bewertung_Stammdaten!I$29,IF(AX34&lt;Bewertung_Stammdaten!J$30,Bewertung_Stammdaten!I$30,IF(AX34&lt;Bewertung_Stammdaten!J$31,Bewertung_Stammdaten!I$31,IF(AX34&lt;Bewertung_Stammdaten!J$32,Bewertung_Stammdaten!I$32,Bewertung_Stammdaten!I$33)))))))))</f>
        <v>10</v>
      </c>
      <c r="BB34" s="42">
        <f>IF(AY34&lt;Bewertung_Stammdaten!L$24,Bewertung_Stammdaten!K$24,IF(AY34&lt;Bewertung_Stammdaten!L$25,Bewertung_Stammdaten!K$25,IF(AY34&lt;Bewertung_Stammdaten!L$26,Bewertung_Stammdaten!K$26,IF(AY34&lt;Bewertung_Stammdaten!L$27,Bewertung_Stammdaten!K$27,IF(AY34&lt;Bewertung_Stammdaten!L$28,Bewertung_Stammdaten!K$28,IF(AY34&lt;Bewertung_Stammdaten!L$29,Bewertung_Stammdaten!K$29,IF(AY34&lt;Bewertung_Stammdaten!L$30,Bewertung_Stammdaten!K$30,IF(AY34&lt;Bewertung_Stammdaten!L$31,Bewertung_Stammdaten!K$31,IF(AY34&lt;Bewertung_Stammdaten!L$32,Bewertung_Stammdaten!K$32,Bewertung_Stammdaten!K$33)))))))))</f>
        <v>2</v>
      </c>
      <c r="BC34" s="42">
        <f>IF(AZ34&lt;Bewertung_Stammdaten!N$24,Bewertung_Stammdaten!M$24,IF(AZ34&lt;Bewertung_Stammdaten!N$25,Bewertung_Stammdaten!M$25,IF(AZ34&lt;Bewertung_Stammdaten!N$26,Bewertung_Stammdaten!M$26,IF(AZ34&lt;Bewertung_Stammdaten!N$27,Bewertung_Stammdaten!M$27,IF(AZ34&lt;Bewertung_Stammdaten!N$28,Bewertung_Stammdaten!M$28,IF(AZ34&lt;Bewertung_Stammdaten!N$29,Bewertung_Stammdaten!M$29,IF(AZ34&lt;Bewertung_Stammdaten!N$30,Bewertung_Stammdaten!M$30,IF(AZ34&lt;Bewertung_Stammdaten!N$31,Bewertung_Stammdaten!M$31,IF(AZ34&lt;Bewertung_Stammdaten!N$32,Bewertung_Stammdaten!M$32,Bewertung_Stammdaten!M$33)))))))))</f>
        <v>5</v>
      </c>
      <c r="BD34" s="44"/>
      <c r="BE34" s="12">
        <f ca="1">VLOOKUP(A34,Ausschüttungsquote!A3:X68,23,FALSE)</f>
        <v>0.5359431203181203</v>
      </c>
      <c r="BF34" s="12">
        <f>VLOOKUP(A34,Ausschüttungsquote!A3:X68,19,FALSE)</f>
        <v>0.82147730983845091</v>
      </c>
      <c r="BG34" s="12">
        <f ca="1">VLOOKUP(A34,Ausschüttungsquote!A3:X68,24,FALSE)</f>
        <v>-0.34758621583410854</v>
      </c>
      <c r="BH34" s="33">
        <f ca="1">IF(BE34&lt;Bewertung_Stammdaten!H$11,Bewertung_Stammdaten!G$11,IF(BE34&lt;Bewertung_Stammdaten!H$12,Bewertung_Stammdaten!G$12,IF(BE34&lt;Bewertung_Stammdaten!H$13,Bewertung_Stammdaten!G$13,IF(BE34&lt;Bewertung_Stammdaten!H$14,Bewertung_Stammdaten!G$14,IF(BE34&lt;Bewertung_Stammdaten!H$15,Bewertung_Stammdaten!G$15,IF(BE34&lt;Bewertung_Stammdaten!H$16,Bewertung_Stammdaten!G$16,IF(BE34&lt;Bewertung_Stammdaten!H$17,Bewertung_Stammdaten!G$17,IF(BE34&lt;Bewertung_Stammdaten!H$18,Bewertung_Stammdaten!G$18,IF(BE34&lt;Bewertung_Stammdaten!H$19,Bewertung_Stammdaten!G$19,Bewertung_Stammdaten!G$20)))))))))</f>
        <v>7</v>
      </c>
      <c r="BI34" s="42">
        <f>IF(BF34&lt;Bewertung_Stammdaten!B$24,Bewertung_Stammdaten!A$24,IF(BF34&lt;Bewertung_Stammdaten!B$25,Bewertung_Stammdaten!A$25,IF(BF34&lt;Bewertung_Stammdaten!B$26,Bewertung_Stammdaten!A$26,IF(BF34&lt;Bewertung_Stammdaten!B$27,Bewertung_Stammdaten!A$27,IF(BF34&lt;Bewertung_Stammdaten!B$28,Bewertung_Stammdaten!A$28,IF(BF34&lt;Bewertung_Stammdaten!B$29,Bewertung_Stammdaten!A$29,IF(BF34&lt;Bewertung_Stammdaten!B$30,Bewertung_Stammdaten!A$30,IF(BF34&lt;Bewertung_Stammdaten!B$31,Bewertung_Stammdaten!A$31,IF(BF34&lt;Bewertung_Stammdaten!B$32,Bewertung_Stammdaten!A$32,Bewertung_Stammdaten!A$33)))))))))</f>
        <v>1</v>
      </c>
      <c r="BJ34" s="33">
        <f ca="1">IF(BG34&lt;Bewertung_Stammdaten!J$11,Bewertung_Stammdaten!I$11,IF(BG34&lt;Bewertung_Stammdaten!J$12,Bewertung_Stammdaten!I$12,IF(BG34&lt;Bewertung_Stammdaten!J$13,Bewertung_Stammdaten!I$13,IF(BG34&lt;Bewertung_Stammdaten!J$14,Bewertung_Stammdaten!I$14,IF(BG34&lt;Bewertung_Stammdaten!J$15,Bewertung_Stammdaten!I$15,IF(BG34&lt;Bewertung_Stammdaten!J$16,Bewertung_Stammdaten!I$16,IF(BG34&lt;Bewertung_Stammdaten!J$17,Bewertung_Stammdaten!I$17,IF(BG34&lt;Bewertung_Stammdaten!J$18,Bewertung_Stammdaten!I$18,IF(BG34&lt;Bewertung_Stammdaten!J$19,Bewertung_Stammdaten!I$19,Bewertung_Stammdaten!I$20)))))))))</f>
        <v>10</v>
      </c>
    </row>
    <row r="35" spans="1:62" x14ac:dyDescent="0.25">
      <c r="A35" s="39" t="s">
        <v>64</v>
      </c>
      <c r="B35" s="39" t="s">
        <v>65</v>
      </c>
      <c r="C35" s="33">
        <f t="shared" ca="1" si="8"/>
        <v>112.5</v>
      </c>
      <c r="D35" s="44"/>
      <c r="E35" s="11">
        <f ca="1">VLOOKUP(A35,KGV!A3:R68,17,FALSE)</f>
        <v>20.462197403019875</v>
      </c>
      <c r="F35" s="11">
        <f>VLOOKUP(A35,KGV!A3:R68,16,FALSE)</f>
        <v>10.963022508038586</v>
      </c>
      <c r="G35" s="12">
        <f ca="1">VLOOKUP(A35,KGV!A3:R68,18,FALSE)</f>
        <v>0.86647408486264288</v>
      </c>
      <c r="H35" s="16">
        <f t="shared" ref="H35:H67" ca="1" si="9">IF(Z35&gt;0,E35,IF(E35/(1+Z35)&lt;0,99,E35/(1+Z35)))</f>
        <v>44.677511415136351</v>
      </c>
      <c r="I35" s="12">
        <f t="shared" ref="I35:I66" ca="1" si="10">(H35/F35)-1</f>
        <v>3.0752914063960715</v>
      </c>
      <c r="J35" s="33">
        <f ca="1">IF(G35&lt;Bewertung_Stammdaten!B$11,Bewertung_Stammdaten!A$11,IF(G35&lt;Bewertung_Stammdaten!B$12,Bewertung_Stammdaten!A$12,IF(G35&lt;Bewertung_Stammdaten!B$13,Bewertung_Stammdaten!A$13,IF(G35&lt;Bewertung_Stammdaten!B$14,Bewertung_Stammdaten!A$14,IF(G35&lt;Bewertung_Stammdaten!B$15,Bewertung_Stammdaten!A$15,IF(G35&lt;Bewertung_Stammdaten!B$16,Bewertung_Stammdaten!A$16,IF(G35&lt;Bewertung_Stammdaten!B$17,Bewertung_Stammdaten!A$17,IF(G35&lt;Bewertung_Stammdaten!B$18,Bewertung_Stammdaten!A$18,IF(G35&lt;Bewertung_Stammdaten!B$19,Bewertung_Stammdaten!A$19,Bewertung_Stammdaten!A$20)))))))))</f>
        <v>3</v>
      </c>
      <c r="K35" s="33">
        <f ca="1">IF(I35&lt;Bewertung_Stammdaten!N$11,Bewertung_Stammdaten!M$11,IF(I35&lt;Bewertung_Stammdaten!N$12,Bewertung_Stammdaten!M$12,IF(I35&lt;Bewertung_Stammdaten!N$13,Bewertung_Stammdaten!M$13,IF(I35&lt;Bewertung_Stammdaten!N$14,Bewertung_Stammdaten!M$14,IF(I35&lt;Bewertung_Stammdaten!N$15,Bewertung_Stammdaten!M$15,IF(I35&lt;Bewertung_Stammdaten!N$16,Bewertung_Stammdaten!M$16,IF(I35&lt;Bewertung_Stammdaten!N$17,Bewertung_Stammdaten!M$17,IF(I35&lt;Bewertung_Stammdaten!N$18,Bewertung_Stammdaten!M$18,IF(I35&lt;Bewertung_Stammdaten!N$19,Bewertung_Stammdaten!M$19,Bewertung_Stammdaten!M$20)))))))))</f>
        <v>1.5</v>
      </c>
      <c r="L35" s="44"/>
      <c r="M35" s="11">
        <f ca="1">VLOOKUP(A35,Buchwert_je_Aktie!A3:AK68,23,FALSE)</f>
        <v>42.785277777777772</v>
      </c>
      <c r="N35" s="11">
        <f>VLOOKUP(A35,Buchwert_je_Aktie!A3:AK68,19,FALSE)</f>
        <v>32.406923076923071</v>
      </c>
      <c r="O35" s="12">
        <f ca="1">VLOOKUP(A35,Buchwert_je_Aktie!A3:AK68,24,FALSE)</f>
        <v>0.32025115979755303</v>
      </c>
      <c r="P35" s="12">
        <f>VLOOKUP(A35,Buchwert_je_Aktie!A3:AK68,37,FALSE)</f>
        <v>-7.0257611241218987E-3</v>
      </c>
      <c r="Q35" s="16">
        <f t="shared" ref="Q35:Q66" ca="1" si="11">IF(P35&gt;0,M35,IF(M35&lt;0,ABS(M35)*(1+P35),M35*(1+P35)))</f>
        <v>42.484678636481902</v>
      </c>
      <c r="R35" s="12">
        <f t="shared" ref="R35:R66" ca="1" si="12">IF(N35&gt;0,(Q35/N35)-1,-99.99999)</f>
        <v>0.31097539052497059</v>
      </c>
      <c r="S35" s="53">
        <f ca="1">IF(O35&lt;Bewertung_Stammdaten!D$24,Bewertung_Stammdaten!C$24,IF(O35&lt;Bewertung_Stammdaten!D$25,Bewertung_Stammdaten!C$25,IF(O35&lt;Bewertung_Stammdaten!D$26,Bewertung_Stammdaten!C$26,IF(O35&lt;Bewertung_Stammdaten!D$27,Bewertung_Stammdaten!C$27,IF(O35&lt;Bewertung_Stammdaten!D$28,Bewertung_Stammdaten!C$28,IF(O35&lt;Bewertung_Stammdaten!D$29,Bewertung_Stammdaten!C$29,IF(O35&lt;Bewertung_Stammdaten!D$30,Bewertung_Stammdaten!C$30,IF(O35&lt;Bewertung_Stammdaten!D$31,Bewertung_Stammdaten!C$31,IF(O35&lt;Bewertung_Stammdaten!D$32,Bewertung_Stammdaten!C$32,Bewertung_Stammdaten!C$33)))))))))</f>
        <v>9</v>
      </c>
      <c r="T35" s="53">
        <f>IF(P35&lt;Bewertung_Stammdaten!F$24,Bewertung_Stammdaten!E$24,IF(P35&lt;Bewertung_Stammdaten!F$25,Bewertung_Stammdaten!E$25,IF(P35&lt;Bewertung_Stammdaten!F$26,Bewertung_Stammdaten!E$26,IF(P35&lt;Bewertung_Stammdaten!F$27,Bewertung_Stammdaten!E$27,IF(P35&lt;Bewertung_Stammdaten!F$28,Bewertung_Stammdaten!E$28,IF(P35&lt;Bewertung_Stammdaten!F$29,Bewertung_Stammdaten!E$29,IF(P35&lt;Bewertung_Stammdaten!F$30,Bewertung_Stammdaten!E$30,IF(P35&lt;Bewertung_Stammdaten!F$31,Bewertung_Stammdaten!E$31,IF(P35&lt;Bewertung_Stammdaten!F$32,Bewertung_Stammdaten!E$32,Bewertung_Stammdaten!E$33)))))))))</f>
        <v>10.5</v>
      </c>
      <c r="U35" s="53">
        <f ca="1">IF(R35&lt;Bewertung_Stammdaten!H$24,Bewertung_Stammdaten!G$24,IF(R35&lt;Bewertung_Stammdaten!H$25,Bewertung_Stammdaten!G$25,IF(R35&lt;Bewertung_Stammdaten!H$26,Bewertung_Stammdaten!G$26,IF(R35&lt;Bewertung_Stammdaten!H$27,Bewertung_Stammdaten!G$27,IF(R35&lt;Bewertung_Stammdaten!H$28,Bewertung_Stammdaten!G$28,IF(R35&lt;Bewertung_Stammdaten!H$29,Bewertung_Stammdaten!G$29,IF(R35&lt;Bewertung_Stammdaten!H$30,Bewertung_Stammdaten!G$30,IF(R35&lt;Bewertung_Stammdaten!H$31,Bewertung_Stammdaten!G$31,IF(R35&lt;Bewertung_Stammdaten!H$32,Bewertung_Stammdaten!G$32,Bewertung_Stammdaten!G$33)))))))))</f>
        <v>6</v>
      </c>
      <c r="V35" s="44"/>
      <c r="W35" s="14">
        <f ca="1">VLOOKUP(A35,Ergebnis_je_Aktie_verwässert!A3:AK68,23,FALSE)</f>
        <v>4.0987777777777774</v>
      </c>
      <c r="X35" s="14">
        <f>VLOOKUP(A35,Ergebnis_je_Aktie_verwässert!A3:AK68,19,FALSE)</f>
        <v>6.7230769230769223</v>
      </c>
      <c r="Y35" s="12">
        <f ca="1">VLOOKUP(A35,Ergebnis_je_Aktie_verwässert!A3:AK68,24,FALSE)</f>
        <v>-0.39034197813374016</v>
      </c>
      <c r="Z35" s="41">
        <f>VLOOKUP(A35,Ergebnis_je_Aktie_verwässert!A3:AK68,37,FALSE)</f>
        <v>-0.54200230149597228</v>
      </c>
      <c r="AA35" s="16">
        <f t="shared" ref="AA35:AA66" ca="1" si="13">IF(Z35&gt;0,W35,W35*(1+Z35))</f>
        <v>1.8772307889016753</v>
      </c>
      <c r="AB35" s="12">
        <f t="shared" ref="AB35:AB66" ca="1" si="14">IF(X35&gt;0,(AA35/X35)-1,-99.99999)</f>
        <v>-0.72077802911073474</v>
      </c>
      <c r="AC35" s="33">
        <f ca="1">IF(Y35&lt;Bewertung_Stammdaten!L$11,Bewertung_Stammdaten!K$11,IF(Y35&lt;Bewertung_Stammdaten!L$12,Bewertung_Stammdaten!K$12,IF(Y35&lt;Bewertung_Stammdaten!L$13,Bewertung_Stammdaten!K$13,IF(Y35&lt;Bewertung_Stammdaten!L$14,Bewertung_Stammdaten!K$14,IF(Y35&lt;Bewertung_Stammdaten!L$15,Bewertung_Stammdaten!K$15,IF(Y35&lt;Bewertung_Stammdaten!L$16,Bewertung_Stammdaten!K$16,IF(Y35&lt;Bewertung_Stammdaten!L$17,Bewertung_Stammdaten!K$17,IF(Y35&lt;Bewertung_Stammdaten!L$18,Bewertung_Stammdaten!K$18,IF(Y35&lt;Bewertung_Stammdaten!L$19,Bewertung_Stammdaten!K$19,Bewertung_Stammdaten!K$20)))))))))</f>
        <v>2</v>
      </c>
      <c r="AD35" s="33">
        <f>IF(Z35&lt;Bewertung_Stammdaten!R$11,Bewertung_Stammdaten!Q$11,IF(Z35&lt;Bewertung_Stammdaten!R$12,Bewertung_Stammdaten!Q$12,IF(Z35&lt;Bewertung_Stammdaten!R$13,Bewertung_Stammdaten!Q$13,IF(Z35&lt;Bewertung_Stammdaten!R$14,Bewertung_Stammdaten!Q$14,IF(Z35&lt;Bewertung_Stammdaten!R$15,Bewertung_Stammdaten!Q$15,IF(Z35&lt;Bewertung_Stammdaten!R$16,Bewertung_Stammdaten!Q$16,IF(Z35&lt;Bewertung_Stammdaten!R$17,Bewertung_Stammdaten!Q$17,IF(Z35&lt;Bewertung_Stammdaten!R$18,Bewertung_Stammdaten!Q$18,IF(Z35&lt;Bewertung_Stammdaten!R$19,Bewertung_Stammdaten!Q$19,Bewertung_Stammdaten!Q$20)))))))))</f>
        <v>2</v>
      </c>
      <c r="AE35" s="33">
        <f ca="1">IF(AB35&lt;Bewertung_Stammdaten!P$11,Bewertung_Stammdaten!O$11,IF(AB35&lt;Bewertung_Stammdaten!P$12,Bewertung_Stammdaten!O$12,IF(AB35&lt;Bewertung_Stammdaten!P$13,Bewertung_Stammdaten!O$13,IF(AB35&lt;Bewertung_Stammdaten!P$14,Bewertung_Stammdaten!O$14,IF(AB35&lt;Bewertung_Stammdaten!P$15,Bewertung_Stammdaten!O$15,IF(AB35&lt;Bewertung_Stammdaten!P$16,Bewertung_Stammdaten!O$16,IF(AB35&lt;Bewertung_Stammdaten!P$17,Bewertung_Stammdaten!O$17,IF(AB35&lt;Bewertung_Stammdaten!P$18,Bewertung_Stammdaten!O$18,IF(AB35&lt;Bewertung_Stammdaten!P$19,Bewertung_Stammdaten!O$19,Bewertung_Stammdaten!O$20)))))))))</f>
        <v>1</v>
      </c>
      <c r="AF35" s="44"/>
      <c r="AG35" s="14">
        <f ca="1">VLOOKUP(A35,Dividende_je_Aktie!A3:AM68,24,FALSE)</f>
        <v>2.8663611111111109</v>
      </c>
      <c r="AH35" s="14">
        <f>VLOOKUP(A35,Dividende_je_Aktie!A3:AM68,20,FALSE)</f>
        <v>1.9935714285714288</v>
      </c>
      <c r="AI35" s="12">
        <f ca="1">VLOOKUP(A35,Dividende_je_Aktie!A3:AM68,25,FALSE)</f>
        <v>0.43780206218400397</v>
      </c>
      <c r="AJ35" s="41">
        <f>VLOOKUP(A35,Dividende_je_Aktie!A3:AM68,39,FALSE)</f>
        <v>4.5774647887323994E-2</v>
      </c>
      <c r="AK35" s="16">
        <f t="shared" ca="1" si="6"/>
        <v>2.8663611111111109</v>
      </c>
      <c r="AL35" s="12">
        <f t="shared" ca="1" si="7"/>
        <v>0.43780206218400397</v>
      </c>
      <c r="AM35" s="33">
        <f ca="1">IF(AI35&lt;Bewertung_Stammdaten!P$24,Bewertung_Stammdaten!O$24,IF(AI35&lt;Bewertung_Stammdaten!P$25,Bewertung_Stammdaten!O$25,IF(AI35&lt;Bewertung_Stammdaten!P$26,Bewertung_Stammdaten!O$26,IF(AI35&lt;Bewertung_Stammdaten!P$27,Bewertung_Stammdaten!O$27,IF(AI35&lt;Bewertung_Stammdaten!P$28,Bewertung_Stammdaten!O$28,IF(AI35&lt;Bewertung_Stammdaten!P$29,Bewertung_Stammdaten!O$29,IF(AI35&lt;Bewertung_Stammdaten!P$30,Bewertung_Stammdaten!O$30,IF(AI35&lt;Bewertung_Stammdaten!P$31,Bewertung_Stammdaten!O$31,IF(AI35&lt;Bewertung_Stammdaten!P$32,Bewertung_Stammdaten!O$32,Bewertung_Stammdaten!O$33)))))))))</f>
        <v>14</v>
      </c>
      <c r="AN35" s="33">
        <f>IF(AJ35&lt;Bewertung_Stammdaten!R$24,Bewertung_Stammdaten!Q$24,IF(AJ35&lt;Bewertung_Stammdaten!R$25,Bewertung_Stammdaten!Q$25,IF(AJ35&lt;Bewertung_Stammdaten!R$26,Bewertung_Stammdaten!Q$26,IF(AJ35&lt;Bewertung_Stammdaten!R$27,Bewertung_Stammdaten!Q$27,IF(AJ35&lt;Bewertung_Stammdaten!R$28,Bewertung_Stammdaten!Q$28,IF(AJ35&lt;Bewertung_Stammdaten!R$29,Bewertung_Stammdaten!Q$29,IF(AJ35&lt;Bewertung_Stammdaten!R$30,Bewertung_Stammdaten!Q$30,IF(AJ35&lt;Bewertung_Stammdaten!R$31,Bewertung_Stammdaten!Q$31,IF(AJ35&lt;Bewertung_Stammdaten!R$32,Bewertung_Stammdaten!Q$32,Bewertung_Stammdaten!Q$33)))))))))</f>
        <v>8</v>
      </c>
      <c r="AO35" s="33">
        <f ca="1">IF(AL35&lt;Bewertung_Stammdaten!T$24,Bewertung_Stammdaten!S$24,IF(AL35&lt;Bewertung_Stammdaten!T$25,Bewertung_Stammdaten!S$25,IF(AL35&lt;Bewertung_Stammdaten!T$26,Bewertung_Stammdaten!S$26,IF(AL35&lt;Bewertung_Stammdaten!T$27,Bewertung_Stammdaten!S$27,IF(AL35&lt;Bewertung_Stammdaten!T$28,Bewertung_Stammdaten!S$28,IF(AL35&lt;Bewertung_Stammdaten!T$29,Bewertung_Stammdaten!S$29,IF(AL35&lt;Bewertung_Stammdaten!T$30,Bewertung_Stammdaten!S$30,IF(AL35&lt;Bewertung_Stammdaten!T$31,Bewertung_Stammdaten!S$31,IF(AL35&lt;Bewertung_Stammdaten!T$32,Bewertung_Stammdaten!S$32,Bewertung_Stammdaten!S$33)))))))))</f>
        <v>8</v>
      </c>
      <c r="AP35" s="44"/>
      <c r="AQ35" s="12">
        <f ca="1">VLOOKUP(A35,Dividendenrendite!A3:R68,17,FALSE)</f>
        <v>3.4176238358305841E-2</v>
      </c>
      <c r="AR35" s="12">
        <f>VLOOKUP(A35,Dividendenrendite!A3:R68,16,FALSE)</f>
        <v>2.3813876390428566E-2</v>
      </c>
      <c r="AS35" s="12">
        <f ca="1">VLOOKUP(A35,Dividendenrendite!A3:R68,18,FALSE)</f>
        <v>0.43513965546752331</v>
      </c>
      <c r="AT35" s="33">
        <f ca="1">IF(AQ35&lt;Bewertung_Stammdaten!D$11,Bewertung_Stammdaten!C$11,IF(AQ35&lt;Bewertung_Stammdaten!D$12,Bewertung_Stammdaten!C$12,IF(AQ35&lt;Bewertung_Stammdaten!D$13,Bewertung_Stammdaten!C$13,IF(AQ35&lt;Bewertung_Stammdaten!D$14,Bewertung_Stammdaten!C$14,IF(AQ35&lt;Bewertung_Stammdaten!D$15,Bewertung_Stammdaten!C$15,IF(AQ35&lt;Bewertung_Stammdaten!D$16,Bewertung_Stammdaten!C$16,IF(AQ35&lt;Bewertung_Stammdaten!D$17,Bewertung_Stammdaten!C$17,IF(AQ35&lt;Bewertung_Stammdaten!D$18,Bewertung_Stammdaten!C$18,IF(AQ35&lt;Bewertung_Stammdaten!D$19,Bewertung_Stammdaten!C$19,Bewertung_Stammdaten!C$20)))))))))</f>
        <v>10.5</v>
      </c>
      <c r="AU35" s="33">
        <f>IF(AR35&lt;Bewertung_Stammdaten!T$11,Bewertung_Stammdaten!S$11,IF(AR35&lt;Bewertung_Stammdaten!T$12,Bewertung_Stammdaten!S$12,IF(AR35&lt;Bewertung_Stammdaten!T$13,Bewertung_Stammdaten!S$13,IF(AR35&lt;Bewertung_Stammdaten!T$14,Bewertung_Stammdaten!S$14,IF(AR35&lt;Bewertung_Stammdaten!T$15,Bewertung_Stammdaten!S$15,IF(AR35&lt;Bewertung_Stammdaten!T$16,Bewertung_Stammdaten!S$16,IF(AR35&lt;Bewertung_Stammdaten!T$17,Bewertung_Stammdaten!S$17,IF(AR35&lt;Bewertung_Stammdaten!T$18,Bewertung_Stammdaten!S$18,IF(AR35&lt;Bewertung_Stammdaten!T$19,Bewertung_Stammdaten!S$19,Bewertung_Stammdaten!S$20)))))))))</f>
        <v>5</v>
      </c>
      <c r="AV35" s="33">
        <f ca="1">IF(AS35&lt;Bewertung_Stammdaten!F$11,Bewertung_Stammdaten!E$11,IF(AS35&lt;Bewertung_Stammdaten!F$12,Bewertung_Stammdaten!E$12,IF(AS35&lt;Bewertung_Stammdaten!F$13,Bewertung_Stammdaten!E$13,IF(AS35&lt;Bewertung_Stammdaten!F$14,Bewertung_Stammdaten!E$14,IF(AS35&lt;Bewertung_Stammdaten!F$15,Bewertung_Stammdaten!E$15,IF(AS35&lt;Bewertung_Stammdaten!F$16,Bewertung_Stammdaten!E$16,IF(AS35&lt;Bewertung_Stammdaten!F$17,Bewertung_Stammdaten!E$17,IF(AS35&lt;Bewertung_Stammdaten!F$18,Bewertung_Stammdaten!E$18,IF(AS35&lt;Bewertung_Stammdaten!F$19,Bewertung_Stammdaten!E$19,Bewertung_Stammdaten!E$20)))))))))</f>
        <v>5</v>
      </c>
      <c r="AW35" s="44"/>
      <c r="AX35" s="12">
        <f>VLOOKUP(A35,Aktien_im_Umlauf_splitbereinigt!A3:Z68,26,FALSE)</f>
        <v>0</v>
      </c>
      <c r="AY35" s="12">
        <f>VLOOKUP(A35,Aktien_im_Umlauf_splitbereinigt!A3:Y68,24,FALSE)</f>
        <v>-3.7101857818920697E-2</v>
      </c>
      <c r="AZ35" s="12">
        <f>VLOOKUP(A35,Aktien_im_Umlauf_splitbereinigt!A3:Y68,25,FALSE)</f>
        <v>-1</v>
      </c>
      <c r="BA35" s="42">
        <f>IF(AX35&lt;Bewertung_Stammdaten!J$24,Bewertung_Stammdaten!I$24,IF(AX35&lt;Bewertung_Stammdaten!J$25,Bewertung_Stammdaten!I$25,IF(AX35&lt;Bewertung_Stammdaten!J$26,Bewertung_Stammdaten!I$26,IF(AX35&lt;Bewertung_Stammdaten!J$27,Bewertung_Stammdaten!I$27,IF(AX35&lt;Bewertung_Stammdaten!J$28,Bewertung_Stammdaten!I$28,IF(AX35&lt;Bewertung_Stammdaten!J$29,Bewertung_Stammdaten!I$29,IF(AX35&lt;Bewertung_Stammdaten!J$30,Bewertung_Stammdaten!I$30,IF(AX35&lt;Bewertung_Stammdaten!J$31,Bewertung_Stammdaten!I$31,IF(AX35&lt;Bewertung_Stammdaten!J$32,Bewertung_Stammdaten!I$32,Bewertung_Stammdaten!I$33)))))))))</f>
        <v>2</v>
      </c>
      <c r="BB35" s="42">
        <f>IF(AY35&lt;Bewertung_Stammdaten!L$24,Bewertung_Stammdaten!K$24,IF(AY35&lt;Bewertung_Stammdaten!L$25,Bewertung_Stammdaten!K$25,IF(AY35&lt;Bewertung_Stammdaten!L$26,Bewertung_Stammdaten!K$26,IF(AY35&lt;Bewertung_Stammdaten!L$27,Bewertung_Stammdaten!K$27,IF(AY35&lt;Bewertung_Stammdaten!L$28,Bewertung_Stammdaten!K$28,IF(AY35&lt;Bewertung_Stammdaten!L$29,Bewertung_Stammdaten!K$29,IF(AY35&lt;Bewertung_Stammdaten!L$30,Bewertung_Stammdaten!K$30,IF(AY35&lt;Bewertung_Stammdaten!L$31,Bewertung_Stammdaten!K$31,IF(AY35&lt;Bewertung_Stammdaten!L$32,Bewertung_Stammdaten!K$32,Bewertung_Stammdaten!K$33)))))))))</f>
        <v>10</v>
      </c>
      <c r="BC35" s="42">
        <f>IF(AZ35&lt;Bewertung_Stammdaten!N$24,Bewertung_Stammdaten!M$24,IF(AZ35&lt;Bewertung_Stammdaten!N$25,Bewertung_Stammdaten!M$25,IF(AZ35&lt;Bewertung_Stammdaten!N$26,Bewertung_Stammdaten!M$26,IF(AZ35&lt;Bewertung_Stammdaten!N$27,Bewertung_Stammdaten!M$27,IF(AZ35&lt;Bewertung_Stammdaten!N$28,Bewertung_Stammdaten!M$28,IF(AZ35&lt;Bewertung_Stammdaten!N$29,Bewertung_Stammdaten!M$29,IF(AZ35&lt;Bewertung_Stammdaten!N$30,Bewertung_Stammdaten!M$30,IF(AZ35&lt;Bewertung_Stammdaten!N$31,Bewertung_Stammdaten!M$31,IF(AZ35&lt;Bewertung_Stammdaten!N$32,Bewertung_Stammdaten!M$32,Bewertung_Stammdaten!M$33)))))))))</f>
        <v>1</v>
      </c>
      <c r="BD35" s="44"/>
      <c r="BE35" s="12">
        <f ca="1">VLOOKUP(A35,Ausschüttungsquote!A3:X68,23,FALSE)</f>
        <v>0.71386351140903248</v>
      </c>
      <c r="BF35" s="12">
        <f>VLOOKUP(A35,Ausschüttungsquote!A3:X68,19,FALSE)</f>
        <v>0.33554709747911937</v>
      </c>
      <c r="BG35" s="12">
        <f ca="1">VLOOKUP(A35,Ausschüttungsquote!A3:X68,24,FALSE)</f>
        <v>1.1274614406505341</v>
      </c>
      <c r="BH35" s="33">
        <f ca="1">IF(BE35&lt;Bewertung_Stammdaten!H$11,Bewertung_Stammdaten!G$11,IF(BE35&lt;Bewertung_Stammdaten!H$12,Bewertung_Stammdaten!G$12,IF(BE35&lt;Bewertung_Stammdaten!H$13,Bewertung_Stammdaten!G$13,IF(BE35&lt;Bewertung_Stammdaten!H$14,Bewertung_Stammdaten!G$14,IF(BE35&lt;Bewertung_Stammdaten!H$15,Bewertung_Stammdaten!G$15,IF(BE35&lt;Bewertung_Stammdaten!H$16,Bewertung_Stammdaten!G$16,IF(BE35&lt;Bewertung_Stammdaten!H$17,Bewertung_Stammdaten!G$17,IF(BE35&lt;Bewertung_Stammdaten!H$18,Bewertung_Stammdaten!G$18,IF(BE35&lt;Bewertung_Stammdaten!H$19,Bewertung_Stammdaten!G$19,Bewertung_Stammdaten!G$20)))))))))</f>
        <v>3</v>
      </c>
      <c r="BI35" s="42">
        <f>IF(BF35&lt;Bewertung_Stammdaten!B$24,Bewertung_Stammdaten!A$24,IF(BF35&lt;Bewertung_Stammdaten!B$25,Bewertung_Stammdaten!A$25,IF(BF35&lt;Bewertung_Stammdaten!B$26,Bewertung_Stammdaten!A$26,IF(BF35&lt;Bewertung_Stammdaten!B$27,Bewertung_Stammdaten!A$27,IF(BF35&lt;Bewertung_Stammdaten!B$28,Bewertung_Stammdaten!A$28,IF(BF35&lt;Bewertung_Stammdaten!B$29,Bewertung_Stammdaten!A$29,IF(BF35&lt;Bewertung_Stammdaten!B$30,Bewertung_Stammdaten!A$30,IF(BF35&lt;Bewertung_Stammdaten!B$31,Bewertung_Stammdaten!A$31,IF(BF35&lt;Bewertung_Stammdaten!B$32,Bewertung_Stammdaten!A$32,Bewertung_Stammdaten!A$33)))))))))</f>
        <v>10</v>
      </c>
      <c r="BJ35" s="33">
        <f ca="1">IF(BG35&lt;Bewertung_Stammdaten!J$11,Bewertung_Stammdaten!I$11,IF(BG35&lt;Bewertung_Stammdaten!J$12,Bewertung_Stammdaten!I$12,IF(BG35&lt;Bewertung_Stammdaten!J$13,Bewertung_Stammdaten!I$13,IF(BG35&lt;Bewertung_Stammdaten!J$14,Bewertung_Stammdaten!I$14,IF(BG35&lt;Bewertung_Stammdaten!J$15,Bewertung_Stammdaten!I$15,IF(BG35&lt;Bewertung_Stammdaten!J$16,Bewertung_Stammdaten!I$16,IF(BG35&lt;Bewertung_Stammdaten!J$17,Bewertung_Stammdaten!I$17,IF(BG35&lt;Bewertung_Stammdaten!J$18,Bewertung_Stammdaten!I$18,IF(BG35&lt;Bewertung_Stammdaten!J$19,Bewertung_Stammdaten!I$19,Bewertung_Stammdaten!I$20)))))))))</f>
        <v>1</v>
      </c>
    </row>
    <row r="36" spans="1:62" x14ac:dyDescent="0.25">
      <c r="A36" s="39" t="s">
        <v>66</v>
      </c>
      <c r="B36" s="39" t="s">
        <v>67</v>
      </c>
      <c r="C36" s="33">
        <f t="shared" ca="1" si="8"/>
        <v>109</v>
      </c>
      <c r="D36" s="44"/>
      <c r="E36" s="11">
        <f ca="1">VLOOKUP(A36,KGV!A3:R68,17,FALSE)</f>
        <v>15.454140236584948</v>
      </c>
      <c r="F36" s="11">
        <f>VLOOKUP(A36,KGV!A3:R68,16,FALSE)</f>
        <v>16.03960396039604</v>
      </c>
      <c r="G36" s="12">
        <f ca="1">VLOOKUP(A36,KGV!A3:R68,18,FALSE)</f>
        <v>-3.6501133398098906E-2</v>
      </c>
      <c r="H36" s="16">
        <f t="shared" ca="1" si="9"/>
        <v>26.31794178903575</v>
      </c>
      <c r="I36" s="12">
        <f t="shared" ca="1" si="10"/>
        <v>0.64080995104482152</v>
      </c>
      <c r="J36" s="33">
        <f ca="1">IF(G36&lt;Bewertung_Stammdaten!B$11,Bewertung_Stammdaten!A$11,IF(G36&lt;Bewertung_Stammdaten!B$12,Bewertung_Stammdaten!A$12,IF(G36&lt;Bewertung_Stammdaten!B$13,Bewertung_Stammdaten!A$13,IF(G36&lt;Bewertung_Stammdaten!B$14,Bewertung_Stammdaten!A$14,IF(G36&lt;Bewertung_Stammdaten!B$15,Bewertung_Stammdaten!A$15,IF(G36&lt;Bewertung_Stammdaten!B$16,Bewertung_Stammdaten!A$16,IF(G36&lt;Bewertung_Stammdaten!B$17,Bewertung_Stammdaten!A$17,IF(G36&lt;Bewertung_Stammdaten!B$18,Bewertung_Stammdaten!A$18,IF(G36&lt;Bewertung_Stammdaten!B$19,Bewertung_Stammdaten!A$19,Bewertung_Stammdaten!A$20)))))))))</f>
        <v>21</v>
      </c>
      <c r="K36" s="33">
        <f ca="1">IF(I36&lt;Bewertung_Stammdaten!N$11,Bewertung_Stammdaten!M$11,IF(I36&lt;Bewertung_Stammdaten!N$12,Bewertung_Stammdaten!M$12,IF(I36&lt;Bewertung_Stammdaten!N$13,Bewertung_Stammdaten!M$13,IF(I36&lt;Bewertung_Stammdaten!N$14,Bewertung_Stammdaten!M$14,IF(I36&lt;Bewertung_Stammdaten!N$15,Bewertung_Stammdaten!M$15,IF(I36&lt;Bewertung_Stammdaten!N$16,Bewertung_Stammdaten!M$16,IF(I36&lt;Bewertung_Stammdaten!N$17,Bewertung_Stammdaten!M$17,IF(I36&lt;Bewertung_Stammdaten!N$18,Bewertung_Stammdaten!M$18,IF(I36&lt;Bewertung_Stammdaten!N$19,Bewertung_Stammdaten!M$19,Bewertung_Stammdaten!M$20)))))))))</f>
        <v>1.5</v>
      </c>
      <c r="L36" s="44"/>
      <c r="M36" s="11">
        <f ca="1">VLOOKUP(A36,Buchwert_je_Aktie!A3:AK68,23,FALSE)</f>
        <v>24.221666666666668</v>
      </c>
      <c r="N36" s="11">
        <f>VLOOKUP(A36,Buchwert_je_Aktie!A3:AK68,19,FALSE)</f>
        <v>13.60846153846154</v>
      </c>
      <c r="O36" s="12">
        <f ca="1">VLOOKUP(A36,Buchwert_je_Aktie!A3:AK68,24,FALSE)</f>
        <v>0.77989749967026523</v>
      </c>
      <c r="P36" s="12">
        <f>VLOOKUP(A36,Buchwert_je_Aktie!A3:AK68,37,FALSE)</f>
        <v>-0.41295546558704455</v>
      </c>
      <c r="Q36" s="16">
        <f t="shared" ca="1" si="11"/>
        <v>14.219197031039137</v>
      </c>
      <c r="R36" s="12">
        <f t="shared" ca="1" si="12"/>
        <v>4.4879098996714495E-2</v>
      </c>
      <c r="S36" s="53">
        <f ca="1">IF(O36&lt;Bewertung_Stammdaten!D$24,Bewertung_Stammdaten!C$24,IF(O36&lt;Bewertung_Stammdaten!D$25,Bewertung_Stammdaten!C$25,IF(O36&lt;Bewertung_Stammdaten!D$26,Bewertung_Stammdaten!C$26,IF(O36&lt;Bewertung_Stammdaten!D$27,Bewertung_Stammdaten!C$27,IF(O36&lt;Bewertung_Stammdaten!D$28,Bewertung_Stammdaten!C$28,IF(O36&lt;Bewertung_Stammdaten!D$29,Bewertung_Stammdaten!C$29,IF(O36&lt;Bewertung_Stammdaten!D$30,Bewertung_Stammdaten!C$30,IF(O36&lt;Bewertung_Stammdaten!D$31,Bewertung_Stammdaten!C$31,IF(O36&lt;Bewertung_Stammdaten!D$32,Bewertung_Stammdaten!C$32,Bewertung_Stammdaten!C$33)))))))))</f>
        <v>15</v>
      </c>
      <c r="T36" s="53">
        <f>IF(P36&lt;Bewertung_Stammdaten!F$24,Bewertung_Stammdaten!E$24,IF(P36&lt;Bewertung_Stammdaten!F$25,Bewertung_Stammdaten!E$25,IF(P36&lt;Bewertung_Stammdaten!F$26,Bewertung_Stammdaten!E$26,IF(P36&lt;Bewertung_Stammdaten!F$27,Bewertung_Stammdaten!E$27,IF(P36&lt;Bewertung_Stammdaten!F$28,Bewertung_Stammdaten!E$28,IF(P36&lt;Bewertung_Stammdaten!F$29,Bewertung_Stammdaten!E$29,IF(P36&lt;Bewertung_Stammdaten!F$30,Bewertung_Stammdaten!E$30,IF(P36&lt;Bewertung_Stammdaten!F$31,Bewertung_Stammdaten!E$31,IF(P36&lt;Bewertung_Stammdaten!F$32,Bewertung_Stammdaten!E$32,Bewertung_Stammdaten!E$33)))))))))</f>
        <v>1.5</v>
      </c>
      <c r="U36" s="53">
        <f ca="1">IF(R36&lt;Bewertung_Stammdaten!H$24,Bewertung_Stammdaten!G$24,IF(R36&lt;Bewertung_Stammdaten!H$25,Bewertung_Stammdaten!G$25,IF(R36&lt;Bewertung_Stammdaten!H$26,Bewertung_Stammdaten!G$26,IF(R36&lt;Bewertung_Stammdaten!H$27,Bewertung_Stammdaten!G$27,IF(R36&lt;Bewertung_Stammdaten!H$28,Bewertung_Stammdaten!G$28,IF(R36&lt;Bewertung_Stammdaten!H$29,Bewertung_Stammdaten!G$29,IF(R36&lt;Bewertung_Stammdaten!H$30,Bewertung_Stammdaten!G$30,IF(R36&lt;Bewertung_Stammdaten!H$31,Bewertung_Stammdaten!G$31,IF(R36&lt;Bewertung_Stammdaten!H$32,Bewertung_Stammdaten!G$32,Bewertung_Stammdaten!G$33)))))))))</f>
        <v>3</v>
      </c>
      <c r="V36" s="44"/>
      <c r="W36" s="14">
        <f ca="1">VLOOKUP(A36,Ergebnis_je_Aktie_verwässert!A3:AK68,23,FALSE)</f>
        <v>1.6202777777777777</v>
      </c>
      <c r="X36" s="14">
        <f>VLOOKUP(A36,Ergebnis_je_Aktie_verwässert!A3:AK68,19,FALSE)</f>
        <v>1.5307692307692307</v>
      </c>
      <c r="Y36" s="12">
        <f ca="1">VLOOKUP(A36,Ergebnis_je_Aktie_verwässert!A3:AK68,24,FALSE)</f>
        <v>5.8472920156337205E-2</v>
      </c>
      <c r="Z36" s="41">
        <f>VLOOKUP(A36,Ergebnis_je_Aktie_verwässert!A3:AK68,37,FALSE)</f>
        <v>-0.41279069767441856</v>
      </c>
      <c r="AA36" s="16">
        <f t="shared" ca="1" si="13"/>
        <v>0.95144218346253229</v>
      </c>
      <c r="AB36" s="12">
        <f t="shared" ca="1" si="14"/>
        <v>-0.3784548550244764</v>
      </c>
      <c r="AC36" s="33">
        <f ca="1">IF(Y36&lt;Bewertung_Stammdaten!L$11,Bewertung_Stammdaten!K$11,IF(Y36&lt;Bewertung_Stammdaten!L$12,Bewertung_Stammdaten!K$12,IF(Y36&lt;Bewertung_Stammdaten!L$13,Bewertung_Stammdaten!K$13,IF(Y36&lt;Bewertung_Stammdaten!L$14,Bewertung_Stammdaten!K$14,IF(Y36&lt;Bewertung_Stammdaten!L$15,Bewertung_Stammdaten!K$15,IF(Y36&lt;Bewertung_Stammdaten!L$16,Bewertung_Stammdaten!K$16,IF(Y36&lt;Bewertung_Stammdaten!L$17,Bewertung_Stammdaten!K$17,IF(Y36&lt;Bewertung_Stammdaten!L$18,Bewertung_Stammdaten!K$18,IF(Y36&lt;Bewertung_Stammdaten!L$19,Bewertung_Stammdaten!K$19,Bewertung_Stammdaten!K$20)))))))))</f>
        <v>6</v>
      </c>
      <c r="AD36" s="33">
        <f>IF(Z36&lt;Bewertung_Stammdaten!R$11,Bewertung_Stammdaten!Q$11,IF(Z36&lt;Bewertung_Stammdaten!R$12,Bewertung_Stammdaten!Q$12,IF(Z36&lt;Bewertung_Stammdaten!R$13,Bewertung_Stammdaten!Q$13,IF(Z36&lt;Bewertung_Stammdaten!R$14,Bewertung_Stammdaten!Q$14,IF(Z36&lt;Bewertung_Stammdaten!R$15,Bewertung_Stammdaten!Q$15,IF(Z36&lt;Bewertung_Stammdaten!R$16,Bewertung_Stammdaten!Q$16,IF(Z36&lt;Bewertung_Stammdaten!R$17,Bewertung_Stammdaten!Q$17,IF(Z36&lt;Bewertung_Stammdaten!R$18,Bewertung_Stammdaten!Q$18,IF(Z36&lt;Bewertung_Stammdaten!R$19,Bewertung_Stammdaten!Q$19,Bewertung_Stammdaten!Q$20)))))))))</f>
        <v>3</v>
      </c>
      <c r="AE36" s="33">
        <f ca="1">IF(AB36&lt;Bewertung_Stammdaten!P$11,Bewertung_Stammdaten!O$11,IF(AB36&lt;Bewertung_Stammdaten!P$12,Bewertung_Stammdaten!O$12,IF(AB36&lt;Bewertung_Stammdaten!P$13,Bewertung_Stammdaten!O$13,IF(AB36&lt;Bewertung_Stammdaten!P$14,Bewertung_Stammdaten!O$14,IF(AB36&lt;Bewertung_Stammdaten!P$15,Bewertung_Stammdaten!O$15,IF(AB36&lt;Bewertung_Stammdaten!P$16,Bewertung_Stammdaten!O$16,IF(AB36&lt;Bewertung_Stammdaten!P$17,Bewertung_Stammdaten!O$17,IF(AB36&lt;Bewertung_Stammdaten!P$18,Bewertung_Stammdaten!O$18,IF(AB36&lt;Bewertung_Stammdaten!P$19,Bewertung_Stammdaten!O$19,Bewertung_Stammdaten!O$20)))))))))</f>
        <v>1</v>
      </c>
      <c r="AF36" s="44"/>
      <c r="AG36" s="14">
        <f ca="1">VLOOKUP(A36,Dividende_je_Aktie!A3:AM68,24,FALSE)</f>
        <v>0.94419444444444434</v>
      </c>
      <c r="AH36" s="14">
        <f>VLOOKUP(A36,Dividende_je_Aktie!A3:AM68,20,FALSE)</f>
        <v>0.86857142857142866</v>
      </c>
      <c r="AI36" s="12">
        <f ca="1">VLOOKUP(A36,Dividende_je_Aktie!A3:AM68,25,FALSE)</f>
        <v>8.706597222222201E-2</v>
      </c>
      <c r="AJ36" s="41">
        <f>VLOOKUP(A36,Dividende_je_Aktie!A3:AM68,39,FALSE)</f>
        <v>-0.50806451612903225</v>
      </c>
      <c r="AK36" s="16">
        <f t="shared" ca="1" si="6"/>
        <v>0.46448275089605728</v>
      </c>
      <c r="AL36" s="12">
        <f t="shared" ca="1" si="7"/>
        <v>-0.4652336749551973</v>
      </c>
      <c r="AM36" s="33">
        <f ca="1">IF(AI36&lt;Bewertung_Stammdaten!P$24,Bewertung_Stammdaten!O$24,IF(AI36&lt;Bewertung_Stammdaten!P$25,Bewertung_Stammdaten!O$25,IF(AI36&lt;Bewertung_Stammdaten!P$26,Bewertung_Stammdaten!O$26,IF(AI36&lt;Bewertung_Stammdaten!P$27,Bewertung_Stammdaten!O$27,IF(AI36&lt;Bewertung_Stammdaten!P$28,Bewertung_Stammdaten!O$28,IF(AI36&lt;Bewertung_Stammdaten!P$29,Bewertung_Stammdaten!O$29,IF(AI36&lt;Bewertung_Stammdaten!P$30,Bewertung_Stammdaten!O$30,IF(AI36&lt;Bewertung_Stammdaten!P$31,Bewertung_Stammdaten!O$31,IF(AI36&lt;Bewertung_Stammdaten!P$32,Bewertung_Stammdaten!O$32,Bewertung_Stammdaten!O$33)))))))))</f>
        <v>6</v>
      </c>
      <c r="AN36" s="33">
        <f>IF(AJ36&lt;Bewertung_Stammdaten!R$24,Bewertung_Stammdaten!Q$24,IF(AJ36&lt;Bewertung_Stammdaten!R$25,Bewertung_Stammdaten!Q$25,IF(AJ36&lt;Bewertung_Stammdaten!R$26,Bewertung_Stammdaten!Q$26,IF(AJ36&lt;Bewertung_Stammdaten!R$27,Bewertung_Stammdaten!Q$27,IF(AJ36&lt;Bewertung_Stammdaten!R$28,Bewertung_Stammdaten!Q$28,IF(AJ36&lt;Bewertung_Stammdaten!R$29,Bewertung_Stammdaten!Q$29,IF(AJ36&lt;Bewertung_Stammdaten!R$30,Bewertung_Stammdaten!Q$30,IF(AJ36&lt;Bewertung_Stammdaten!R$31,Bewertung_Stammdaten!Q$31,IF(AJ36&lt;Bewertung_Stammdaten!R$32,Bewertung_Stammdaten!Q$32,Bewertung_Stammdaten!Q$33)))))))))</f>
        <v>2</v>
      </c>
      <c r="AO36" s="33">
        <f ca="1">IF(AL36&lt;Bewertung_Stammdaten!T$24,Bewertung_Stammdaten!S$24,IF(AL36&lt;Bewertung_Stammdaten!T$25,Bewertung_Stammdaten!S$25,IF(AL36&lt;Bewertung_Stammdaten!T$26,Bewertung_Stammdaten!S$26,IF(AL36&lt;Bewertung_Stammdaten!T$27,Bewertung_Stammdaten!S$27,IF(AL36&lt;Bewertung_Stammdaten!T$28,Bewertung_Stammdaten!S$28,IF(AL36&lt;Bewertung_Stammdaten!T$29,Bewertung_Stammdaten!S$29,IF(AL36&lt;Bewertung_Stammdaten!T$30,Bewertung_Stammdaten!S$30,IF(AL36&lt;Bewertung_Stammdaten!T$31,Bewertung_Stammdaten!S$31,IF(AL36&lt;Bewertung_Stammdaten!T$32,Bewertung_Stammdaten!S$32,Bewertung_Stammdaten!S$33)))))))))</f>
        <v>1</v>
      </c>
      <c r="AP36" s="44"/>
      <c r="AQ36" s="12">
        <f ca="1">VLOOKUP(A36,Dividendenrendite!A3:R68,17,FALSE)</f>
        <v>3.7707445864394742E-2</v>
      </c>
      <c r="AR36" s="12">
        <f>VLOOKUP(A36,Dividendenrendite!A3:R68,16,FALSE)</f>
        <v>3.5148734189491222E-2</v>
      </c>
      <c r="AS36" s="12">
        <f ca="1">VLOOKUP(A36,Dividendenrendite!A3:R68,18,FALSE)</f>
        <v>7.2796694785911331E-2</v>
      </c>
      <c r="AT36" s="33">
        <f ca="1">IF(AQ36&lt;Bewertung_Stammdaten!D$11,Bewertung_Stammdaten!C$11,IF(AQ36&lt;Bewertung_Stammdaten!D$12,Bewertung_Stammdaten!C$12,IF(AQ36&lt;Bewertung_Stammdaten!D$13,Bewertung_Stammdaten!C$13,IF(AQ36&lt;Bewertung_Stammdaten!D$14,Bewertung_Stammdaten!C$14,IF(AQ36&lt;Bewertung_Stammdaten!D$15,Bewertung_Stammdaten!C$15,IF(AQ36&lt;Bewertung_Stammdaten!D$16,Bewertung_Stammdaten!C$16,IF(AQ36&lt;Bewertung_Stammdaten!D$17,Bewertung_Stammdaten!C$17,IF(AQ36&lt;Bewertung_Stammdaten!D$18,Bewertung_Stammdaten!C$18,IF(AQ36&lt;Bewertung_Stammdaten!D$19,Bewertung_Stammdaten!C$19,Bewertung_Stammdaten!C$20)))))))))</f>
        <v>12</v>
      </c>
      <c r="AU36" s="33">
        <f>IF(AR36&lt;Bewertung_Stammdaten!T$11,Bewertung_Stammdaten!S$11,IF(AR36&lt;Bewertung_Stammdaten!T$12,Bewertung_Stammdaten!S$12,IF(AR36&lt;Bewertung_Stammdaten!T$13,Bewertung_Stammdaten!S$13,IF(AR36&lt;Bewertung_Stammdaten!T$14,Bewertung_Stammdaten!S$14,IF(AR36&lt;Bewertung_Stammdaten!T$15,Bewertung_Stammdaten!S$15,IF(AR36&lt;Bewertung_Stammdaten!T$16,Bewertung_Stammdaten!S$16,IF(AR36&lt;Bewertung_Stammdaten!T$17,Bewertung_Stammdaten!S$17,IF(AR36&lt;Bewertung_Stammdaten!T$18,Bewertung_Stammdaten!S$18,IF(AR36&lt;Bewertung_Stammdaten!T$19,Bewertung_Stammdaten!S$19,Bewertung_Stammdaten!S$20)))))))))</f>
        <v>8</v>
      </c>
      <c r="AV36" s="33">
        <f ca="1">IF(AS36&lt;Bewertung_Stammdaten!F$11,Bewertung_Stammdaten!E$11,IF(AS36&lt;Bewertung_Stammdaten!F$12,Bewertung_Stammdaten!E$12,IF(AS36&lt;Bewertung_Stammdaten!F$13,Bewertung_Stammdaten!E$13,IF(AS36&lt;Bewertung_Stammdaten!F$14,Bewertung_Stammdaten!E$14,IF(AS36&lt;Bewertung_Stammdaten!F$15,Bewertung_Stammdaten!E$15,IF(AS36&lt;Bewertung_Stammdaten!F$16,Bewertung_Stammdaten!E$16,IF(AS36&lt;Bewertung_Stammdaten!F$17,Bewertung_Stammdaten!E$17,IF(AS36&lt;Bewertung_Stammdaten!F$18,Bewertung_Stammdaten!E$18,IF(AS36&lt;Bewertung_Stammdaten!F$19,Bewertung_Stammdaten!E$19,Bewertung_Stammdaten!E$20)))))))))</f>
        <v>3.5</v>
      </c>
      <c r="AW36" s="44"/>
      <c r="AX36" s="12">
        <f>VLOOKUP(A36,Aktien_im_Umlauf_splitbereinigt!A3:Z68,26,FALSE)</f>
        <v>-3.9757479375812643E-4</v>
      </c>
      <c r="AY36" s="12">
        <f>VLOOKUP(A36,Aktien_im_Umlauf_splitbereinigt!A3:Y68,24,FALSE)</f>
        <v>-4.3051426439918196E-3</v>
      </c>
      <c r="AZ36" s="12">
        <f>VLOOKUP(A36,Aktien_im_Umlauf_splitbereinigt!A3:Y68,25,FALSE)</f>
        <v>-0.90765119146215167</v>
      </c>
      <c r="BA36" s="42">
        <f>IF(AX36&lt;Bewertung_Stammdaten!J$24,Bewertung_Stammdaten!I$24,IF(AX36&lt;Bewertung_Stammdaten!J$25,Bewertung_Stammdaten!I$25,IF(AX36&lt;Bewertung_Stammdaten!J$26,Bewertung_Stammdaten!I$26,IF(AX36&lt;Bewertung_Stammdaten!J$27,Bewertung_Stammdaten!I$27,IF(AX36&lt;Bewertung_Stammdaten!J$28,Bewertung_Stammdaten!I$28,IF(AX36&lt;Bewertung_Stammdaten!J$29,Bewertung_Stammdaten!I$29,IF(AX36&lt;Bewertung_Stammdaten!J$30,Bewertung_Stammdaten!I$30,IF(AX36&lt;Bewertung_Stammdaten!J$31,Bewertung_Stammdaten!I$31,IF(AX36&lt;Bewertung_Stammdaten!J$32,Bewertung_Stammdaten!I$32,Bewertung_Stammdaten!I$33)))))))))</f>
        <v>3</v>
      </c>
      <c r="BB36" s="42">
        <f>IF(AY36&lt;Bewertung_Stammdaten!L$24,Bewertung_Stammdaten!K$24,IF(AY36&lt;Bewertung_Stammdaten!L$25,Bewertung_Stammdaten!K$25,IF(AY36&lt;Bewertung_Stammdaten!L$26,Bewertung_Stammdaten!K$26,IF(AY36&lt;Bewertung_Stammdaten!L$27,Bewertung_Stammdaten!K$27,IF(AY36&lt;Bewertung_Stammdaten!L$28,Bewertung_Stammdaten!K$28,IF(AY36&lt;Bewertung_Stammdaten!L$29,Bewertung_Stammdaten!K$29,IF(AY36&lt;Bewertung_Stammdaten!L$30,Bewertung_Stammdaten!K$30,IF(AY36&lt;Bewertung_Stammdaten!L$31,Bewertung_Stammdaten!K$31,IF(AY36&lt;Bewertung_Stammdaten!L$32,Bewertung_Stammdaten!K$32,Bewertung_Stammdaten!K$33)))))))))</f>
        <v>3</v>
      </c>
      <c r="BC36" s="42">
        <f>IF(AZ36&lt;Bewertung_Stammdaten!N$24,Bewertung_Stammdaten!M$24,IF(AZ36&lt;Bewertung_Stammdaten!N$25,Bewertung_Stammdaten!M$25,IF(AZ36&lt;Bewertung_Stammdaten!N$26,Bewertung_Stammdaten!M$26,IF(AZ36&lt;Bewertung_Stammdaten!N$27,Bewertung_Stammdaten!M$27,IF(AZ36&lt;Bewertung_Stammdaten!N$28,Bewertung_Stammdaten!M$28,IF(AZ36&lt;Bewertung_Stammdaten!N$29,Bewertung_Stammdaten!M$29,IF(AZ36&lt;Bewertung_Stammdaten!N$30,Bewertung_Stammdaten!M$30,IF(AZ36&lt;Bewertung_Stammdaten!N$31,Bewertung_Stammdaten!M$31,IF(AZ36&lt;Bewertung_Stammdaten!N$32,Bewertung_Stammdaten!M$32,Bewertung_Stammdaten!M$33)))))))))</f>
        <v>1.5</v>
      </c>
      <c r="BD36" s="44"/>
      <c r="BE36" s="12">
        <f ca="1">VLOOKUP(A36,Ausschüttungsquote!A3:X68,23,FALSE)</f>
        <v>0.58266646241830067</v>
      </c>
      <c r="BF36" s="12">
        <f>VLOOKUP(A36,Ausschüttungsquote!A3:X68,19,FALSE)</f>
        <v>0.56782217708618998</v>
      </c>
      <c r="BG36" s="12">
        <f ca="1">VLOOKUP(A36,Ausschüttungsquote!A3:X68,24,FALSE)</f>
        <v>2.6142489552424486E-2</v>
      </c>
      <c r="BH36" s="33">
        <f ca="1">IF(BE36&lt;Bewertung_Stammdaten!H$11,Bewertung_Stammdaten!G$11,IF(BE36&lt;Bewertung_Stammdaten!H$12,Bewertung_Stammdaten!G$12,IF(BE36&lt;Bewertung_Stammdaten!H$13,Bewertung_Stammdaten!G$13,IF(BE36&lt;Bewertung_Stammdaten!H$14,Bewertung_Stammdaten!G$14,IF(BE36&lt;Bewertung_Stammdaten!H$15,Bewertung_Stammdaten!G$15,IF(BE36&lt;Bewertung_Stammdaten!H$16,Bewertung_Stammdaten!G$16,IF(BE36&lt;Bewertung_Stammdaten!H$17,Bewertung_Stammdaten!G$17,IF(BE36&lt;Bewertung_Stammdaten!H$18,Bewertung_Stammdaten!G$18,IF(BE36&lt;Bewertung_Stammdaten!H$19,Bewertung_Stammdaten!G$19,Bewertung_Stammdaten!G$20)))))))))</f>
        <v>6</v>
      </c>
      <c r="BI36" s="42">
        <f>IF(BF36&lt;Bewertung_Stammdaten!B$24,Bewertung_Stammdaten!A$24,IF(BF36&lt;Bewertung_Stammdaten!B$25,Bewertung_Stammdaten!A$25,IF(BF36&lt;Bewertung_Stammdaten!B$26,Bewertung_Stammdaten!A$26,IF(BF36&lt;Bewertung_Stammdaten!B$27,Bewertung_Stammdaten!A$27,IF(BF36&lt;Bewertung_Stammdaten!B$28,Bewertung_Stammdaten!A$28,IF(BF36&lt;Bewertung_Stammdaten!B$29,Bewertung_Stammdaten!A$29,IF(BF36&lt;Bewertung_Stammdaten!B$30,Bewertung_Stammdaten!A$30,IF(BF36&lt;Bewertung_Stammdaten!B$31,Bewertung_Stammdaten!A$31,IF(BF36&lt;Bewertung_Stammdaten!B$32,Bewertung_Stammdaten!A$32,Bewertung_Stammdaten!A$33)))))))))</f>
        <v>6</v>
      </c>
      <c r="BJ36" s="33">
        <f ca="1">IF(BG36&lt;Bewertung_Stammdaten!J$11,Bewertung_Stammdaten!I$11,IF(BG36&lt;Bewertung_Stammdaten!J$12,Bewertung_Stammdaten!I$12,IF(BG36&lt;Bewertung_Stammdaten!J$13,Bewertung_Stammdaten!I$13,IF(BG36&lt;Bewertung_Stammdaten!J$14,Bewertung_Stammdaten!I$14,IF(BG36&lt;Bewertung_Stammdaten!J$15,Bewertung_Stammdaten!I$15,IF(BG36&lt;Bewertung_Stammdaten!J$16,Bewertung_Stammdaten!I$16,IF(BG36&lt;Bewertung_Stammdaten!J$17,Bewertung_Stammdaten!I$17,IF(BG36&lt;Bewertung_Stammdaten!J$18,Bewertung_Stammdaten!I$18,IF(BG36&lt;Bewertung_Stammdaten!J$19,Bewertung_Stammdaten!I$19,Bewertung_Stammdaten!I$20)))))))))</f>
        <v>5</v>
      </c>
    </row>
    <row r="37" spans="1:62" x14ac:dyDescent="0.25">
      <c r="A37" s="39" t="s">
        <v>68</v>
      </c>
      <c r="B37" s="39" t="s">
        <v>69</v>
      </c>
      <c r="C37" s="33">
        <f t="shared" ca="1" si="8"/>
        <v>117</v>
      </c>
      <c r="D37" s="44"/>
      <c r="E37" s="11">
        <f ca="1">VLOOKUP(A37,KGV!A3:R68,17,FALSE)</f>
        <v>10.767811443556285</v>
      </c>
      <c r="F37" s="11">
        <f>VLOOKUP(A37,KGV!A3:R68,16,FALSE)</f>
        <v>9.3595004460303297</v>
      </c>
      <c r="G37" s="12">
        <f ca="1">VLOOKUP(A37,KGV!A3:R68,18,FALSE)</f>
        <v>0.15046860734145984</v>
      </c>
      <c r="H37" s="16">
        <f t="shared" ca="1" si="9"/>
        <v>59.572254362225245</v>
      </c>
      <c r="I37" s="12">
        <f t="shared" ca="1" si="10"/>
        <v>5.364896791846598</v>
      </c>
      <c r="J37" s="33">
        <f ca="1">IF(G37&lt;Bewertung_Stammdaten!B$11,Bewertung_Stammdaten!A$11,IF(G37&lt;Bewertung_Stammdaten!B$12,Bewertung_Stammdaten!A$12,IF(G37&lt;Bewertung_Stammdaten!B$13,Bewertung_Stammdaten!A$13,IF(G37&lt;Bewertung_Stammdaten!B$14,Bewertung_Stammdaten!A$14,IF(G37&lt;Bewertung_Stammdaten!B$15,Bewertung_Stammdaten!A$15,IF(G37&lt;Bewertung_Stammdaten!B$16,Bewertung_Stammdaten!A$16,IF(G37&lt;Bewertung_Stammdaten!B$17,Bewertung_Stammdaten!A$17,IF(G37&lt;Bewertung_Stammdaten!B$18,Bewertung_Stammdaten!A$18,IF(G37&lt;Bewertung_Stammdaten!B$19,Bewertung_Stammdaten!A$19,Bewertung_Stammdaten!A$20)))))))))</f>
        <v>9</v>
      </c>
      <c r="K37" s="33">
        <f ca="1">IF(I37&lt;Bewertung_Stammdaten!N$11,Bewertung_Stammdaten!M$11,IF(I37&lt;Bewertung_Stammdaten!N$12,Bewertung_Stammdaten!M$12,IF(I37&lt;Bewertung_Stammdaten!N$13,Bewertung_Stammdaten!M$13,IF(I37&lt;Bewertung_Stammdaten!N$14,Bewertung_Stammdaten!M$14,IF(I37&lt;Bewertung_Stammdaten!N$15,Bewertung_Stammdaten!M$15,IF(I37&lt;Bewertung_Stammdaten!N$16,Bewertung_Stammdaten!M$16,IF(I37&lt;Bewertung_Stammdaten!N$17,Bewertung_Stammdaten!M$17,IF(I37&lt;Bewertung_Stammdaten!N$18,Bewertung_Stammdaten!M$18,IF(I37&lt;Bewertung_Stammdaten!N$19,Bewertung_Stammdaten!M$19,Bewertung_Stammdaten!M$20)))))))))</f>
        <v>1.5</v>
      </c>
      <c r="L37" s="44"/>
      <c r="M37" s="11">
        <f ca="1">VLOOKUP(A37,Buchwert_je_Aktie!A3:AK68,23,FALSE)</f>
        <v>176.8388888888889</v>
      </c>
      <c r="N37" s="11">
        <f>VLOOKUP(A37,Buchwert_je_Aktie!A3:AK68,19,FALSE)</f>
        <v>148.44384615384615</v>
      </c>
      <c r="O37" s="12">
        <f ca="1">VLOOKUP(A37,Buchwert_je_Aktie!A3:AK68,24,FALSE)</f>
        <v>0.19128474147466057</v>
      </c>
      <c r="P37" s="12">
        <f>VLOOKUP(A37,Buchwert_je_Aktie!A3:AK68,37,FALSE)</f>
        <v>-9.5822074412803993E-2</v>
      </c>
      <c r="Q37" s="16">
        <f t="shared" ca="1" si="11"/>
        <v>159.8938197187002</v>
      </c>
      <c r="R37" s="12">
        <f t="shared" ca="1" si="12"/>
        <v>7.7133366330237596E-2</v>
      </c>
      <c r="S37" s="53">
        <f ca="1">IF(O37&lt;Bewertung_Stammdaten!D$24,Bewertung_Stammdaten!C$24,IF(O37&lt;Bewertung_Stammdaten!D$25,Bewertung_Stammdaten!C$25,IF(O37&lt;Bewertung_Stammdaten!D$26,Bewertung_Stammdaten!C$26,IF(O37&lt;Bewertung_Stammdaten!D$27,Bewertung_Stammdaten!C$27,IF(O37&lt;Bewertung_Stammdaten!D$28,Bewertung_Stammdaten!C$28,IF(O37&lt;Bewertung_Stammdaten!D$29,Bewertung_Stammdaten!C$29,IF(O37&lt;Bewertung_Stammdaten!D$30,Bewertung_Stammdaten!C$30,IF(O37&lt;Bewertung_Stammdaten!D$31,Bewertung_Stammdaten!C$31,IF(O37&lt;Bewertung_Stammdaten!D$32,Bewertung_Stammdaten!C$32,Bewertung_Stammdaten!C$33)))))))))</f>
        <v>6</v>
      </c>
      <c r="T37" s="53">
        <f>IF(P37&lt;Bewertung_Stammdaten!F$24,Bewertung_Stammdaten!E$24,IF(P37&lt;Bewertung_Stammdaten!F$25,Bewertung_Stammdaten!E$25,IF(P37&lt;Bewertung_Stammdaten!F$26,Bewertung_Stammdaten!E$26,IF(P37&lt;Bewertung_Stammdaten!F$27,Bewertung_Stammdaten!E$27,IF(P37&lt;Bewertung_Stammdaten!F$28,Bewertung_Stammdaten!E$28,IF(P37&lt;Bewertung_Stammdaten!F$29,Bewertung_Stammdaten!E$29,IF(P37&lt;Bewertung_Stammdaten!F$30,Bewertung_Stammdaten!E$30,IF(P37&lt;Bewertung_Stammdaten!F$31,Bewertung_Stammdaten!E$31,IF(P37&lt;Bewertung_Stammdaten!F$32,Bewertung_Stammdaten!E$32,Bewertung_Stammdaten!E$33)))))))))</f>
        <v>9</v>
      </c>
      <c r="U37" s="53">
        <f ca="1">IF(R37&lt;Bewertung_Stammdaten!H$24,Bewertung_Stammdaten!G$24,IF(R37&lt;Bewertung_Stammdaten!H$25,Bewertung_Stammdaten!G$25,IF(R37&lt;Bewertung_Stammdaten!H$26,Bewertung_Stammdaten!G$26,IF(R37&lt;Bewertung_Stammdaten!H$27,Bewertung_Stammdaten!G$27,IF(R37&lt;Bewertung_Stammdaten!H$28,Bewertung_Stammdaten!G$28,IF(R37&lt;Bewertung_Stammdaten!H$29,Bewertung_Stammdaten!G$29,IF(R37&lt;Bewertung_Stammdaten!H$30,Bewertung_Stammdaten!G$30,IF(R37&lt;Bewertung_Stammdaten!H$31,Bewertung_Stammdaten!G$31,IF(R37&lt;Bewertung_Stammdaten!H$32,Bewertung_Stammdaten!G$32,Bewertung_Stammdaten!G$33)))))))))</f>
        <v>3</v>
      </c>
      <c r="V37" s="44"/>
      <c r="W37" s="14">
        <f ca="1">VLOOKUP(A37,Ergebnis_je_Aktie_verwässert!A3:AK68,23,FALSE)</f>
        <v>17.58388888888889</v>
      </c>
      <c r="X37" s="14">
        <f>VLOOKUP(A37,Ergebnis_je_Aktie_verwässert!A3:AK68,19,FALSE)</f>
        <v>15.629230769230768</v>
      </c>
      <c r="Y37" s="12">
        <f ca="1">VLOOKUP(A37,Ergebnis_je_Aktie_verwässert!A3:AK68,24,FALSE)</f>
        <v>0.12506425610569738</v>
      </c>
      <c r="Z37" s="41">
        <f>VLOOKUP(A37,Ergebnis_je_Aktie_verwässert!A3:AK68,37,FALSE)</f>
        <v>-0.81924787707238167</v>
      </c>
      <c r="AA37" s="16">
        <f t="shared" ca="1" si="13"/>
        <v>3.1783252459900266</v>
      </c>
      <c r="AB37" s="12">
        <f t="shared" ca="1" si="14"/>
        <v>-0.79664224727891353</v>
      </c>
      <c r="AC37" s="33">
        <f ca="1">IF(Y37&lt;Bewertung_Stammdaten!L$11,Bewertung_Stammdaten!K$11,IF(Y37&lt;Bewertung_Stammdaten!L$12,Bewertung_Stammdaten!K$12,IF(Y37&lt;Bewertung_Stammdaten!L$13,Bewertung_Stammdaten!K$13,IF(Y37&lt;Bewertung_Stammdaten!L$14,Bewertung_Stammdaten!K$14,IF(Y37&lt;Bewertung_Stammdaten!L$15,Bewertung_Stammdaten!K$15,IF(Y37&lt;Bewertung_Stammdaten!L$16,Bewertung_Stammdaten!K$16,IF(Y37&lt;Bewertung_Stammdaten!L$17,Bewertung_Stammdaten!K$17,IF(Y37&lt;Bewertung_Stammdaten!L$18,Bewertung_Stammdaten!K$18,IF(Y37&lt;Bewertung_Stammdaten!L$19,Bewertung_Stammdaten!K$19,Bewertung_Stammdaten!K$20)))))))))</f>
        <v>8</v>
      </c>
      <c r="AD37" s="33">
        <f>IF(Z37&lt;Bewertung_Stammdaten!R$11,Bewertung_Stammdaten!Q$11,IF(Z37&lt;Bewertung_Stammdaten!R$12,Bewertung_Stammdaten!Q$12,IF(Z37&lt;Bewertung_Stammdaten!R$13,Bewertung_Stammdaten!Q$13,IF(Z37&lt;Bewertung_Stammdaten!R$14,Bewertung_Stammdaten!Q$14,IF(Z37&lt;Bewertung_Stammdaten!R$15,Bewertung_Stammdaten!Q$15,IF(Z37&lt;Bewertung_Stammdaten!R$16,Bewertung_Stammdaten!Q$16,IF(Z37&lt;Bewertung_Stammdaten!R$17,Bewertung_Stammdaten!Q$17,IF(Z37&lt;Bewertung_Stammdaten!R$18,Bewertung_Stammdaten!Q$18,IF(Z37&lt;Bewertung_Stammdaten!R$19,Bewertung_Stammdaten!Q$19,Bewertung_Stammdaten!Q$20)))))))))</f>
        <v>1</v>
      </c>
      <c r="AE37" s="33">
        <f ca="1">IF(AB37&lt;Bewertung_Stammdaten!P$11,Bewertung_Stammdaten!O$11,IF(AB37&lt;Bewertung_Stammdaten!P$12,Bewertung_Stammdaten!O$12,IF(AB37&lt;Bewertung_Stammdaten!P$13,Bewertung_Stammdaten!O$13,IF(AB37&lt;Bewertung_Stammdaten!P$14,Bewertung_Stammdaten!O$14,IF(AB37&lt;Bewertung_Stammdaten!P$15,Bewertung_Stammdaten!O$15,IF(AB37&lt;Bewertung_Stammdaten!P$16,Bewertung_Stammdaten!O$16,IF(AB37&lt;Bewertung_Stammdaten!P$17,Bewertung_Stammdaten!O$17,IF(AB37&lt;Bewertung_Stammdaten!P$18,Bewertung_Stammdaten!O$18,IF(AB37&lt;Bewertung_Stammdaten!P$19,Bewertung_Stammdaten!O$19,Bewertung_Stammdaten!O$20)))))))))</f>
        <v>1</v>
      </c>
      <c r="AF37" s="44"/>
      <c r="AG37" s="14">
        <f ca="1">VLOOKUP(A37,Dividende_je_Aktie!A3:AM68,24,FALSE)</f>
        <v>2.5305555555555559</v>
      </c>
      <c r="AH37" s="14">
        <f>VLOOKUP(A37,Dividende_je_Aktie!A3:AM68,20,FALSE)</f>
        <v>1.7407142857142854</v>
      </c>
      <c r="AI37" s="12">
        <f ca="1">VLOOKUP(A37,Dividende_je_Aktie!A3:AM68,25,FALSE)</f>
        <v>0.45374549765194039</v>
      </c>
      <c r="AJ37" s="41">
        <f>VLOOKUP(A37,Dividende_je_Aktie!A3:AM68,39,FALSE)</f>
        <v>-0.24999999999999989</v>
      </c>
      <c r="AK37" s="16">
        <f t="shared" ca="1" si="6"/>
        <v>1.8979166666666671</v>
      </c>
      <c r="AL37" s="12">
        <f t="shared" ca="1" si="7"/>
        <v>9.0309123238955458E-2</v>
      </c>
      <c r="AM37" s="33">
        <f ca="1">IF(AI37&lt;Bewertung_Stammdaten!P$24,Bewertung_Stammdaten!O$24,IF(AI37&lt;Bewertung_Stammdaten!P$25,Bewertung_Stammdaten!O$25,IF(AI37&lt;Bewertung_Stammdaten!P$26,Bewertung_Stammdaten!O$26,IF(AI37&lt;Bewertung_Stammdaten!P$27,Bewertung_Stammdaten!O$27,IF(AI37&lt;Bewertung_Stammdaten!P$28,Bewertung_Stammdaten!O$28,IF(AI37&lt;Bewertung_Stammdaten!P$29,Bewertung_Stammdaten!O$29,IF(AI37&lt;Bewertung_Stammdaten!P$30,Bewertung_Stammdaten!O$30,IF(AI37&lt;Bewertung_Stammdaten!P$31,Bewertung_Stammdaten!O$31,IF(AI37&lt;Bewertung_Stammdaten!P$32,Bewertung_Stammdaten!O$32,Bewertung_Stammdaten!O$33)))))))))</f>
        <v>14</v>
      </c>
      <c r="AN37" s="33">
        <f>IF(AJ37&lt;Bewertung_Stammdaten!R$24,Bewertung_Stammdaten!Q$24,IF(AJ37&lt;Bewertung_Stammdaten!R$25,Bewertung_Stammdaten!Q$25,IF(AJ37&lt;Bewertung_Stammdaten!R$26,Bewertung_Stammdaten!Q$26,IF(AJ37&lt;Bewertung_Stammdaten!R$27,Bewertung_Stammdaten!Q$27,IF(AJ37&lt;Bewertung_Stammdaten!R$28,Bewertung_Stammdaten!Q$28,IF(AJ37&lt;Bewertung_Stammdaten!R$29,Bewertung_Stammdaten!Q$29,IF(AJ37&lt;Bewertung_Stammdaten!R$30,Bewertung_Stammdaten!Q$30,IF(AJ37&lt;Bewertung_Stammdaten!R$31,Bewertung_Stammdaten!Q$31,IF(AJ37&lt;Bewertung_Stammdaten!R$32,Bewertung_Stammdaten!Q$32,Bewertung_Stammdaten!Q$33)))))))))</f>
        <v>5</v>
      </c>
      <c r="AO37" s="33">
        <f ca="1">IF(AL37&lt;Bewertung_Stammdaten!T$24,Bewertung_Stammdaten!S$24,IF(AL37&lt;Bewertung_Stammdaten!T$25,Bewertung_Stammdaten!S$25,IF(AL37&lt;Bewertung_Stammdaten!T$26,Bewertung_Stammdaten!S$26,IF(AL37&lt;Bewertung_Stammdaten!T$27,Bewertung_Stammdaten!S$27,IF(AL37&lt;Bewertung_Stammdaten!T$28,Bewertung_Stammdaten!S$28,IF(AL37&lt;Bewertung_Stammdaten!T$29,Bewertung_Stammdaten!S$29,IF(AL37&lt;Bewertung_Stammdaten!T$30,Bewertung_Stammdaten!S$30,IF(AL37&lt;Bewertung_Stammdaten!T$31,Bewertung_Stammdaten!S$31,IF(AL37&lt;Bewertung_Stammdaten!T$32,Bewertung_Stammdaten!S$32,Bewertung_Stammdaten!S$33)))))))))</f>
        <v>5</v>
      </c>
      <c r="AP37" s="44"/>
      <c r="AQ37" s="12">
        <f ca="1">VLOOKUP(A37,Dividendenrendite!A3:R68,17,FALSE)</f>
        <v>1.336513972512705E-2</v>
      </c>
      <c r="AR37" s="12">
        <f>VLOOKUP(A37,Dividendenrendite!A3:R68,16,FALSE)</f>
        <v>1.0909779213076719E-2</v>
      </c>
      <c r="AS37" s="12">
        <f ca="1">VLOOKUP(A37,Dividendenrendite!A3:R68,18,FALSE)</f>
        <v>0.22506051351683443</v>
      </c>
      <c r="AT37" s="33">
        <f ca="1">IF(AQ37&lt;Bewertung_Stammdaten!D$11,Bewertung_Stammdaten!C$11,IF(AQ37&lt;Bewertung_Stammdaten!D$12,Bewertung_Stammdaten!C$12,IF(AQ37&lt;Bewertung_Stammdaten!D$13,Bewertung_Stammdaten!C$13,IF(AQ37&lt;Bewertung_Stammdaten!D$14,Bewertung_Stammdaten!C$14,IF(AQ37&lt;Bewertung_Stammdaten!D$15,Bewertung_Stammdaten!C$15,IF(AQ37&lt;Bewertung_Stammdaten!D$16,Bewertung_Stammdaten!C$16,IF(AQ37&lt;Bewertung_Stammdaten!D$17,Bewertung_Stammdaten!C$17,IF(AQ37&lt;Bewertung_Stammdaten!D$18,Bewertung_Stammdaten!C$18,IF(AQ37&lt;Bewertung_Stammdaten!D$19,Bewertung_Stammdaten!C$19,Bewertung_Stammdaten!C$20)))))))))</f>
        <v>4.5</v>
      </c>
      <c r="AU37" s="33">
        <f>IF(AR37&lt;Bewertung_Stammdaten!T$11,Bewertung_Stammdaten!S$11,IF(AR37&lt;Bewertung_Stammdaten!T$12,Bewertung_Stammdaten!S$12,IF(AR37&lt;Bewertung_Stammdaten!T$13,Bewertung_Stammdaten!S$13,IF(AR37&lt;Bewertung_Stammdaten!T$14,Bewertung_Stammdaten!S$14,IF(AR37&lt;Bewertung_Stammdaten!T$15,Bewertung_Stammdaten!S$15,IF(AR37&lt;Bewertung_Stammdaten!T$16,Bewertung_Stammdaten!S$16,IF(AR37&lt;Bewertung_Stammdaten!T$17,Bewertung_Stammdaten!S$17,IF(AR37&lt;Bewertung_Stammdaten!T$18,Bewertung_Stammdaten!S$18,IF(AR37&lt;Bewertung_Stammdaten!T$19,Bewertung_Stammdaten!S$19,Bewertung_Stammdaten!S$20)))))))))</f>
        <v>3</v>
      </c>
      <c r="AV37" s="33">
        <f ca="1">IF(AS37&lt;Bewertung_Stammdaten!F$11,Bewertung_Stammdaten!E$11,IF(AS37&lt;Bewertung_Stammdaten!F$12,Bewertung_Stammdaten!E$12,IF(AS37&lt;Bewertung_Stammdaten!F$13,Bewertung_Stammdaten!E$13,IF(AS37&lt;Bewertung_Stammdaten!F$14,Bewertung_Stammdaten!E$14,IF(AS37&lt;Bewertung_Stammdaten!F$15,Bewertung_Stammdaten!E$15,IF(AS37&lt;Bewertung_Stammdaten!F$16,Bewertung_Stammdaten!E$16,IF(AS37&lt;Bewertung_Stammdaten!F$17,Bewertung_Stammdaten!E$17,IF(AS37&lt;Bewertung_Stammdaten!F$18,Bewertung_Stammdaten!E$18,IF(AS37&lt;Bewertung_Stammdaten!F$19,Bewertung_Stammdaten!E$19,Bewertung_Stammdaten!E$20)))))))))</f>
        <v>5</v>
      </c>
      <c r="AW37" s="44"/>
      <c r="AX37" s="12">
        <f>VLOOKUP(A37,Aktien_im_Umlauf_splitbereinigt!A3:Z68,26,FALSE)</f>
        <v>-3.6069540281387313E-2</v>
      </c>
      <c r="AY37" s="12">
        <f>VLOOKUP(A37,Aktien_im_Umlauf_splitbereinigt!A3:Y68,24,FALSE)</f>
        <v>1.2891723172927527E-3</v>
      </c>
      <c r="AZ37" s="12">
        <f>VLOOKUP(A37,Aktien_im_Umlauf_splitbereinigt!A3:Y68,25,FALSE)</f>
        <v>28.978835565700745</v>
      </c>
      <c r="BA37" s="42">
        <f>IF(AX37&lt;Bewertung_Stammdaten!J$24,Bewertung_Stammdaten!I$24,IF(AX37&lt;Bewertung_Stammdaten!J$25,Bewertung_Stammdaten!I$25,IF(AX37&lt;Bewertung_Stammdaten!J$26,Bewertung_Stammdaten!I$26,IF(AX37&lt;Bewertung_Stammdaten!J$27,Bewertung_Stammdaten!I$27,IF(AX37&lt;Bewertung_Stammdaten!J$28,Bewertung_Stammdaten!I$28,IF(AX37&lt;Bewertung_Stammdaten!J$29,Bewertung_Stammdaten!I$29,IF(AX37&lt;Bewertung_Stammdaten!J$30,Bewertung_Stammdaten!I$30,IF(AX37&lt;Bewertung_Stammdaten!J$31,Bewertung_Stammdaten!I$31,IF(AX37&lt;Bewertung_Stammdaten!J$32,Bewertung_Stammdaten!I$32,Bewertung_Stammdaten!I$33)))))))))</f>
        <v>10</v>
      </c>
      <c r="BB37" s="42">
        <f>IF(AY37&lt;Bewertung_Stammdaten!L$24,Bewertung_Stammdaten!K$24,IF(AY37&lt;Bewertung_Stammdaten!L$25,Bewertung_Stammdaten!K$25,IF(AY37&lt;Bewertung_Stammdaten!L$26,Bewertung_Stammdaten!K$26,IF(AY37&lt;Bewertung_Stammdaten!L$27,Bewertung_Stammdaten!K$27,IF(AY37&lt;Bewertung_Stammdaten!L$28,Bewertung_Stammdaten!K$28,IF(AY37&lt;Bewertung_Stammdaten!L$29,Bewertung_Stammdaten!K$29,IF(AY37&lt;Bewertung_Stammdaten!L$30,Bewertung_Stammdaten!K$30,IF(AY37&lt;Bewertung_Stammdaten!L$31,Bewertung_Stammdaten!K$31,IF(AY37&lt;Bewertung_Stammdaten!L$32,Bewertung_Stammdaten!K$32,Bewertung_Stammdaten!K$33)))))))))</f>
        <v>2</v>
      </c>
      <c r="BC37" s="42">
        <f>IF(AZ37&lt;Bewertung_Stammdaten!N$24,Bewertung_Stammdaten!M$24,IF(AZ37&lt;Bewertung_Stammdaten!N$25,Bewertung_Stammdaten!M$25,IF(AZ37&lt;Bewertung_Stammdaten!N$26,Bewertung_Stammdaten!M$26,IF(AZ37&lt;Bewertung_Stammdaten!N$27,Bewertung_Stammdaten!M$27,IF(AZ37&lt;Bewertung_Stammdaten!N$28,Bewertung_Stammdaten!M$28,IF(AZ37&lt;Bewertung_Stammdaten!N$29,Bewertung_Stammdaten!M$29,IF(AZ37&lt;Bewertung_Stammdaten!N$30,Bewertung_Stammdaten!M$30,IF(AZ37&lt;Bewertung_Stammdaten!N$31,Bewertung_Stammdaten!M$31,IF(AZ37&lt;Bewertung_Stammdaten!N$32,Bewertung_Stammdaten!M$32,Bewertung_Stammdaten!M$33)))))))))</f>
        <v>5</v>
      </c>
      <c r="BD37" s="44"/>
      <c r="BE37" s="12">
        <f ca="1">VLOOKUP(A37,Ausschüttungsquote!A3:X68,23,FALSE)</f>
        <v>0.1439143389007381</v>
      </c>
      <c r="BF37" s="12">
        <f>VLOOKUP(A37,Ausschüttungsquote!A3:X68,19,FALSE)</f>
        <v>0.140036147546798</v>
      </c>
      <c r="BG37" s="12">
        <f ca="1">VLOOKUP(A37,Ausschüttungsquote!A3:X68,24,FALSE)</f>
        <v>2.7694216256870963E-2</v>
      </c>
      <c r="BH37" s="33">
        <f ca="1">IF(BE37&lt;Bewertung_Stammdaten!H$11,Bewertung_Stammdaten!G$11,IF(BE37&lt;Bewertung_Stammdaten!H$12,Bewertung_Stammdaten!G$12,IF(BE37&lt;Bewertung_Stammdaten!H$13,Bewertung_Stammdaten!G$13,IF(BE37&lt;Bewertung_Stammdaten!H$14,Bewertung_Stammdaten!G$14,IF(BE37&lt;Bewertung_Stammdaten!H$15,Bewertung_Stammdaten!G$15,IF(BE37&lt;Bewertung_Stammdaten!H$16,Bewertung_Stammdaten!G$16,IF(BE37&lt;Bewertung_Stammdaten!H$17,Bewertung_Stammdaten!G$17,IF(BE37&lt;Bewertung_Stammdaten!H$18,Bewertung_Stammdaten!G$18,IF(BE37&lt;Bewertung_Stammdaten!H$19,Bewertung_Stammdaten!G$19,Bewertung_Stammdaten!G$20)))))))))</f>
        <v>10</v>
      </c>
      <c r="BI37" s="42">
        <f>IF(BF37&lt;Bewertung_Stammdaten!B$24,Bewertung_Stammdaten!A$24,IF(BF37&lt;Bewertung_Stammdaten!B$25,Bewertung_Stammdaten!A$25,IF(BF37&lt;Bewertung_Stammdaten!B$26,Bewertung_Stammdaten!A$26,IF(BF37&lt;Bewertung_Stammdaten!B$27,Bewertung_Stammdaten!A$27,IF(BF37&lt;Bewertung_Stammdaten!B$28,Bewertung_Stammdaten!A$28,IF(BF37&lt;Bewertung_Stammdaten!B$29,Bewertung_Stammdaten!A$29,IF(BF37&lt;Bewertung_Stammdaten!B$30,Bewertung_Stammdaten!A$30,IF(BF37&lt;Bewertung_Stammdaten!B$31,Bewertung_Stammdaten!A$31,IF(BF37&lt;Bewertung_Stammdaten!B$32,Bewertung_Stammdaten!A$32,Bewertung_Stammdaten!A$33)))))))))</f>
        <v>10</v>
      </c>
      <c r="BJ37" s="33">
        <f ca="1">IF(BG37&lt;Bewertung_Stammdaten!J$11,Bewertung_Stammdaten!I$11,IF(BG37&lt;Bewertung_Stammdaten!J$12,Bewertung_Stammdaten!I$12,IF(BG37&lt;Bewertung_Stammdaten!J$13,Bewertung_Stammdaten!I$13,IF(BG37&lt;Bewertung_Stammdaten!J$14,Bewertung_Stammdaten!I$14,IF(BG37&lt;Bewertung_Stammdaten!J$15,Bewertung_Stammdaten!I$15,IF(BG37&lt;Bewertung_Stammdaten!J$16,Bewertung_Stammdaten!I$16,IF(BG37&lt;Bewertung_Stammdaten!J$17,Bewertung_Stammdaten!I$17,IF(BG37&lt;Bewertung_Stammdaten!J$18,Bewertung_Stammdaten!I$18,IF(BG37&lt;Bewertung_Stammdaten!J$19,Bewertung_Stammdaten!I$19,Bewertung_Stammdaten!I$20)))))))))</f>
        <v>5</v>
      </c>
    </row>
    <row r="38" spans="1:62" x14ac:dyDescent="0.25">
      <c r="A38" s="39" t="s">
        <v>70</v>
      </c>
      <c r="B38" s="39" t="s">
        <v>71</v>
      </c>
      <c r="C38" s="33">
        <f t="shared" ca="1" si="8"/>
        <v>169</v>
      </c>
      <c r="D38" s="44"/>
      <c r="E38" s="11">
        <f ca="1">VLOOKUP(A38,KGV!A3:R68,17,FALSE)</f>
        <v>10.256652693394395</v>
      </c>
      <c r="F38" s="11">
        <f>VLOOKUP(A38,KGV!A3:R68,16,FALSE)</f>
        <v>12.031430404105196</v>
      </c>
      <c r="G38" s="12">
        <f ca="1">VLOOKUP(A38,KGV!A3:R68,18,FALSE)</f>
        <v>-0.147511779655496</v>
      </c>
      <c r="H38" s="16">
        <f t="shared" ca="1" si="9"/>
        <v>10.73162520067239</v>
      </c>
      <c r="I38" s="12">
        <f t="shared" ca="1" si="10"/>
        <v>-0.10803413723685795</v>
      </c>
      <c r="J38" s="33">
        <f ca="1">IF(G38&lt;Bewertung_Stammdaten!B$11,Bewertung_Stammdaten!A$11,IF(G38&lt;Bewertung_Stammdaten!B$12,Bewertung_Stammdaten!A$12,IF(G38&lt;Bewertung_Stammdaten!B$13,Bewertung_Stammdaten!A$13,IF(G38&lt;Bewertung_Stammdaten!B$14,Bewertung_Stammdaten!A$14,IF(G38&lt;Bewertung_Stammdaten!B$15,Bewertung_Stammdaten!A$15,IF(G38&lt;Bewertung_Stammdaten!B$16,Bewertung_Stammdaten!A$16,IF(G38&lt;Bewertung_Stammdaten!B$17,Bewertung_Stammdaten!A$17,IF(G38&lt;Bewertung_Stammdaten!B$18,Bewertung_Stammdaten!A$18,IF(G38&lt;Bewertung_Stammdaten!B$19,Bewertung_Stammdaten!A$19,Bewertung_Stammdaten!A$20)))))))))</f>
        <v>27</v>
      </c>
      <c r="K38" s="33">
        <f ca="1">IF(I38&lt;Bewertung_Stammdaten!N$11,Bewertung_Stammdaten!M$11,IF(I38&lt;Bewertung_Stammdaten!N$12,Bewertung_Stammdaten!M$12,IF(I38&lt;Bewertung_Stammdaten!N$13,Bewertung_Stammdaten!M$13,IF(I38&lt;Bewertung_Stammdaten!N$14,Bewertung_Stammdaten!M$14,IF(I38&lt;Bewertung_Stammdaten!N$15,Bewertung_Stammdaten!M$15,IF(I38&lt;Bewertung_Stammdaten!N$16,Bewertung_Stammdaten!M$16,IF(I38&lt;Bewertung_Stammdaten!N$17,Bewertung_Stammdaten!M$17,IF(I38&lt;Bewertung_Stammdaten!N$18,Bewertung_Stammdaten!M$18,IF(I38&lt;Bewertung_Stammdaten!N$19,Bewertung_Stammdaten!M$19,Bewertung_Stammdaten!M$20)))))))))</f>
        <v>15</v>
      </c>
      <c r="L38" s="44"/>
      <c r="M38" s="11">
        <f ca="1">VLOOKUP(A38,Buchwert_je_Aktie!A3:AK68,23,FALSE)</f>
        <v>20.257222222222222</v>
      </c>
      <c r="N38" s="11">
        <f>VLOOKUP(A38,Buchwert_je_Aktie!A3:AK68,19,FALSE)</f>
        <v>20.122307692307693</v>
      </c>
      <c r="O38" s="12">
        <f ca="1">VLOOKUP(A38,Buchwert_je_Aktie!A3:AK68,24,FALSE)</f>
        <v>6.7047245265066113E-3</v>
      </c>
      <c r="P38" s="12">
        <f>VLOOKUP(A38,Buchwert_je_Aktie!A3:AK68,37,FALSE)</f>
        <v>-0.44229885057471263</v>
      </c>
      <c r="Q38" s="16">
        <f t="shared" ca="1" si="11"/>
        <v>11.297476117496807</v>
      </c>
      <c r="R38" s="12">
        <f t="shared" ca="1" si="12"/>
        <v>-0.4385596179997</v>
      </c>
      <c r="S38" s="53">
        <f ca="1">IF(O38&lt;Bewertung_Stammdaten!D$24,Bewertung_Stammdaten!C$24,IF(O38&lt;Bewertung_Stammdaten!D$25,Bewertung_Stammdaten!C$25,IF(O38&lt;Bewertung_Stammdaten!D$26,Bewertung_Stammdaten!C$26,IF(O38&lt;Bewertung_Stammdaten!D$27,Bewertung_Stammdaten!C$27,IF(O38&lt;Bewertung_Stammdaten!D$28,Bewertung_Stammdaten!C$28,IF(O38&lt;Bewertung_Stammdaten!D$29,Bewertung_Stammdaten!C$29,IF(O38&lt;Bewertung_Stammdaten!D$30,Bewertung_Stammdaten!C$30,IF(O38&lt;Bewertung_Stammdaten!D$31,Bewertung_Stammdaten!C$31,IF(O38&lt;Bewertung_Stammdaten!D$32,Bewertung_Stammdaten!C$32,Bewertung_Stammdaten!C$33)))))))))</f>
        <v>4.5</v>
      </c>
      <c r="T38" s="53">
        <f>IF(P38&lt;Bewertung_Stammdaten!F$24,Bewertung_Stammdaten!E$24,IF(P38&lt;Bewertung_Stammdaten!F$25,Bewertung_Stammdaten!E$25,IF(P38&lt;Bewertung_Stammdaten!F$26,Bewertung_Stammdaten!E$26,IF(P38&lt;Bewertung_Stammdaten!F$27,Bewertung_Stammdaten!E$27,IF(P38&lt;Bewertung_Stammdaten!F$28,Bewertung_Stammdaten!E$28,IF(P38&lt;Bewertung_Stammdaten!F$29,Bewertung_Stammdaten!E$29,IF(P38&lt;Bewertung_Stammdaten!F$30,Bewertung_Stammdaten!E$30,IF(P38&lt;Bewertung_Stammdaten!F$31,Bewertung_Stammdaten!E$31,IF(P38&lt;Bewertung_Stammdaten!F$32,Bewertung_Stammdaten!E$32,Bewertung_Stammdaten!E$33)))))))))</f>
        <v>1.5</v>
      </c>
      <c r="U38" s="53">
        <f ca="1">IF(R38&lt;Bewertung_Stammdaten!H$24,Bewertung_Stammdaten!G$24,IF(R38&lt;Bewertung_Stammdaten!H$25,Bewertung_Stammdaten!G$25,IF(R38&lt;Bewertung_Stammdaten!H$26,Bewertung_Stammdaten!G$26,IF(R38&lt;Bewertung_Stammdaten!H$27,Bewertung_Stammdaten!G$27,IF(R38&lt;Bewertung_Stammdaten!H$28,Bewertung_Stammdaten!G$28,IF(R38&lt;Bewertung_Stammdaten!H$29,Bewertung_Stammdaten!G$29,IF(R38&lt;Bewertung_Stammdaten!H$30,Bewertung_Stammdaten!G$30,IF(R38&lt;Bewertung_Stammdaten!H$31,Bewertung_Stammdaten!G$31,IF(R38&lt;Bewertung_Stammdaten!H$32,Bewertung_Stammdaten!G$32,Bewertung_Stammdaten!G$33)))))))))</f>
        <v>1</v>
      </c>
      <c r="V38" s="44"/>
      <c r="W38" s="14">
        <f ca="1">VLOOKUP(A38,Ergebnis_je_Aktie_verwässert!A3:AK68,23,FALSE)</f>
        <v>15.041944444444447</v>
      </c>
      <c r="X38" s="14">
        <f>VLOOKUP(A38,Ergebnis_je_Aktie_verwässert!A3:AK68,19,FALSE)</f>
        <v>11.906923076923078</v>
      </c>
      <c r="Y38" s="12">
        <f ca="1">VLOOKUP(A38,Ergebnis_je_Aktie_verwässert!A3:AK68,24,FALSE)</f>
        <v>0.26329399688466815</v>
      </c>
      <c r="Z38" s="41">
        <f>VLOOKUP(A38,Ergebnis_je_Aktie_verwässert!A3:AK68,37,FALSE)</f>
        <v>-4.4259140474663172E-2</v>
      </c>
      <c r="AA38" s="16">
        <f t="shared" ca="1" si="13"/>
        <v>14.3762009122657</v>
      </c>
      <c r="AB38" s="12">
        <f t="shared" ca="1" si="14"/>
        <v>0.20738169041575083</v>
      </c>
      <c r="AC38" s="33">
        <f ca="1">IF(Y38&lt;Bewertung_Stammdaten!L$11,Bewertung_Stammdaten!K$11,IF(Y38&lt;Bewertung_Stammdaten!L$12,Bewertung_Stammdaten!K$12,IF(Y38&lt;Bewertung_Stammdaten!L$13,Bewertung_Stammdaten!K$13,IF(Y38&lt;Bewertung_Stammdaten!L$14,Bewertung_Stammdaten!K$14,IF(Y38&lt;Bewertung_Stammdaten!L$15,Bewertung_Stammdaten!K$15,IF(Y38&lt;Bewertung_Stammdaten!L$16,Bewertung_Stammdaten!K$16,IF(Y38&lt;Bewertung_Stammdaten!L$17,Bewertung_Stammdaten!K$17,IF(Y38&lt;Bewertung_Stammdaten!L$18,Bewertung_Stammdaten!K$18,IF(Y38&lt;Bewertung_Stammdaten!L$19,Bewertung_Stammdaten!K$19,Bewertung_Stammdaten!K$20)))))))))</f>
        <v>10</v>
      </c>
      <c r="AD38" s="33">
        <f>IF(Z38&lt;Bewertung_Stammdaten!R$11,Bewertung_Stammdaten!Q$11,IF(Z38&lt;Bewertung_Stammdaten!R$12,Bewertung_Stammdaten!Q$12,IF(Z38&lt;Bewertung_Stammdaten!R$13,Bewertung_Stammdaten!Q$13,IF(Z38&lt;Bewertung_Stammdaten!R$14,Bewertung_Stammdaten!Q$14,IF(Z38&lt;Bewertung_Stammdaten!R$15,Bewertung_Stammdaten!Q$15,IF(Z38&lt;Bewertung_Stammdaten!R$16,Bewertung_Stammdaten!Q$16,IF(Z38&lt;Bewertung_Stammdaten!R$17,Bewertung_Stammdaten!Q$17,IF(Z38&lt;Bewertung_Stammdaten!R$18,Bewertung_Stammdaten!Q$18,IF(Z38&lt;Bewertung_Stammdaten!R$19,Bewertung_Stammdaten!Q$19,Bewertung_Stammdaten!Q$20)))))))))</f>
        <v>7</v>
      </c>
      <c r="AE38" s="33">
        <f ca="1">IF(AB38&lt;Bewertung_Stammdaten!P$11,Bewertung_Stammdaten!O$11,IF(AB38&lt;Bewertung_Stammdaten!P$12,Bewertung_Stammdaten!O$12,IF(AB38&lt;Bewertung_Stammdaten!P$13,Bewertung_Stammdaten!O$13,IF(AB38&lt;Bewertung_Stammdaten!P$14,Bewertung_Stammdaten!O$14,IF(AB38&lt;Bewertung_Stammdaten!P$15,Bewertung_Stammdaten!O$15,IF(AB38&lt;Bewertung_Stammdaten!P$16,Bewertung_Stammdaten!O$16,IF(AB38&lt;Bewertung_Stammdaten!P$17,Bewertung_Stammdaten!O$17,IF(AB38&lt;Bewertung_Stammdaten!P$18,Bewertung_Stammdaten!O$18,IF(AB38&lt;Bewertung_Stammdaten!P$19,Bewertung_Stammdaten!O$19,Bewertung_Stammdaten!O$20)))))))))</f>
        <v>6</v>
      </c>
      <c r="AF38" s="44"/>
      <c r="AG38" s="14">
        <f ca="1">VLOOKUP(A38,Dividende_je_Aktie!A3:AM68,24,FALSE)</f>
        <v>4.6088055555555556</v>
      </c>
      <c r="AH38" s="14">
        <f>VLOOKUP(A38,Dividende_je_Aktie!A3:AM68,20,FALSE)</f>
        <v>2.7785714285714289</v>
      </c>
      <c r="AI38" s="12">
        <f ca="1">VLOOKUP(A38,Dividende_je_Aktie!A3:AM68,25,FALSE)</f>
        <v>0.65869608683233349</v>
      </c>
      <c r="AJ38" s="41">
        <f>VLOOKUP(A38,Dividende_je_Aktie!A3:AM68,39,FALSE)</f>
        <v>-2.2727272727272596E-2</v>
      </c>
      <c r="AK38" s="16">
        <f t="shared" ca="1" si="6"/>
        <v>4.5040599747474754</v>
      </c>
      <c r="AL38" s="12">
        <f t="shared" ca="1" si="7"/>
        <v>0.62099844849523511</v>
      </c>
      <c r="AM38" s="33">
        <f ca="1">IF(AI38&lt;Bewertung_Stammdaten!P$24,Bewertung_Stammdaten!O$24,IF(AI38&lt;Bewertung_Stammdaten!P$25,Bewertung_Stammdaten!O$25,IF(AI38&lt;Bewertung_Stammdaten!P$26,Bewertung_Stammdaten!O$26,IF(AI38&lt;Bewertung_Stammdaten!P$27,Bewertung_Stammdaten!O$27,IF(AI38&lt;Bewertung_Stammdaten!P$28,Bewertung_Stammdaten!O$28,IF(AI38&lt;Bewertung_Stammdaten!P$29,Bewertung_Stammdaten!O$29,IF(AI38&lt;Bewertung_Stammdaten!P$30,Bewertung_Stammdaten!O$30,IF(AI38&lt;Bewertung_Stammdaten!P$31,Bewertung_Stammdaten!O$31,IF(AI38&lt;Bewertung_Stammdaten!P$32,Bewertung_Stammdaten!O$32,Bewertung_Stammdaten!O$33)))))))))</f>
        <v>18</v>
      </c>
      <c r="AN38" s="33">
        <f>IF(AJ38&lt;Bewertung_Stammdaten!R$24,Bewertung_Stammdaten!Q$24,IF(AJ38&lt;Bewertung_Stammdaten!R$25,Bewertung_Stammdaten!Q$25,IF(AJ38&lt;Bewertung_Stammdaten!R$26,Bewertung_Stammdaten!Q$26,IF(AJ38&lt;Bewertung_Stammdaten!R$27,Bewertung_Stammdaten!Q$27,IF(AJ38&lt;Bewertung_Stammdaten!R$28,Bewertung_Stammdaten!Q$28,IF(AJ38&lt;Bewertung_Stammdaten!R$29,Bewertung_Stammdaten!Q$29,IF(AJ38&lt;Bewertung_Stammdaten!R$30,Bewertung_Stammdaten!Q$30,IF(AJ38&lt;Bewertung_Stammdaten!R$31,Bewertung_Stammdaten!Q$31,IF(AJ38&lt;Bewertung_Stammdaten!R$32,Bewertung_Stammdaten!Q$32,Bewertung_Stammdaten!Q$33)))))))))</f>
        <v>7</v>
      </c>
      <c r="AO38" s="33">
        <f ca="1">IF(AL38&lt;Bewertung_Stammdaten!T$24,Bewertung_Stammdaten!S$24,IF(AL38&lt;Bewertung_Stammdaten!T$25,Bewertung_Stammdaten!S$25,IF(AL38&lt;Bewertung_Stammdaten!T$26,Bewertung_Stammdaten!S$26,IF(AL38&lt;Bewertung_Stammdaten!T$27,Bewertung_Stammdaten!S$27,IF(AL38&lt;Bewertung_Stammdaten!T$28,Bewertung_Stammdaten!S$28,IF(AL38&lt;Bewertung_Stammdaten!T$29,Bewertung_Stammdaten!S$29,IF(AL38&lt;Bewertung_Stammdaten!T$30,Bewertung_Stammdaten!S$30,IF(AL38&lt;Bewertung_Stammdaten!T$31,Bewertung_Stammdaten!S$31,IF(AL38&lt;Bewertung_Stammdaten!T$32,Bewertung_Stammdaten!S$32,Bewertung_Stammdaten!S$33)))))))))</f>
        <v>10</v>
      </c>
      <c r="AP38" s="44"/>
      <c r="AQ38" s="12">
        <f ca="1">VLOOKUP(A38,Dividendenrendite!A3:R68,17,FALSE)</f>
        <v>2.9872994267277388E-2</v>
      </c>
      <c r="AR38" s="12">
        <f>VLOOKUP(A38,Dividendenrendite!A3:R68,16,FALSE)</f>
        <v>1.8298547144306308E-2</v>
      </c>
      <c r="AS38" s="12">
        <f ca="1">VLOOKUP(A38,Dividendenrendite!A3:R68,18,FALSE)</f>
        <v>0.63253366683663348</v>
      </c>
      <c r="AT38" s="33">
        <f ca="1">IF(AQ38&lt;Bewertung_Stammdaten!D$11,Bewertung_Stammdaten!C$11,IF(AQ38&lt;Bewertung_Stammdaten!D$12,Bewertung_Stammdaten!C$12,IF(AQ38&lt;Bewertung_Stammdaten!D$13,Bewertung_Stammdaten!C$13,IF(AQ38&lt;Bewertung_Stammdaten!D$14,Bewertung_Stammdaten!C$14,IF(AQ38&lt;Bewertung_Stammdaten!D$15,Bewertung_Stammdaten!C$15,IF(AQ38&lt;Bewertung_Stammdaten!D$16,Bewertung_Stammdaten!C$16,IF(AQ38&lt;Bewertung_Stammdaten!D$17,Bewertung_Stammdaten!C$17,IF(AQ38&lt;Bewertung_Stammdaten!D$18,Bewertung_Stammdaten!C$18,IF(AQ38&lt;Bewertung_Stammdaten!D$19,Bewertung_Stammdaten!C$19,Bewertung_Stammdaten!C$20)))))))))</f>
        <v>9</v>
      </c>
      <c r="AU38" s="33">
        <f>IF(AR38&lt;Bewertung_Stammdaten!T$11,Bewertung_Stammdaten!S$11,IF(AR38&lt;Bewertung_Stammdaten!T$12,Bewertung_Stammdaten!S$12,IF(AR38&lt;Bewertung_Stammdaten!T$13,Bewertung_Stammdaten!S$13,IF(AR38&lt;Bewertung_Stammdaten!T$14,Bewertung_Stammdaten!S$14,IF(AR38&lt;Bewertung_Stammdaten!T$15,Bewertung_Stammdaten!S$15,IF(AR38&lt;Bewertung_Stammdaten!T$16,Bewertung_Stammdaten!S$16,IF(AR38&lt;Bewertung_Stammdaten!T$17,Bewertung_Stammdaten!S$17,IF(AR38&lt;Bewertung_Stammdaten!T$18,Bewertung_Stammdaten!S$18,IF(AR38&lt;Bewertung_Stammdaten!T$19,Bewertung_Stammdaten!S$19,Bewertung_Stammdaten!S$20)))))))))</f>
        <v>4</v>
      </c>
      <c r="AV38" s="33">
        <f ca="1">IF(AS38&lt;Bewertung_Stammdaten!F$11,Bewertung_Stammdaten!E$11,IF(AS38&lt;Bewertung_Stammdaten!F$12,Bewertung_Stammdaten!E$12,IF(AS38&lt;Bewertung_Stammdaten!F$13,Bewertung_Stammdaten!E$13,IF(AS38&lt;Bewertung_Stammdaten!F$14,Bewertung_Stammdaten!E$14,IF(AS38&lt;Bewertung_Stammdaten!F$15,Bewertung_Stammdaten!E$15,IF(AS38&lt;Bewertung_Stammdaten!F$16,Bewertung_Stammdaten!E$16,IF(AS38&lt;Bewertung_Stammdaten!F$17,Bewertung_Stammdaten!E$17,IF(AS38&lt;Bewertung_Stammdaten!F$18,Bewertung_Stammdaten!E$18,IF(AS38&lt;Bewertung_Stammdaten!F$19,Bewertung_Stammdaten!E$19,Bewertung_Stammdaten!E$20)))))))))</f>
        <v>5</v>
      </c>
      <c r="AW38" s="44"/>
      <c r="AX38" s="12">
        <f>VLOOKUP(A38,Aktien_im_Umlauf_splitbereinigt!A3:Z68,26,FALSE)</f>
        <v>-6.0227703984819803E-2</v>
      </c>
      <c r="AY38" s="12">
        <f>VLOOKUP(A38,Aktien_im_Umlauf_splitbereinigt!A3:Y68,24,FALSE)</f>
        <v>-5.001826663670414E-2</v>
      </c>
      <c r="AZ38" s="12">
        <f>VLOOKUP(A38,Aktien_im_Umlauf_splitbereinigt!A3:Y68,25,FALSE)</f>
        <v>0.20411417737182891</v>
      </c>
      <c r="BA38" s="42">
        <f>IF(AX38&lt;Bewertung_Stammdaten!J$24,Bewertung_Stammdaten!I$24,IF(AX38&lt;Bewertung_Stammdaten!J$25,Bewertung_Stammdaten!I$25,IF(AX38&lt;Bewertung_Stammdaten!J$26,Bewertung_Stammdaten!I$26,IF(AX38&lt;Bewertung_Stammdaten!J$27,Bewertung_Stammdaten!I$27,IF(AX38&lt;Bewertung_Stammdaten!J$28,Bewertung_Stammdaten!I$28,IF(AX38&lt;Bewertung_Stammdaten!J$29,Bewertung_Stammdaten!I$29,IF(AX38&lt;Bewertung_Stammdaten!J$30,Bewertung_Stammdaten!I$30,IF(AX38&lt;Bewertung_Stammdaten!J$31,Bewertung_Stammdaten!I$31,IF(AX38&lt;Bewertung_Stammdaten!J$32,Bewertung_Stammdaten!I$32,Bewertung_Stammdaten!I$33)))))))))</f>
        <v>10</v>
      </c>
      <c r="BB38" s="42">
        <f>IF(AY38&lt;Bewertung_Stammdaten!L$24,Bewertung_Stammdaten!K$24,IF(AY38&lt;Bewertung_Stammdaten!L$25,Bewertung_Stammdaten!K$25,IF(AY38&lt;Bewertung_Stammdaten!L$26,Bewertung_Stammdaten!K$26,IF(AY38&lt;Bewertung_Stammdaten!L$27,Bewertung_Stammdaten!K$27,IF(AY38&lt;Bewertung_Stammdaten!L$28,Bewertung_Stammdaten!K$28,IF(AY38&lt;Bewertung_Stammdaten!L$29,Bewertung_Stammdaten!K$29,IF(AY38&lt;Bewertung_Stammdaten!L$30,Bewertung_Stammdaten!K$30,IF(AY38&lt;Bewertung_Stammdaten!L$31,Bewertung_Stammdaten!K$31,IF(AY38&lt;Bewertung_Stammdaten!L$32,Bewertung_Stammdaten!K$32,Bewertung_Stammdaten!K$33)))))))))</f>
        <v>10</v>
      </c>
      <c r="BC38" s="42">
        <f>IF(AZ38&lt;Bewertung_Stammdaten!N$24,Bewertung_Stammdaten!M$24,IF(AZ38&lt;Bewertung_Stammdaten!N$25,Bewertung_Stammdaten!M$25,IF(AZ38&lt;Bewertung_Stammdaten!N$26,Bewertung_Stammdaten!M$26,IF(AZ38&lt;Bewertung_Stammdaten!N$27,Bewertung_Stammdaten!M$27,IF(AZ38&lt;Bewertung_Stammdaten!N$28,Bewertung_Stammdaten!M$28,IF(AZ38&lt;Bewertung_Stammdaten!N$29,Bewertung_Stammdaten!M$29,IF(AZ38&lt;Bewertung_Stammdaten!N$30,Bewertung_Stammdaten!M$30,IF(AZ38&lt;Bewertung_Stammdaten!N$31,Bewertung_Stammdaten!M$31,IF(AZ38&lt;Bewertung_Stammdaten!N$32,Bewertung_Stammdaten!M$32,Bewertung_Stammdaten!M$33)))))))))</f>
        <v>3</v>
      </c>
      <c r="BD38" s="44"/>
      <c r="BE38" s="12">
        <f ca="1">VLOOKUP(A38,Ausschüttungsquote!A3:X68,23,FALSE)</f>
        <v>0.30636015985009274</v>
      </c>
      <c r="BF38" s="12">
        <f>VLOOKUP(A38,Ausschüttungsquote!A3:X68,19,FALSE)</f>
        <v>0.23447459924334874</v>
      </c>
      <c r="BG38" s="12">
        <f ca="1">VLOOKUP(A38,Ausschüttungsquote!A3:X68,24,FALSE)</f>
        <v>0.30658144139586652</v>
      </c>
      <c r="BH38" s="33">
        <f ca="1">IF(BE38&lt;Bewertung_Stammdaten!H$11,Bewertung_Stammdaten!G$11,IF(BE38&lt;Bewertung_Stammdaten!H$12,Bewertung_Stammdaten!G$12,IF(BE38&lt;Bewertung_Stammdaten!H$13,Bewertung_Stammdaten!G$13,IF(BE38&lt;Bewertung_Stammdaten!H$14,Bewertung_Stammdaten!G$14,IF(BE38&lt;Bewertung_Stammdaten!H$15,Bewertung_Stammdaten!G$15,IF(BE38&lt;Bewertung_Stammdaten!H$16,Bewertung_Stammdaten!G$16,IF(BE38&lt;Bewertung_Stammdaten!H$17,Bewertung_Stammdaten!G$17,IF(BE38&lt;Bewertung_Stammdaten!H$18,Bewertung_Stammdaten!G$18,IF(BE38&lt;Bewertung_Stammdaten!H$19,Bewertung_Stammdaten!G$19,Bewertung_Stammdaten!G$20)))))))))</f>
        <v>10</v>
      </c>
      <c r="BI38" s="42">
        <f>IF(BF38&lt;Bewertung_Stammdaten!B$24,Bewertung_Stammdaten!A$24,IF(BF38&lt;Bewertung_Stammdaten!B$25,Bewertung_Stammdaten!A$25,IF(BF38&lt;Bewertung_Stammdaten!B$26,Bewertung_Stammdaten!A$26,IF(BF38&lt;Bewertung_Stammdaten!B$27,Bewertung_Stammdaten!A$27,IF(BF38&lt;Bewertung_Stammdaten!B$28,Bewertung_Stammdaten!A$28,IF(BF38&lt;Bewertung_Stammdaten!B$29,Bewertung_Stammdaten!A$29,IF(BF38&lt;Bewertung_Stammdaten!B$30,Bewertung_Stammdaten!A$30,IF(BF38&lt;Bewertung_Stammdaten!B$31,Bewertung_Stammdaten!A$31,IF(BF38&lt;Bewertung_Stammdaten!B$32,Bewertung_Stammdaten!A$32,Bewertung_Stammdaten!A$33)))))))))</f>
        <v>10</v>
      </c>
      <c r="BJ38" s="33">
        <f ca="1">IF(BG38&lt;Bewertung_Stammdaten!J$11,Bewertung_Stammdaten!I$11,IF(BG38&lt;Bewertung_Stammdaten!J$12,Bewertung_Stammdaten!I$12,IF(BG38&lt;Bewertung_Stammdaten!J$13,Bewertung_Stammdaten!I$13,IF(BG38&lt;Bewertung_Stammdaten!J$14,Bewertung_Stammdaten!I$14,IF(BG38&lt;Bewertung_Stammdaten!J$15,Bewertung_Stammdaten!I$15,IF(BG38&lt;Bewertung_Stammdaten!J$16,Bewertung_Stammdaten!I$16,IF(BG38&lt;Bewertung_Stammdaten!J$17,Bewertung_Stammdaten!I$17,IF(BG38&lt;Bewertung_Stammdaten!J$18,Bewertung_Stammdaten!I$18,IF(BG38&lt;Bewertung_Stammdaten!J$19,Bewertung_Stammdaten!I$19,Bewertung_Stammdaten!I$20)))))))))</f>
        <v>1</v>
      </c>
    </row>
    <row r="39" spans="1:62" x14ac:dyDescent="0.25">
      <c r="A39" s="39" t="s">
        <v>72</v>
      </c>
      <c r="B39" s="39" t="s">
        <v>73</v>
      </c>
      <c r="C39" s="33">
        <f t="shared" ca="1" si="8"/>
        <v>127</v>
      </c>
      <c r="D39" s="44"/>
      <c r="E39" s="11">
        <f ca="1">VLOOKUP(A39,KGV!A3:R68,17,FALSE)</f>
        <v>10.32847951236031</v>
      </c>
      <c r="F39" s="11">
        <f>VLOOKUP(A39,KGV!A3:R68,16,FALSE)</f>
        <v>10.522727272727273</v>
      </c>
      <c r="G39" s="12">
        <f ca="1">VLOOKUP(A39,KGV!A3:R68,18,FALSE)</f>
        <v>-1.8459830358847462E-2</v>
      </c>
      <c r="H39" s="16">
        <f t="shared" ca="1" si="9"/>
        <v>33.020978294991352</v>
      </c>
      <c r="I39" s="12">
        <f t="shared" ca="1" si="10"/>
        <v>2.1380627321374068</v>
      </c>
      <c r="J39" s="33">
        <f ca="1">IF(G39&lt;Bewertung_Stammdaten!B$11,Bewertung_Stammdaten!A$11,IF(G39&lt;Bewertung_Stammdaten!B$12,Bewertung_Stammdaten!A$12,IF(G39&lt;Bewertung_Stammdaten!B$13,Bewertung_Stammdaten!A$13,IF(G39&lt;Bewertung_Stammdaten!B$14,Bewertung_Stammdaten!A$14,IF(G39&lt;Bewertung_Stammdaten!B$15,Bewertung_Stammdaten!A$15,IF(G39&lt;Bewertung_Stammdaten!B$16,Bewertung_Stammdaten!A$16,IF(G39&lt;Bewertung_Stammdaten!B$17,Bewertung_Stammdaten!A$17,IF(G39&lt;Bewertung_Stammdaten!B$18,Bewertung_Stammdaten!A$18,IF(G39&lt;Bewertung_Stammdaten!B$19,Bewertung_Stammdaten!A$19,Bewertung_Stammdaten!A$20)))))))))</f>
        <v>21</v>
      </c>
      <c r="K39" s="33">
        <f ca="1">IF(I39&lt;Bewertung_Stammdaten!N$11,Bewertung_Stammdaten!M$11,IF(I39&lt;Bewertung_Stammdaten!N$12,Bewertung_Stammdaten!M$12,IF(I39&lt;Bewertung_Stammdaten!N$13,Bewertung_Stammdaten!M$13,IF(I39&lt;Bewertung_Stammdaten!N$14,Bewertung_Stammdaten!M$14,IF(I39&lt;Bewertung_Stammdaten!N$15,Bewertung_Stammdaten!M$15,IF(I39&lt;Bewertung_Stammdaten!N$16,Bewertung_Stammdaten!M$16,IF(I39&lt;Bewertung_Stammdaten!N$17,Bewertung_Stammdaten!M$17,IF(I39&lt;Bewertung_Stammdaten!N$18,Bewertung_Stammdaten!M$18,IF(I39&lt;Bewertung_Stammdaten!N$19,Bewertung_Stammdaten!M$19,Bewertung_Stammdaten!M$20)))))))))</f>
        <v>1.5</v>
      </c>
      <c r="L39" s="44"/>
      <c r="M39" s="11">
        <f ca="1">VLOOKUP(A39,Buchwert_je_Aktie!A3:AK68,23,FALSE)</f>
        <v>62.332777777777771</v>
      </c>
      <c r="N39" s="11">
        <f>VLOOKUP(A39,Buchwert_je_Aktie!A3:AK68,19,FALSE)</f>
        <v>50.114615384615391</v>
      </c>
      <c r="O39" s="12">
        <f ca="1">VLOOKUP(A39,Buchwert_je_Aktie!A3:AK68,24,FALSE)</f>
        <v>0.24380437322309012</v>
      </c>
      <c r="P39" s="12">
        <f>VLOOKUP(A39,Buchwert_je_Aktie!A3:AK68,37,FALSE)</f>
        <v>-6.1731156340863347E-2</v>
      </c>
      <c r="Q39" s="16">
        <f t="shared" ca="1" si="11"/>
        <v>58.484903327617481</v>
      </c>
      <c r="R39" s="12">
        <f t="shared" ca="1" si="12"/>
        <v>0.16702289100220602</v>
      </c>
      <c r="S39" s="53">
        <f ca="1">IF(O39&lt;Bewertung_Stammdaten!D$24,Bewertung_Stammdaten!C$24,IF(O39&lt;Bewertung_Stammdaten!D$25,Bewertung_Stammdaten!C$25,IF(O39&lt;Bewertung_Stammdaten!D$26,Bewertung_Stammdaten!C$26,IF(O39&lt;Bewertung_Stammdaten!D$27,Bewertung_Stammdaten!C$27,IF(O39&lt;Bewertung_Stammdaten!D$28,Bewertung_Stammdaten!C$28,IF(O39&lt;Bewertung_Stammdaten!D$29,Bewertung_Stammdaten!C$29,IF(O39&lt;Bewertung_Stammdaten!D$30,Bewertung_Stammdaten!C$30,IF(O39&lt;Bewertung_Stammdaten!D$31,Bewertung_Stammdaten!C$31,IF(O39&lt;Bewertung_Stammdaten!D$32,Bewertung_Stammdaten!C$32,Bewertung_Stammdaten!C$33)))))))))</f>
        <v>7.5</v>
      </c>
      <c r="T39" s="53">
        <f>IF(P39&lt;Bewertung_Stammdaten!F$24,Bewertung_Stammdaten!E$24,IF(P39&lt;Bewertung_Stammdaten!F$25,Bewertung_Stammdaten!E$25,IF(P39&lt;Bewertung_Stammdaten!F$26,Bewertung_Stammdaten!E$26,IF(P39&lt;Bewertung_Stammdaten!F$27,Bewertung_Stammdaten!E$27,IF(P39&lt;Bewertung_Stammdaten!F$28,Bewertung_Stammdaten!E$28,IF(P39&lt;Bewertung_Stammdaten!F$29,Bewertung_Stammdaten!E$29,IF(P39&lt;Bewertung_Stammdaten!F$30,Bewertung_Stammdaten!E$30,IF(P39&lt;Bewertung_Stammdaten!F$31,Bewertung_Stammdaten!E$31,IF(P39&lt;Bewertung_Stammdaten!F$32,Bewertung_Stammdaten!E$32,Bewertung_Stammdaten!E$33)))))))))</f>
        <v>9</v>
      </c>
      <c r="U39" s="53">
        <f ca="1">IF(R39&lt;Bewertung_Stammdaten!H$24,Bewertung_Stammdaten!G$24,IF(R39&lt;Bewertung_Stammdaten!H$25,Bewertung_Stammdaten!G$25,IF(R39&lt;Bewertung_Stammdaten!H$26,Bewertung_Stammdaten!G$26,IF(R39&lt;Bewertung_Stammdaten!H$27,Bewertung_Stammdaten!G$27,IF(R39&lt;Bewertung_Stammdaten!H$28,Bewertung_Stammdaten!G$28,IF(R39&lt;Bewertung_Stammdaten!H$29,Bewertung_Stammdaten!G$29,IF(R39&lt;Bewertung_Stammdaten!H$30,Bewertung_Stammdaten!G$30,IF(R39&lt;Bewertung_Stammdaten!H$31,Bewertung_Stammdaten!G$31,IF(R39&lt;Bewertung_Stammdaten!H$32,Bewertung_Stammdaten!G$32,Bewertung_Stammdaten!G$33)))))))))</f>
        <v>4</v>
      </c>
      <c r="V39" s="44"/>
      <c r="W39" s="14">
        <f ca="1">VLOOKUP(A39,Ergebnis_je_Aktie_verwässert!A3:AK68,23,FALSE)</f>
        <v>5.9060000000000006</v>
      </c>
      <c r="X39" s="14">
        <f>VLOOKUP(A39,Ergebnis_je_Aktie_verwässert!A3:AK68,19,FALSE)</f>
        <v>4.3992307692307691</v>
      </c>
      <c r="Y39" s="12">
        <f ca="1">VLOOKUP(A39,Ergebnis_je_Aktie_verwässert!A3:AK68,24,FALSE)</f>
        <v>0.34250743136912076</v>
      </c>
      <c r="Z39" s="41">
        <f>VLOOKUP(A39,Ergebnis_je_Aktie_verwässert!A3:AK68,37,FALSE)</f>
        <v>-0.68721461187214605</v>
      </c>
      <c r="AA39" s="16">
        <f t="shared" ca="1" si="13"/>
        <v>1.8473105022831056</v>
      </c>
      <c r="AB39" s="12">
        <f t="shared" ca="1" si="14"/>
        <v>-0.58008329201468134</v>
      </c>
      <c r="AC39" s="33">
        <f ca="1">IF(Y39&lt;Bewertung_Stammdaten!L$11,Bewertung_Stammdaten!K$11,IF(Y39&lt;Bewertung_Stammdaten!L$12,Bewertung_Stammdaten!K$12,IF(Y39&lt;Bewertung_Stammdaten!L$13,Bewertung_Stammdaten!K$13,IF(Y39&lt;Bewertung_Stammdaten!L$14,Bewertung_Stammdaten!K$14,IF(Y39&lt;Bewertung_Stammdaten!L$15,Bewertung_Stammdaten!K$15,IF(Y39&lt;Bewertung_Stammdaten!L$16,Bewertung_Stammdaten!K$16,IF(Y39&lt;Bewertung_Stammdaten!L$17,Bewertung_Stammdaten!K$17,IF(Y39&lt;Bewertung_Stammdaten!L$18,Bewertung_Stammdaten!K$18,IF(Y39&lt;Bewertung_Stammdaten!L$19,Bewertung_Stammdaten!K$19,Bewertung_Stammdaten!K$20)))))))))</f>
        <v>12</v>
      </c>
      <c r="AD39" s="33">
        <f>IF(Z39&lt;Bewertung_Stammdaten!R$11,Bewertung_Stammdaten!Q$11,IF(Z39&lt;Bewertung_Stammdaten!R$12,Bewertung_Stammdaten!Q$12,IF(Z39&lt;Bewertung_Stammdaten!R$13,Bewertung_Stammdaten!Q$13,IF(Z39&lt;Bewertung_Stammdaten!R$14,Bewertung_Stammdaten!Q$14,IF(Z39&lt;Bewertung_Stammdaten!R$15,Bewertung_Stammdaten!Q$15,IF(Z39&lt;Bewertung_Stammdaten!R$16,Bewertung_Stammdaten!Q$16,IF(Z39&lt;Bewertung_Stammdaten!R$17,Bewertung_Stammdaten!Q$17,IF(Z39&lt;Bewertung_Stammdaten!R$18,Bewertung_Stammdaten!Q$18,IF(Z39&lt;Bewertung_Stammdaten!R$19,Bewertung_Stammdaten!Q$19,Bewertung_Stammdaten!Q$20)))))))))</f>
        <v>1</v>
      </c>
      <c r="AE39" s="33">
        <f ca="1">IF(AB39&lt;Bewertung_Stammdaten!P$11,Bewertung_Stammdaten!O$11,IF(AB39&lt;Bewertung_Stammdaten!P$12,Bewertung_Stammdaten!O$12,IF(AB39&lt;Bewertung_Stammdaten!P$13,Bewertung_Stammdaten!O$13,IF(AB39&lt;Bewertung_Stammdaten!P$14,Bewertung_Stammdaten!O$14,IF(AB39&lt;Bewertung_Stammdaten!P$15,Bewertung_Stammdaten!O$15,IF(AB39&lt;Bewertung_Stammdaten!P$16,Bewertung_Stammdaten!O$16,IF(AB39&lt;Bewertung_Stammdaten!P$17,Bewertung_Stammdaten!O$17,IF(AB39&lt;Bewertung_Stammdaten!P$18,Bewertung_Stammdaten!O$18,IF(AB39&lt;Bewertung_Stammdaten!P$19,Bewertung_Stammdaten!O$19,Bewertung_Stammdaten!O$20)))))))))</f>
        <v>1</v>
      </c>
      <c r="AF39" s="44"/>
      <c r="AG39" s="14">
        <f ca="1">VLOOKUP(A39,Dividende_je_Aktie!A3:AM68,24,FALSE)</f>
        <v>1.7124444444444444</v>
      </c>
      <c r="AH39" s="14">
        <f>VLOOKUP(A39,Dividende_je_Aktie!A3:AM68,20,FALSE)</f>
        <v>1.3178571428571426</v>
      </c>
      <c r="AI39" s="12">
        <f ca="1">VLOOKUP(A39,Dividende_je_Aktie!A3:AM68,25,FALSE)</f>
        <v>0.29941583860283072</v>
      </c>
      <c r="AJ39" s="41">
        <f>VLOOKUP(A39,Dividende_je_Aktie!A3:AM68,39,FALSE)</f>
        <v>-0.86842105263157898</v>
      </c>
      <c r="AK39" s="16">
        <f t="shared" ca="1" si="6"/>
        <v>0.22532163742690053</v>
      </c>
      <c r="AL39" s="12">
        <f t="shared" ca="1" si="7"/>
        <v>-0.8290242317627855</v>
      </c>
      <c r="AM39" s="33">
        <f ca="1">IF(AI39&lt;Bewertung_Stammdaten!P$24,Bewertung_Stammdaten!O$24,IF(AI39&lt;Bewertung_Stammdaten!P$25,Bewertung_Stammdaten!O$25,IF(AI39&lt;Bewertung_Stammdaten!P$26,Bewertung_Stammdaten!O$26,IF(AI39&lt;Bewertung_Stammdaten!P$27,Bewertung_Stammdaten!O$27,IF(AI39&lt;Bewertung_Stammdaten!P$28,Bewertung_Stammdaten!O$28,IF(AI39&lt;Bewertung_Stammdaten!P$29,Bewertung_Stammdaten!O$29,IF(AI39&lt;Bewertung_Stammdaten!P$30,Bewertung_Stammdaten!O$30,IF(AI39&lt;Bewertung_Stammdaten!P$31,Bewertung_Stammdaten!O$31,IF(AI39&lt;Bewertung_Stammdaten!P$32,Bewertung_Stammdaten!O$32,Bewertung_Stammdaten!O$33)))))))))</f>
        <v>10</v>
      </c>
      <c r="AN39" s="33">
        <f>IF(AJ39&lt;Bewertung_Stammdaten!R$24,Bewertung_Stammdaten!Q$24,IF(AJ39&lt;Bewertung_Stammdaten!R$25,Bewertung_Stammdaten!Q$25,IF(AJ39&lt;Bewertung_Stammdaten!R$26,Bewertung_Stammdaten!Q$26,IF(AJ39&lt;Bewertung_Stammdaten!R$27,Bewertung_Stammdaten!Q$27,IF(AJ39&lt;Bewertung_Stammdaten!R$28,Bewertung_Stammdaten!Q$28,IF(AJ39&lt;Bewertung_Stammdaten!R$29,Bewertung_Stammdaten!Q$29,IF(AJ39&lt;Bewertung_Stammdaten!R$30,Bewertung_Stammdaten!Q$30,IF(AJ39&lt;Bewertung_Stammdaten!R$31,Bewertung_Stammdaten!Q$31,IF(AJ39&lt;Bewertung_Stammdaten!R$32,Bewertung_Stammdaten!Q$32,Bewertung_Stammdaten!Q$33)))))))))</f>
        <v>1</v>
      </c>
      <c r="AO39" s="33">
        <f ca="1">IF(AL39&lt;Bewertung_Stammdaten!T$24,Bewertung_Stammdaten!S$24,IF(AL39&lt;Bewertung_Stammdaten!T$25,Bewertung_Stammdaten!S$25,IF(AL39&lt;Bewertung_Stammdaten!T$26,Bewertung_Stammdaten!S$26,IF(AL39&lt;Bewertung_Stammdaten!T$27,Bewertung_Stammdaten!S$27,IF(AL39&lt;Bewertung_Stammdaten!T$28,Bewertung_Stammdaten!S$28,IF(AL39&lt;Bewertung_Stammdaten!T$29,Bewertung_Stammdaten!S$29,IF(AL39&lt;Bewertung_Stammdaten!T$30,Bewertung_Stammdaten!S$30,IF(AL39&lt;Bewertung_Stammdaten!T$31,Bewertung_Stammdaten!S$31,IF(AL39&lt;Bewertung_Stammdaten!T$32,Bewertung_Stammdaten!S$32,Bewertung_Stammdaten!S$33)))))))))</f>
        <v>1</v>
      </c>
      <c r="AP39" s="44"/>
      <c r="AQ39" s="12">
        <f ca="1">VLOOKUP(A39,Dividendenrendite!A3:R68,17,FALSE)</f>
        <v>2.8072859744990894E-2</v>
      </c>
      <c r="AR39" s="12">
        <f>VLOOKUP(A39,Dividendenrendite!A3:R68,16,FALSE)</f>
        <v>2.7217587004677732E-2</v>
      </c>
      <c r="AS39" s="12">
        <f ca="1">VLOOKUP(A39,Dividendenrendite!A3:R68,18,FALSE)</f>
        <v>3.1423532885783478E-2</v>
      </c>
      <c r="AT39" s="33">
        <f ca="1">IF(AQ39&lt;Bewertung_Stammdaten!D$11,Bewertung_Stammdaten!C$11,IF(AQ39&lt;Bewertung_Stammdaten!D$12,Bewertung_Stammdaten!C$12,IF(AQ39&lt;Bewertung_Stammdaten!D$13,Bewertung_Stammdaten!C$13,IF(AQ39&lt;Bewertung_Stammdaten!D$14,Bewertung_Stammdaten!C$14,IF(AQ39&lt;Bewertung_Stammdaten!D$15,Bewertung_Stammdaten!C$15,IF(AQ39&lt;Bewertung_Stammdaten!D$16,Bewertung_Stammdaten!C$16,IF(AQ39&lt;Bewertung_Stammdaten!D$17,Bewertung_Stammdaten!C$17,IF(AQ39&lt;Bewertung_Stammdaten!D$18,Bewertung_Stammdaten!C$18,IF(AQ39&lt;Bewertung_Stammdaten!D$19,Bewertung_Stammdaten!C$19,Bewertung_Stammdaten!C$20)))))))))</f>
        <v>9</v>
      </c>
      <c r="AU39" s="33">
        <f>IF(AR39&lt;Bewertung_Stammdaten!T$11,Bewertung_Stammdaten!S$11,IF(AR39&lt;Bewertung_Stammdaten!T$12,Bewertung_Stammdaten!S$12,IF(AR39&lt;Bewertung_Stammdaten!T$13,Bewertung_Stammdaten!S$13,IF(AR39&lt;Bewertung_Stammdaten!T$14,Bewertung_Stammdaten!S$14,IF(AR39&lt;Bewertung_Stammdaten!T$15,Bewertung_Stammdaten!S$15,IF(AR39&lt;Bewertung_Stammdaten!T$16,Bewertung_Stammdaten!S$16,IF(AR39&lt;Bewertung_Stammdaten!T$17,Bewertung_Stammdaten!S$17,IF(AR39&lt;Bewertung_Stammdaten!T$18,Bewertung_Stammdaten!S$18,IF(AR39&lt;Bewertung_Stammdaten!T$19,Bewertung_Stammdaten!S$19,Bewertung_Stammdaten!S$20)))))))))</f>
        <v>6</v>
      </c>
      <c r="AV39" s="33">
        <f ca="1">IF(AS39&lt;Bewertung_Stammdaten!F$11,Bewertung_Stammdaten!E$11,IF(AS39&lt;Bewertung_Stammdaten!F$12,Bewertung_Stammdaten!E$12,IF(AS39&lt;Bewertung_Stammdaten!F$13,Bewertung_Stammdaten!E$13,IF(AS39&lt;Bewertung_Stammdaten!F$14,Bewertung_Stammdaten!E$14,IF(AS39&lt;Bewertung_Stammdaten!F$15,Bewertung_Stammdaten!E$15,IF(AS39&lt;Bewertung_Stammdaten!F$16,Bewertung_Stammdaten!E$16,IF(AS39&lt;Bewertung_Stammdaten!F$17,Bewertung_Stammdaten!E$17,IF(AS39&lt;Bewertung_Stammdaten!F$18,Bewertung_Stammdaten!E$18,IF(AS39&lt;Bewertung_Stammdaten!F$19,Bewertung_Stammdaten!E$19,Bewertung_Stammdaten!E$20)))))))))</f>
        <v>3</v>
      </c>
      <c r="AW39" s="44"/>
      <c r="AX39" s="12">
        <f>VLOOKUP(A39,Aktien_im_Umlauf_splitbereinigt!A3:Z68,26,FALSE)</f>
        <v>-1.091586794462196E-2</v>
      </c>
      <c r="AY39" s="12">
        <f>VLOOKUP(A39,Aktien_im_Umlauf_splitbereinigt!A3:Y68,24,FALSE)</f>
        <v>7.9561130224466859E-3</v>
      </c>
      <c r="AZ39" s="12">
        <f>VLOOKUP(A39,Aktien_im_Umlauf_splitbereinigt!A3:Y68,25,FALSE)</f>
        <v>2.3720101654947432</v>
      </c>
      <c r="BA39" s="42">
        <f>IF(AX39&lt;Bewertung_Stammdaten!J$24,Bewertung_Stammdaten!I$24,IF(AX39&lt;Bewertung_Stammdaten!J$25,Bewertung_Stammdaten!I$25,IF(AX39&lt;Bewertung_Stammdaten!J$26,Bewertung_Stammdaten!I$26,IF(AX39&lt;Bewertung_Stammdaten!J$27,Bewertung_Stammdaten!I$27,IF(AX39&lt;Bewertung_Stammdaten!J$28,Bewertung_Stammdaten!I$28,IF(AX39&lt;Bewertung_Stammdaten!J$29,Bewertung_Stammdaten!I$29,IF(AX39&lt;Bewertung_Stammdaten!J$30,Bewertung_Stammdaten!I$30,IF(AX39&lt;Bewertung_Stammdaten!J$31,Bewertung_Stammdaten!I$31,IF(AX39&lt;Bewertung_Stammdaten!J$32,Bewertung_Stammdaten!I$32,Bewertung_Stammdaten!I$33)))))))))</f>
        <v>5</v>
      </c>
      <c r="BB39" s="42">
        <f>IF(AY39&lt;Bewertung_Stammdaten!L$24,Bewertung_Stammdaten!K$24,IF(AY39&lt;Bewertung_Stammdaten!L$25,Bewertung_Stammdaten!K$25,IF(AY39&lt;Bewertung_Stammdaten!L$26,Bewertung_Stammdaten!K$26,IF(AY39&lt;Bewertung_Stammdaten!L$27,Bewertung_Stammdaten!K$27,IF(AY39&lt;Bewertung_Stammdaten!L$28,Bewertung_Stammdaten!K$28,IF(AY39&lt;Bewertung_Stammdaten!L$29,Bewertung_Stammdaten!K$29,IF(AY39&lt;Bewertung_Stammdaten!L$30,Bewertung_Stammdaten!K$30,IF(AY39&lt;Bewertung_Stammdaten!L$31,Bewertung_Stammdaten!K$31,IF(AY39&lt;Bewertung_Stammdaten!L$32,Bewertung_Stammdaten!K$32,Bewertung_Stammdaten!K$33)))))))))</f>
        <v>1</v>
      </c>
      <c r="BC39" s="42">
        <f>IF(AZ39&lt;Bewertung_Stammdaten!N$24,Bewertung_Stammdaten!M$24,IF(AZ39&lt;Bewertung_Stammdaten!N$25,Bewertung_Stammdaten!M$25,IF(AZ39&lt;Bewertung_Stammdaten!N$26,Bewertung_Stammdaten!M$26,IF(AZ39&lt;Bewertung_Stammdaten!N$27,Bewertung_Stammdaten!M$27,IF(AZ39&lt;Bewertung_Stammdaten!N$28,Bewertung_Stammdaten!M$28,IF(AZ39&lt;Bewertung_Stammdaten!N$29,Bewertung_Stammdaten!M$29,IF(AZ39&lt;Bewertung_Stammdaten!N$30,Bewertung_Stammdaten!M$30,IF(AZ39&lt;Bewertung_Stammdaten!N$31,Bewertung_Stammdaten!M$31,IF(AZ39&lt;Bewertung_Stammdaten!N$32,Bewertung_Stammdaten!M$32,Bewertung_Stammdaten!M$33)))))))))</f>
        <v>5</v>
      </c>
      <c r="BD39" s="44"/>
      <c r="BE39" s="12">
        <f ca="1">VLOOKUP(A39,Ausschüttungsquote!A3:X68,23,FALSE)</f>
        <v>0.29010202331961593</v>
      </c>
      <c r="BF39" s="12">
        <f>VLOOKUP(A39,Ausschüttungsquote!A3:X68,19,FALSE)</f>
        <v>0.34321342588414044</v>
      </c>
      <c r="BG39" s="12">
        <f ca="1">VLOOKUP(A39,Ausschüttungsquote!A3:X68,24,FALSE)</f>
        <v>-0.15474745030065773</v>
      </c>
      <c r="BH39" s="33">
        <f ca="1">IF(BE39&lt;Bewertung_Stammdaten!H$11,Bewertung_Stammdaten!G$11,IF(BE39&lt;Bewertung_Stammdaten!H$12,Bewertung_Stammdaten!G$12,IF(BE39&lt;Bewertung_Stammdaten!H$13,Bewertung_Stammdaten!G$13,IF(BE39&lt;Bewertung_Stammdaten!H$14,Bewertung_Stammdaten!G$14,IF(BE39&lt;Bewertung_Stammdaten!H$15,Bewertung_Stammdaten!G$15,IF(BE39&lt;Bewertung_Stammdaten!H$16,Bewertung_Stammdaten!G$16,IF(BE39&lt;Bewertung_Stammdaten!H$17,Bewertung_Stammdaten!G$17,IF(BE39&lt;Bewertung_Stammdaten!H$18,Bewertung_Stammdaten!G$18,IF(BE39&lt;Bewertung_Stammdaten!H$19,Bewertung_Stammdaten!G$19,Bewertung_Stammdaten!G$20)))))))))</f>
        <v>10</v>
      </c>
      <c r="BI39" s="42">
        <f>IF(BF39&lt;Bewertung_Stammdaten!B$24,Bewertung_Stammdaten!A$24,IF(BF39&lt;Bewertung_Stammdaten!B$25,Bewertung_Stammdaten!A$25,IF(BF39&lt;Bewertung_Stammdaten!B$26,Bewertung_Stammdaten!A$26,IF(BF39&lt;Bewertung_Stammdaten!B$27,Bewertung_Stammdaten!A$27,IF(BF39&lt;Bewertung_Stammdaten!B$28,Bewertung_Stammdaten!A$28,IF(BF39&lt;Bewertung_Stammdaten!B$29,Bewertung_Stammdaten!A$29,IF(BF39&lt;Bewertung_Stammdaten!B$30,Bewertung_Stammdaten!A$30,IF(BF39&lt;Bewertung_Stammdaten!B$31,Bewertung_Stammdaten!A$31,IF(BF39&lt;Bewertung_Stammdaten!B$32,Bewertung_Stammdaten!A$32,Bewertung_Stammdaten!A$33)))))))))</f>
        <v>10</v>
      </c>
      <c r="BJ39" s="33">
        <f ca="1">IF(BG39&lt;Bewertung_Stammdaten!J$11,Bewertung_Stammdaten!I$11,IF(BG39&lt;Bewertung_Stammdaten!J$12,Bewertung_Stammdaten!I$12,IF(BG39&lt;Bewertung_Stammdaten!J$13,Bewertung_Stammdaten!I$13,IF(BG39&lt;Bewertung_Stammdaten!J$14,Bewertung_Stammdaten!I$14,IF(BG39&lt;Bewertung_Stammdaten!J$15,Bewertung_Stammdaten!I$15,IF(BG39&lt;Bewertung_Stammdaten!J$16,Bewertung_Stammdaten!I$16,IF(BG39&lt;Bewertung_Stammdaten!J$17,Bewertung_Stammdaten!I$17,IF(BG39&lt;Bewertung_Stammdaten!J$18,Bewertung_Stammdaten!I$18,IF(BG39&lt;Bewertung_Stammdaten!J$19,Bewertung_Stammdaten!I$19,Bewertung_Stammdaten!I$20)))))))))</f>
        <v>9</v>
      </c>
    </row>
    <row r="40" spans="1:62" x14ac:dyDescent="0.25">
      <c r="A40" s="39" t="s">
        <v>74</v>
      </c>
      <c r="B40" s="39" t="s">
        <v>75</v>
      </c>
      <c r="C40" s="33">
        <f t="shared" ca="1" si="8"/>
        <v>144</v>
      </c>
      <c r="D40" s="44"/>
      <c r="E40" s="11">
        <f ca="1">VLOOKUP(A40,KGV!A3:R68,17,FALSE)</f>
        <v>17.434575675477777</v>
      </c>
      <c r="F40" s="11">
        <f>VLOOKUP(A40,KGV!A3:R68,16,FALSE)</f>
        <v>16.061403508771928</v>
      </c>
      <c r="G40" s="12">
        <f ca="1">VLOOKUP(A40,KGV!A3:R68,18,FALSE)</f>
        <v>8.5495154016639541E-2</v>
      </c>
      <c r="H40" s="16">
        <f t="shared" ca="1" si="9"/>
        <v>18.685486934704883</v>
      </c>
      <c r="I40" s="12">
        <f t="shared" ca="1" si="10"/>
        <v>0.16337821439451505</v>
      </c>
      <c r="J40" s="33">
        <f ca="1">IF(G40&lt;Bewertung_Stammdaten!B$11,Bewertung_Stammdaten!A$11,IF(G40&lt;Bewertung_Stammdaten!B$12,Bewertung_Stammdaten!A$12,IF(G40&lt;Bewertung_Stammdaten!B$13,Bewertung_Stammdaten!A$13,IF(G40&lt;Bewertung_Stammdaten!B$14,Bewertung_Stammdaten!A$14,IF(G40&lt;Bewertung_Stammdaten!B$15,Bewertung_Stammdaten!A$15,IF(G40&lt;Bewertung_Stammdaten!B$16,Bewertung_Stammdaten!A$16,IF(G40&lt;Bewertung_Stammdaten!B$17,Bewertung_Stammdaten!A$17,IF(G40&lt;Bewertung_Stammdaten!B$18,Bewertung_Stammdaten!A$18,IF(G40&lt;Bewertung_Stammdaten!B$19,Bewertung_Stammdaten!A$19,Bewertung_Stammdaten!A$20)))))))))</f>
        <v>15</v>
      </c>
      <c r="K40" s="33">
        <f ca="1">IF(I40&lt;Bewertung_Stammdaten!N$11,Bewertung_Stammdaten!M$11,IF(I40&lt;Bewertung_Stammdaten!N$12,Bewertung_Stammdaten!M$12,IF(I40&lt;Bewertung_Stammdaten!N$13,Bewertung_Stammdaten!M$13,IF(I40&lt;Bewertung_Stammdaten!N$14,Bewertung_Stammdaten!M$14,IF(I40&lt;Bewertung_Stammdaten!N$15,Bewertung_Stammdaten!M$15,IF(I40&lt;Bewertung_Stammdaten!N$16,Bewertung_Stammdaten!M$16,IF(I40&lt;Bewertung_Stammdaten!N$17,Bewertung_Stammdaten!M$17,IF(I40&lt;Bewertung_Stammdaten!N$18,Bewertung_Stammdaten!M$18,IF(I40&lt;Bewertung_Stammdaten!N$19,Bewertung_Stammdaten!M$19,Bewertung_Stammdaten!M$20)))))))))</f>
        <v>9</v>
      </c>
      <c r="L40" s="44"/>
      <c r="M40" s="11">
        <f ca="1">VLOOKUP(A40,Buchwert_je_Aktie!A3:AK68,23,FALSE)</f>
        <v>28.109722222222221</v>
      </c>
      <c r="N40" s="11">
        <f>VLOOKUP(A40,Buchwert_je_Aktie!A3:AK68,19,FALSE)</f>
        <v>21.949230769230766</v>
      </c>
      <c r="O40" s="12">
        <f ca="1">VLOOKUP(A40,Buchwert_je_Aktie!A3:AK68,24,FALSE)</f>
        <v>0.28067003886202047</v>
      </c>
      <c r="P40" s="12">
        <f>VLOOKUP(A40,Buchwert_je_Aktie!A3:AK68,37,FALSE)</f>
        <v>-4.5333333333333337E-2</v>
      </c>
      <c r="Q40" s="16">
        <f t="shared" ca="1" si="11"/>
        <v>26.835414814814815</v>
      </c>
      <c r="R40" s="12">
        <f t="shared" ca="1" si="12"/>
        <v>0.22261299710027571</v>
      </c>
      <c r="S40" s="53">
        <f ca="1">IF(O40&lt;Bewertung_Stammdaten!D$24,Bewertung_Stammdaten!C$24,IF(O40&lt;Bewertung_Stammdaten!D$25,Bewertung_Stammdaten!C$25,IF(O40&lt;Bewertung_Stammdaten!D$26,Bewertung_Stammdaten!C$26,IF(O40&lt;Bewertung_Stammdaten!D$27,Bewertung_Stammdaten!C$27,IF(O40&lt;Bewertung_Stammdaten!D$28,Bewertung_Stammdaten!C$28,IF(O40&lt;Bewertung_Stammdaten!D$29,Bewertung_Stammdaten!C$29,IF(O40&lt;Bewertung_Stammdaten!D$30,Bewertung_Stammdaten!C$30,IF(O40&lt;Bewertung_Stammdaten!D$31,Bewertung_Stammdaten!C$31,IF(O40&lt;Bewertung_Stammdaten!D$32,Bewertung_Stammdaten!C$32,Bewertung_Stammdaten!C$33)))))))))</f>
        <v>7.5</v>
      </c>
      <c r="T40" s="53">
        <f>IF(P40&lt;Bewertung_Stammdaten!F$24,Bewertung_Stammdaten!E$24,IF(P40&lt;Bewertung_Stammdaten!F$25,Bewertung_Stammdaten!E$25,IF(P40&lt;Bewertung_Stammdaten!F$26,Bewertung_Stammdaten!E$26,IF(P40&lt;Bewertung_Stammdaten!F$27,Bewertung_Stammdaten!E$27,IF(P40&lt;Bewertung_Stammdaten!F$28,Bewertung_Stammdaten!E$28,IF(P40&lt;Bewertung_Stammdaten!F$29,Bewertung_Stammdaten!E$29,IF(P40&lt;Bewertung_Stammdaten!F$30,Bewertung_Stammdaten!E$30,IF(P40&lt;Bewertung_Stammdaten!F$31,Bewertung_Stammdaten!E$31,IF(P40&lt;Bewertung_Stammdaten!F$32,Bewertung_Stammdaten!E$32,Bewertung_Stammdaten!E$33)))))))))</f>
        <v>10.5</v>
      </c>
      <c r="U40" s="53">
        <f ca="1">IF(R40&lt;Bewertung_Stammdaten!H$24,Bewertung_Stammdaten!G$24,IF(R40&lt;Bewertung_Stammdaten!H$25,Bewertung_Stammdaten!G$25,IF(R40&lt;Bewertung_Stammdaten!H$26,Bewertung_Stammdaten!G$26,IF(R40&lt;Bewertung_Stammdaten!H$27,Bewertung_Stammdaten!G$27,IF(R40&lt;Bewertung_Stammdaten!H$28,Bewertung_Stammdaten!G$28,IF(R40&lt;Bewertung_Stammdaten!H$29,Bewertung_Stammdaten!G$29,IF(R40&lt;Bewertung_Stammdaten!H$30,Bewertung_Stammdaten!G$30,IF(R40&lt;Bewertung_Stammdaten!H$31,Bewertung_Stammdaten!G$31,IF(R40&lt;Bewertung_Stammdaten!H$32,Bewertung_Stammdaten!G$32,Bewertung_Stammdaten!G$33)))))))))</f>
        <v>5</v>
      </c>
      <c r="V40" s="44"/>
      <c r="W40" s="14">
        <f ca="1">VLOOKUP(A40,Ergebnis_je_Aktie_verwässert!A3:AK68,23,FALSE)</f>
        <v>5.6904166666666667</v>
      </c>
      <c r="X40" s="14">
        <f>VLOOKUP(A40,Ergebnis_je_Aktie_verwässert!A3:AK68,19,FALSE)</f>
        <v>4.8015384615384615</v>
      </c>
      <c r="Y40" s="12">
        <f ca="1">VLOOKUP(A40,Ergebnis_je_Aktie_verwässert!A3:AK68,24,FALSE)</f>
        <v>0.1851236249065471</v>
      </c>
      <c r="Z40" s="41">
        <f>VLOOKUP(A40,Ergebnis_je_Aktie_verwässert!A3:AK68,37,FALSE)</f>
        <v>-6.6945606694560733E-2</v>
      </c>
      <c r="AA40" s="16">
        <f t="shared" ca="1" si="13"/>
        <v>5.309468270571827</v>
      </c>
      <c r="AB40" s="12">
        <f t="shared" ca="1" si="14"/>
        <v>0.10578480482912123</v>
      </c>
      <c r="AC40" s="33">
        <f ca="1">IF(Y40&lt;Bewertung_Stammdaten!L$11,Bewertung_Stammdaten!K$11,IF(Y40&lt;Bewertung_Stammdaten!L$12,Bewertung_Stammdaten!K$12,IF(Y40&lt;Bewertung_Stammdaten!L$13,Bewertung_Stammdaten!K$13,IF(Y40&lt;Bewertung_Stammdaten!L$14,Bewertung_Stammdaten!K$14,IF(Y40&lt;Bewertung_Stammdaten!L$15,Bewertung_Stammdaten!K$15,IF(Y40&lt;Bewertung_Stammdaten!L$16,Bewertung_Stammdaten!K$16,IF(Y40&lt;Bewertung_Stammdaten!L$17,Bewertung_Stammdaten!K$17,IF(Y40&lt;Bewertung_Stammdaten!L$18,Bewertung_Stammdaten!K$18,IF(Y40&lt;Bewertung_Stammdaten!L$19,Bewertung_Stammdaten!K$19,Bewertung_Stammdaten!K$20)))))))))</f>
        <v>8</v>
      </c>
      <c r="AD40" s="33">
        <f>IF(Z40&lt;Bewertung_Stammdaten!R$11,Bewertung_Stammdaten!Q$11,IF(Z40&lt;Bewertung_Stammdaten!R$12,Bewertung_Stammdaten!Q$12,IF(Z40&lt;Bewertung_Stammdaten!R$13,Bewertung_Stammdaten!Q$13,IF(Z40&lt;Bewertung_Stammdaten!R$14,Bewertung_Stammdaten!Q$14,IF(Z40&lt;Bewertung_Stammdaten!R$15,Bewertung_Stammdaten!Q$15,IF(Z40&lt;Bewertung_Stammdaten!R$16,Bewertung_Stammdaten!Q$16,IF(Z40&lt;Bewertung_Stammdaten!R$17,Bewertung_Stammdaten!Q$17,IF(Z40&lt;Bewertung_Stammdaten!R$18,Bewertung_Stammdaten!Q$18,IF(Z40&lt;Bewertung_Stammdaten!R$19,Bewertung_Stammdaten!Q$19,Bewertung_Stammdaten!Q$20)))))))))</f>
        <v>7</v>
      </c>
      <c r="AE40" s="33">
        <f ca="1">IF(AB40&lt;Bewertung_Stammdaten!P$11,Bewertung_Stammdaten!O$11,IF(AB40&lt;Bewertung_Stammdaten!P$12,Bewertung_Stammdaten!O$12,IF(AB40&lt;Bewertung_Stammdaten!P$13,Bewertung_Stammdaten!O$13,IF(AB40&lt;Bewertung_Stammdaten!P$14,Bewertung_Stammdaten!O$14,IF(AB40&lt;Bewertung_Stammdaten!P$15,Bewertung_Stammdaten!O$15,IF(AB40&lt;Bewertung_Stammdaten!P$16,Bewertung_Stammdaten!O$16,IF(AB40&lt;Bewertung_Stammdaten!P$17,Bewertung_Stammdaten!O$17,IF(AB40&lt;Bewertung_Stammdaten!P$18,Bewertung_Stammdaten!O$18,IF(AB40&lt;Bewertung_Stammdaten!P$19,Bewertung_Stammdaten!O$19,Bewertung_Stammdaten!O$20)))))))))</f>
        <v>5</v>
      </c>
      <c r="AF40" s="44"/>
      <c r="AG40" s="14">
        <f ca="1">VLOOKUP(A40,Dividende_je_Aktie!A3:AM68,24,FALSE)</f>
        <v>2.9444722222222222</v>
      </c>
      <c r="AH40" s="14">
        <f>VLOOKUP(A40,Dividende_je_Aktie!A3:AM68,20,FALSE)</f>
        <v>2.1857142857142855</v>
      </c>
      <c r="AI40" s="12">
        <f ca="1">VLOOKUP(A40,Dividende_je_Aktie!A3:AM68,25,FALSE)</f>
        <v>0.34714415395787945</v>
      </c>
      <c r="AJ40" s="41">
        <f>VLOOKUP(A40,Dividende_je_Aktie!A3:AM68,39,FALSE)</f>
        <v>5.4347826086956763E-2</v>
      </c>
      <c r="AK40" s="16">
        <f t="shared" ca="1" si="6"/>
        <v>2.9444722222222222</v>
      </c>
      <c r="AL40" s="12">
        <f t="shared" ca="1" si="7"/>
        <v>0.34714415395787945</v>
      </c>
      <c r="AM40" s="33">
        <f ca="1">IF(AI40&lt;Bewertung_Stammdaten!P$24,Bewertung_Stammdaten!O$24,IF(AI40&lt;Bewertung_Stammdaten!P$25,Bewertung_Stammdaten!O$25,IF(AI40&lt;Bewertung_Stammdaten!P$26,Bewertung_Stammdaten!O$26,IF(AI40&lt;Bewertung_Stammdaten!P$27,Bewertung_Stammdaten!O$27,IF(AI40&lt;Bewertung_Stammdaten!P$28,Bewertung_Stammdaten!O$28,IF(AI40&lt;Bewertung_Stammdaten!P$29,Bewertung_Stammdaten!O$29,IF(AI40&lt;Bewertung_Stammdaten!P$30,Bewertung_Stammdaten!O$30,IF(AI40&lt;Bewertung_Stammdaten!P$31,Bewertung_Stammdaten!O$31,IF(AI40&lt;Bewertung_Stammdaten!P$32,Bewertung_Stammdaten!O$32,Bewertung_Stammdaten!O$33)))))))))</f>
        <v>12</v>
      </c>
      <c r="AN40" s="33">
        <f>IF(AJ40&lt;Bewertung_Stammdaten!R$24,Bewertung_Stammdaten!Q$24,IF(AJ40&lt;Bewertung_Stammdaten!R$25,Bewertung_Stammdaten!Q$25,IF(AJ40&lt;Bewertung_Stammdaten!R$26,Bewertung_Stammdaten!Q$26,IF(AJ40&lt;Bewertung_Stammdaten!R$27,Bewertung_Stammdaten!Q$27,IF(AJ40&lt;Bewertung_Stammdaten!R$28,Bewertung_Stammdaten!Q$28,IF(AJ40&lt;Bewertung_Stammdaten!R$29,Bewertung_Stammdaten!Q$29,IF(AJ40&lt;Bewertung_Stammdaten!R$30,Bewertung_Stammdaten!Q$30,IF(AJ40&lt;Bewertung_Stammdaten!R$31,Bewertung_Stammdaten!Q$31,IF(AJ40&lt;Bewertung_Stammdaten!R$32,Bewertung_Stammdaten!Q$32,Bewertung_Stammdaten!Q$33)))))))))</f>
        <v>8</v>
      </c>
      <c r="AO40" s="33">
        <f ca="1">IF(AL40&lt;Bewertung_Stammdaten!T$24,Bewertung_Stammdaten!S$24,IF(AL40&lt;Bewertung_Stammdaten!T$25,Bewertung_Stammdaten!S$25,IF(AL40&lt;Bewertung_Stammdaten!T$26,Bewertung_Stammdaten!S$26,IF(AL40&lt;Bewertung_Stammdaten!T$27,Bewertung_Stammdaten!S$27,IF(AL40&lt;Bewertung_Stammdaten!T$28,Bewertung_Stammdaten!S$28,IF(AL40&lt;Bewertung_Stammdaten!T$29,Bewertung_Stammdaten!S$29,IF(AL40&lt;Bewertung_Stammdaten!T$30,Bewertung_Stammdaten!S$30,IF(AL40&lt;Bewertung_Stammdaten!T$31,Bewertung_Stammdaten!S$31,IF(AL40&lt;Bewertung_Stammdaten!T$32,Bewertung_Stammdaten!S$32,Bewertung_Stammdaten!S$33)))))))))</f>
        <v>7</v>
      </c>
      <c r="AP40" s="44"/>
      <c r="AQ40" s="12">
        <f ca="1">VLOOKUP(A40,Dividendenrendite!A3:R68,17,FALSE)</f>
        <v>2.9679187805888744E-2</v>
      </c>
      <c r="AR40" s="12">
        <f>VLOOKUP(A40,Dividendenrendite!A3:R68,16,FALSE)</f>
        <v>2.786963895591682E-2</v>
      </c>
      <c r="AS40" s="12">
        <f ca="1">VLOOKUP(A40,Dividendenrendite!A3:R68,18,FALSE)</f>
        <v>6.4929038113274551E-2</v>
      </c>
      <c r="AT40" s="33">
        <f ca="1">IF(AQ40&lt;Bewertung_Stammdaten!D$11,Bewertung_Stammdaten!C$11,IF(AQ40&lt;Bewertung_Stammdaten!D$12,Bewertung_Stammdaten!C$12,IF(AQ40&lt;Bewertung_Stammdaten!D$13,Bewertung_Stammdaten!C$13,IF(AQ40&lt;Bewertung_Stammdaten!D$14,Bewertung_Stammdaten!C$14,IF(AQ40&lt;Bewertung_Stammdaten!D$15,Bewertung_Stammdaten!C$15,IF(AQ40&lt;Bewertung_Stammdaten!D$16,Bewertung_Stammdaten!C$16,IF(AQ40&lt;Bewertung_Stammdaten!D$17,Bewertung_Stammdaten!C$17,IF(AQ40&lt;Bewertung_Stammdaten!D$18,Bewertung_Stammdaten!C$18,IF(AQ40&lt;Bewertung_Stammdaten!D$19,Bewertung_Stammdaten!C$19,Bewertung_Stammdaten!C$20)))))))))</f>
        <v>9</v>
      </c>
      <c r="AU40" s="33">
        <f>IF(AR40&lt;Bewertung_Stammdaten!T$11,Bewertung_Stammdaten!S$11,IF(AR40&lt;Bewertung_Stammdaten!T$12,Bewertung_Stammdaten!S$12,IF(AR40&lt;Bewertung_Stammdaten!T$13,Bewertung_Stammdaten!S$13,IF(AR40&lt;Bewertung_Stammdaten!T$14,Bewertung_Stammdaten!S$14,IF(AR40&lt;Bewertung_Stammdaten!T$15,Bewertung_Stammdaten!S$15,IF(AR40&lt;Bewertung_Stammdaten!T$16,Bewertung_Stammdaten!S$16,IF(AR40&lt;Bewertung_Stammdaten!T$17,Bewertung_Stammdaten!S$17,IF(AR40&lt;Bewertung_Stammdaten!T$18,Bewertung_Stammdaten!S$18,IF(AR40&lt;Bewertung_Stammdaten!T$19,Bewertung_Stammdaten!S$19,Bewertung_Stammdaten!S$20)))))))))</f>
        <v>6</v>
      </c>
      <c r="AV40" s="33">
        <f ca="1">IF(AS40&lt;Bewertung_Stammdaten!F$11,Bewertung_Stammdaten!E$11,IF(AS40&lt;Bewertung_Stammdaten!F$12,Bewertung_Stammdaten!E$12,IF(AS40&lt;Bewertung_Stammdaten!F$13,Bewertung_Stammdaten!E$13,IF(AS40&lt;Bewertung_Stammdaten!F$14,Bewertung_Stammdaten!E$14,IF(AS40&lt;Bewertung_Stammdaten!F$15,Bewertung_Stammdaten!E$15,IF(AS40&lt;Bewertung_Stammdaten!F$16,Bewertung_Stammdaten!E$16,IF(AS40&lt;Bewertung_Stammdaten!F$17,Bewertung_Stammdaten!E$17,IF(AS40&lt;Bewertung_Stammdaten!F$18,Bewertung_Stammdaten!E$18,IF(AS40&lt;Bewertung_Stammdaten!F$19,Bewertung_Stammdaten!E$19,Bewertung_Stammdaten!E$20)))))))))</f>
        <v>3.5</v>
      </c>
      <c r="AW40" s="44"/>
      <c r="AX40" s="12">
        <f>VLOOKUP(A40,Aktien_im_Umlauf_splitbereinigt!A3:Z68,26,FALSE)</f>
        <v>-1.3470400567174745E-2</v>
      </c>
      <c r="AY40" s="12">
        <f>VLOOKUP(A40,Aktien_im_Umlauf_splitbereinigt!A3:Y68,24,FALSE)</f>
        <v>-7.2656699125938579E-3</v>
      </c>
      <c r="AZ40" s="12">
        <f>VLOOKUP(A40,Aktien_im_Umlauf_splitbereinigt!A3:Y68,25,FALSE)</f>
        <v>0.85397915529110335</v>
      </c>
      <c r="BA40" s="42">
        <f>IF(AX40&lt;Bewertung_Stammdaten!J$24,Bewertung_Stammdaten!I$24,IF(AX40&lt;Bewertung_Stammdaten!J$25,Bewertung_Stammdaten!I$25,IF(AX40&lt;Bewertung_Stammdaten!J$26,Bewertung_Stammdaten!I$26,IF(AX40&lt;Bewertung_Stammdaten!J$27,Bewertung_Stammdaten!I$27,IF(AX40&lt;Bewertung_Stammdaten!J$28,Bewertung_Stammdaten!I$28,IF(AX40&lt;Bewertung_Stammdaten!J$29,Bewertung_Stammdaten!I$29,IF(AX40&lt;Bewertung_Stammdaten!J$30,Bewertung_Stammdaten!I$30,IF(AX40&lt;Bewertung_Stammdaten!J$31,Bewertung_Stammdaten!I$31,IF(AX40&lt;Bewertung_Stammdaten!J$32,Bewertung_Stammdaten!I$32,Bewertung_Stammdaten!I$33)))))))))</f>
        <v>5</v>
      </c>
      <c r="BB40" s="42">
        <f>IF(AY40&lt;Bewertung_Stammdaten!L$24,Bewertung_Stammdaten!K$24,IF(AY40&lt;Bewertung_Stammdaten!L$25,Bewertung_Stammdaten!K$25,IF(AY40&lt;Bewertung_Stammdaten!L$26,Bewertung_Stammdaten!K$26,IF(AY40&lt;Bewertung_Stammdaten!L$27,Bewertung_Stammdaten!K$27,IF(AY40&lt;Bewertung_Stammdaten!L$28,Bewertung_Stammdaten!K$28,IF(AY40&lt;Bewertung_Stammdaten!L$29,Bewertung_Stammdaten!K$29,IF(AY40&lt;Bewertung_Stammdaten!L$30,Bewertung_Stammdaten!K$30,IF(AY40&lt;Bewertung_Stammdaten!L$31,Bewertung_Stammdaten!K$31,IF(AY40&lt;Bewertung_Stammdaten!L$32,Bewertung_Stammdaten!K$32,Bewertung_Stammdaten!K$33)))))))))</f>
        <v>4</v>
      </c>
      <c r="BC40" s="42">
        <f>IF(AZ40&lt;Bewertung_Stammdaten!N$24,Bewertung_Stammdaten!M$24,IF(AZ40&lt;Bewertung_Stammdaten!N$25,Bewertung_Stammdaten!M$25,IF(AZ40&lt;Bewertung_Stammdaten!N$26,Bewertung_Stammdaten!M$26,IF(AZ40&lt;Bewertung_Stammdaten!N$27,Bewertung_Stammdaten!M$27,IF(AZ40&lt;Bewertung_Stammdaten!N$28,Bewertung_Stammdaten!M$28,IF(AZ40&lt;Bewertung_Stammdaten!N$29,Bewertung_Stammdaten!M$29,IF(AZ40&lt;Bewertung_Stammdaten!N$30,Bewertung_Stammdaten!M$30,IF(AZ40&lt;Bewertung_Stammdaten!N$31,Bewertung_Stammdaten!M$31,IF(AZ40&lt;Bewertung_Stammdaten!N$32,Bewertung_Stammdaten!M$32,Bewertung_Stammdaten!M$33)))))))))</f>
        <v>4.5</v>
      </c>
      <c r="BD40" s="44"/>
      <c r="BE40" s="12">
        <f ca="1">VLOOKUP(A40,Ausschüttungsquote!A3:X68,23,FALSE)</f>
        <v>0.5173759230088788</v>
      </c>
      <c r="BF40" s="12">
        <f>VLOOKUP(A40,Ausschüttungsquote!A3:X68,19,FALSE)</f>
        <v>0.46565498570231478</v>
      </c>
      <c r="BG40" s="12">
        <f ca="1">VLOOKUP(A40,Ausschüttungsquote!A3:X68,24,FALSE)</f>
        <v>0.11107137020890478</v>
      </c>
      <c r="BH40" s="33">
        <f ca="1">IF(BE40&lt;Bewertung_Stammdaten!H$11,Bewertung_Stammdaten!G$11,IF(BE40&lt;Bewertung_Stammdaten!H$12,Bewertung_Stammdaten!G$12,IF(BE40&lt;Bewertung_Stammdaten!H$13,Bewertung_Stammdaten!G$13,IF(BE40&lt;Bewertung_Stammdaten!H$14,Bewertung_Stammdaten!G$14,IF(BE40&lt;Bewertung_Stammdaten!H$15,Bewertung_Stammdaten!G$15,IF(BE40&lt;Bewertung_Stammdaten!H$16,Bewertung_Stammdaten!G$16,IF(BE40&lt;Bewertung_Stammdaten!H$17,Bewertung_Stammdaten!G$17,IF(BE40&lt;Bewertung_Stammdaten!H$18,Bewertung_Stammdaten!G$18,IF(BE40&lt;Bewertung_Stammdaten!H$19,Bewertung_Stammdaten!G$19,Bewertung_Stammdaten!G$20)))))))))</f>
        <v>7</v>
      </c>
      <c r="BI40" s="42">
        <f>IF(BF40&lt;Bewertung_Stammdaten!B$24,Bewertung_Stammdaten!A$24,IF(BF40&lt;Bewertung_Stammdaten!B$25,Bewertung_Stammdaten!A$25,IF(BF40&lt;Bewertung_Stammdaten!B$26,Bewertung_Stammdaten!A$26,IF(BF40&lt;Bewertung_Stammdaten!B$27,Bewertung_Stammdaten!A$27,IF(BF40&lt;Bewertung_Stammdaten!B$28,Bewertung_Stammdaten!A$28,IF(BF40&lt;Bewertung_Stammdaten!B$29,Bewertung_Stammdaten!A$29,IF(BF40&lt;Bewertung_Stammdaten!B$30,Bewertung_Stammdaten!A$30,IF(BF40&lt;Bewertung_Stammdaten!B$31,Bewertung_Stammdaten!A$31,IF(BF40&lt;Bewertung_Stammdaten!B$32,Bewertung_Stammdaten!A$32,Bewertung_Stammdaten!A$33)))))))))</f>
        <v>8</v>
      </c>
      <c r="BJ40" s="33">
        <f ca="1">IF(BG40&lt;Bewertung_Stammdaten!J$11,Bewertung_Stammdaten!I$11,IF(BG40&lt;Bewertung_Stammdaten!J$12,Bewertung_Stammdaten!I$12,IF(BG40&lt;Bewertung_Stammdaten!J$13,Bewertung_Stammdaten!I$13,IF(BG40&lt;Bewertung_Stammdaten!J$14,Bewertung_Stammdaten!I$14,IF(BG40&lt;Bewertung_Stammdaten!J$15,Bewertung_Stammdaten!I$15,IF(BG40&lt;Bewertung_Stammdaten!J$16,Bewertung_Stammdaten!I$16,IF(BG40&lt;Bewertung_Stammdaten!J$17,Bewertung_Stammdaten!I$17,IF(BG40&lt;Bewertung_Stammdaten!J$18,Bewertung_Stammdaten!I$18,IF(BG40&lt;Bewertung_Stammdaten!J$19,Bewertung_Stammdaten!I$19,Bewertung_Stammdaten!I$20)))))))))</f>
        <v>3</v>
      </c>
    </row>
    <row r="41" spans="1:62" x14ac:dyDescent="0.25">
      <c r="A41" s="39" t="s">
        <v>76</v>
      </c>
      <c r="B41" s="39" t="s">
        <v>77</v>
      </c>
      <c r="C41" s="33">
        <f t="shared" ca="1" si="8"/>
        <v>126.5</v>
      </c>
      <c r="D41" s="44"/>
      <c r="E41" s="11">
        <f ca="1">VLOOKUP(A41,KGV!A3:R68,17,FALSE)</f>
        <v>18.769345263264718</v>
      </c>
      <c r="F41" s="11">
        <f>VLOOKUP(A41,KGV!A3:R68,16,FALSE)</f>
        <v>16.707317073170731</v>
      </c>
      <c r="G41" s="12">
        <f ca="1">VLOOKUP(A41,KGV!A3:R68,18,FALSE)</f>
        <v>0.12342066539248675</v>
      </c>
      <c r="H41" s="16">
        <f t="shared" ca="1" si="9"/>
        <v>20.475649378106965</v>
      </c>
      <c r="I41" s="12">
        <f t="shared" ca="1" si="10"/>
        <v>0.22554981679180375</v>
      </c>
      <c r="J41" s="33">
        <f ca="1">IF(G41&lt;Bewertung_Stammdaten!B$11,Bewertung_Stammdaten!A$11,IF(G41&lt;Bewertung_Stammdaten!B$12,Bewertung_Stammdaten!A$12,IF(G41&lt;Bewertung_Stammdaten!B$13,Bewertung_Stammdaten!A$13,IF(G41&lt;Bewertung_Stammdaten!B$14,Bewertung_Stammdaten!A$14,IF(G41&lt;Bewertung_Stammdaten!B$15,Bewertung_Stammdaten!A$15,IF(G41&lt;Bewertung_Stammdaten!B$16,Bewertung_Stammdaten!A$16,IF(G41&lt;Bewertung_Stammdaten!B$17,Bewertung_Stammdaten!A$17,IF(G41&lt;Bewertung_Stammdaten!B$18,Bewertung_Stammdaten!A$18,IF(G41&lt;Bewertung_Stammdaten!B$19,Bewertung_Stammdaten!A$19,Bewertung_Stammdaten!A$20)))))))))</f>
        <v>12</v>
      </c>
      <c r="K41" s="33">
        <f ca="1">IF(I41&lt;Bewertung_Stammdaten!N$11,Bewertung_Stammdaten!M$11,IF(I41&lt;Bewertung_Stammdaten!N$12,Bewertung_Stammdaten!M$12,IF(I41&lt;Bewertung_Stammdaten!N$13,Bewertung_Stammdaten!M$13,IF(I41&lt;Bewertung_Stammdaten!N$14,Bewertung_Stammdaten!M$14,IF(I41&lt;Bewertung_Stammdaten!N$15,Bewertung_Stammdaten!M$15,IF(I41&lt;Bewertung_Stammdaten!N$16,Bewertung_Stammdaten!M$16,IF(I41&lt;Bewertung_Stammdaten!N$17,Bewertung_Stammdaten!M$17,IF(I41&lt;Bewertung_Stammdaten!N$18,Bewertung_Stammdaten!M$18,IF(I41&lt;Bewertung_Stammdaten!N$19,Bewertung_Stammdaten!M$19,Bewertung_Stammdaten!M$20)))))))))</f>
        <v>7.5</v>
      </c>
      <c r="L41" s="44"/>
      <c r="M41" s="11">
        <f ca="1">VLOOKUP(A41,Buchwert_je_Aktie!A3:AK68,23,FALSE)</f>
        <v>7.9520833333333343</v>
      </c>
      <c r="N41" s="11">
        <f>VLOOKUP(A41,Buchwert_je_Aktie!A3:AK68,19,FALSE)</f>
        <v>6.6407499999999997</v>
      </c>
      <c r="O41" s="12">
        <f ca="1">VLOOKUP(A41,Buchwert_je_Aktie!A3:AK68,24,FALSE)</f>
        <v>0.19746765551079837</v>
      </c>
      <c r="P41" s="12">
        <f>VLOOKUP(A41,Buchwert_je_Aktie!A3:AK68,37,FALSE)</f>
        <v>-0.1459770114942528</v>
      </c>
      <c r="Q41" s="16">
        <f t="shared" ca="1" si="11"/>
        <v>6.7912619731800783</v>
      </c>
      <c r="R41" s="12">
        <f t="shared" ca="1" si="12"/>
        <v>2.2664905798302604E-2</v>
      </c>
      <c r="S41" s="53">
        <f ca="1">IF(O41&lt;Bewertung_Stammdaten!D$24,Bewertung_Stammdaten!C$24,IF(O41&lt;Bewertung_Stammdaten!D$25,Bewertung_Stammdaten!C$25,IF(O41&lt;Bewertung_Stammdaten!D$26,Bewertung_Stammdaten!C$26,IF(O41&lt;Bewertung_Stammdaten!D$27,Bewertung_Stammdaten!C$27,IF(O41&lt;Bewertung_Stammdaten!D$28,Bewertung_Stammdaten!C$28,IF(O41&lt;Bewertung_Stammdaten!D$29,Bewertung_Stammdaten!C$29,IF(O41&lt;Bewertung_Stammdaten!D$30,Bewertung_Stammdaten!C$30,IF(O41&lt;Bewertung_Stammdaten!D$31,Bewertung_Stammdaten!C$31,IF(O41&lt;Bewertung_Stammdaten!D$32,Bewertung_Stammdaten!C$32,Bewertung_Stammdaten!C$33)))))))))</f>
        <v>6</v>
      </c>
      <c r="T41" s="53">
        <f>IF(P41&lt;Bewertung_Stammdaten!F$24,Bewertung_Stammdaten!E$24,IF(P41&lt;Bewertung_Stammdaten!F$25,Bewertung_Stammdaten!E$25,IF(P41&lt;Bewertung_Stammdaten!F$26,Bewertung_Stammdaten!E$26,IF(P41&lt;Bewertung_Stammdaten!F$27,Bewertung_Stammdaten!E$27,IF(P41&lt;Bewertung_Stammdaten!F$28,Bewertung_Stammdaten!E$28,IF(P41&lt;Bewertung_Stammdaten!F$29,Bewertung_Stammdaten!E$29,IF(P41&lt;Bewertung_Stammdaten!F$30,Bewertung_Stammdaten!E$30,IF(P41&lt;Bewertung_Stammdaten!F$31,Bewertung_Stammdaten!E$31,IF(P41&lt;Bewertung_Stammdaten!F$32,Bewertung_Stammdaten!E$32,Bewertung_Stammdaten!E$33)))))))))</f>
        <v>7.5</v>
      </c>
      <c r="U41" s="53">
        <f ca="1">IF(R41&lt;Bewertung_Stammdaten!H$24,Bewertung_Stammdaten!G$24,IF(R41&lt;Bewertung_Stammdaten!H$25,Bewertung_Stammdaten!G$25,IF(R41&lt;Bewertung_Stammdaten!H$26,Bewertung_Stammdaten!G$26,IF(R41&lt;Bewertung_Stammdaten!H$27,Bewertung_Stammdaten!G$27,IF(R41&lt;Bewertung_Stammdaten!H$28,Bewertung_Stammdaten!G$28,IF(R41&lt;Bewertung_Stammdaten!H$29,Bewertung_Stammdaten!G$29,IF(R41&lt;Bewertung_Stammdaten!H$30,Bewertung_Stammdaten!G$30,IF(R41&lt;Bewertung_Stammdaten!H$31,Bewertung_Stammdaten!G$31,IF(R41&lt;Bewertung_Stammdaten!H$32,Bewertung_Stammdaten!G$32,Bewertung_Stammdaten!G$33)))))))))</f>
        <v>3</v>
      </c>
      <c r="V41" s="44"/>
      <c r="W41" s="14">
        <f ca="1">VLOOKUP(A41,Ergebnis_je_Aktie_verwässert!A3:AK68,23,FALSE)</f>
        <v>3.2846111111111114</v>
      </c>
      <c r="X41" s="14">
        <f>VLOOKUP(A41,Ergebnis_je_Aktie_verwässert!A3:AK68,19,FALSE)</f>
        <v>3.1120000000000001</v>
      </c>
      <c r="Y41" s="12">
        <f ca="1">VLOOKUP(A41,Ergebnis_je_Aktie_verwässert!A3:AK68,24,FALSE)</f>
        <v>5.5466295344187344E-2</v>
      </c>
      <c r="Z41" s="41">
        <f>VLOOKUP(A41,Ergebnis_je_Aktie_verwässert!A3:AK68,37,FALSE)</f>
        <v>-8.333333333333337E-2</v>
      </c>
      <c r="AA41" s="16">
        <f t="shared" ca="1" si="13"/>
        <v>3.0108935185185186</v>
      </c>
      <c r="AB41" s="12">
        <f t="shared" ca="1" si="14"/>
        <v>-3.2489229267828268E-2</v>
      </c>
      <c r="AC41" s="33">
        <f ca="1">IF(Y41&lt;Bewertung_Stammdaten!L$11,Bewertung_Stammdaten!K$11,IF(Y41&lt;Bewertung_Stammdaten!L$12,Bewertung_Stammdaten!K$12,IF(Y41&lt;Bewertung_Stammdaten!L$13,Bewertung_Stammdaten!K$13,IF(Y41&lt;Bewertung_Stammdaten!L$14,Bewertung_Stammdaten!K$14,IF(Y41&lt;Bewertung_Stammdaten!L$15,Bewertung_Stammdaten!K$15,IF(Y41&lt;Bewertung_Stammdaten!L$16,Bewertung_Stammdaten!K$16,IF(Y41&lt;Bewertung_Stammdaten!L$17,Bewertung_Stammdaten!K$17,IF(Y41&lt;Bewertung_Stammdaten!L$18,Bewertung_Stammdaten!K$18,IF(Y41&lt;Bewertung_Stammdaten!L$19,Bewertung_Stammdaten!K$19,Bewertung_Stammdaten!K$20)))))))))</f>
        <v>6</v>
      </c>
      <c r="AD41" s="33">
        <f>IF(Z41&lt;Bewertung_Stammdaten!R$11,Bewertung_Stammdaten!Q$11,IF(Z41&lt;Bewertung_Stammdaten!R$12,Bewertung_Stammdaten!Q$12,IF(Z41&lt;Bewertung_Stammdaten!R$13,Bewertung_Stammdaten!Q$13,IF(Z41&lt;Bewertung_Stammdaten!R$14,Bewertung_Stammdaten!Q$14,IF(Z41&lt;Bewertung_Stammdaten!R$15,Bewertung_Stammdaten!Q$15,IF(Z41&lt;Bewertung_Stammdaten!R$16,Bewertung_Stammdaten!Q$16,IF(Z41&lt;Bewertung_Stammdaten!R$17,Bewertung_Stammdaten!Q$17,IF(Z41&lt;Bewertung_Stammdaten!R$18,Bewertung_Stammdaten!Q$18,IF(Z41&lt;Bewertung_Stammdaten!R$19,Bewertung_Stammdaten!Q$19,Bewertung_Stammdaten!Q$20)))))))))</f>
        <v>7</v>
      </c>
      <c r="AE41" s="33">
        <f ca="1">IF(AB41&lt;Bewertung_Stammdaten!P$11,Bewertung_Stammdaten!O$11,IF(AB41&lt;Bewertung_Stammdaten!P$12,Bewertung_Stammdaten!O$12,IF(AB41&lt;Bewertung_Stammdaten!P$13,Bewertung_Stammdaten!O$13,IF(AB41&lt;Bewertung_Stammdaten!P$14,Bewertung_Stammdaten!O$14,IF(AB41&lt;Bewertung_Stammdaten!P$15,Bewertung_Stammdaten!O$15,IF(AB41&lt;Bewertung_Stammdaten!P$16,Bewertung_Stammdaten!O$16,IF(AB41&lt;Bewertung_Stammdaten!P$17,Bewertung_Stammdaten!O$17,IF(AB41&lt;Bewertung_Stammdaten!P$18,Bewertung_Stammdaten!O$18,IF(AB41&lt;Bewertung_Stammdaten!P$19,Bewertung_Stammdaten!O$19,Bewertung_Stammdaten!O$20)))))))))</f>
        <v>4</v>
      </c>
      <c r="AF41" s="44"/>
      <c r="AG41" s="14">
        <f ca="1">VLOOKUP(A41,Dividende_je_Aktie!A3:AM68,24,FALSE)</f>
        <v>2.2643333333333335</v>
      </c>
      <c r="AH41" s="14">
        <f>VLOOKUP(A41,Dividende_je_Aktie!A3:AM68,20,FALSE)</f>
        <v>1.6430374743943239</v>
      </c>
      <c r="AI41" s="12">
        <f ca="1">VLOOKUP(A41,Dividende_je_Aktie!A3:AM68,25,FALSE)</f>
        <v>0.37813858090366392</v>
      </c>
      <c r="AJ41" s="41">
        <f>VLOOKUP(A41,Dividende_je_Aktie!A3:AM68,39,FALSE)</f>
        <v>-0.15459697732997491</v>
      </c>
      <c r="AK41" s="16">
        <f t="shared" ca="1" si="6"/>
        <v>1.9142742443324936</v>
      </c>
      <c r="AL41" s="12">
        <f t="shared" ca="1" si="7"/>
        <v>0.16508252195413631</v>
      </c>
      <c r="AM41" s="33">
        <f ca="1">IF(AI41&lt;Bewertung_Stammdaten!P$24,Bewertung_Stammdaten!O$24,IF(AI41&lt;Bewertung_Stammdaten!P$25,Bewertung_Stammdaten!O$25,IF(AI41&lt;Bewertung_Stammdaten!P$26,Bewertung_Stammdaten!O$26,IF(AI41&lt;Bewertung_Stammdaten!P$27,Bewertung_Stammdaten!O$27,IF(AI41&lt;Bewertung_Stammdaten!P$28,Bewertung_Stammdaten!O$28,IF(AI41&lt;Bewertung_Stammdaten!P$29,Bewertung_Stammdaten!O$29,IF(AI41&lt;Bewertung_Stammdaten!P$30,Bewertung_Stammdaten!O$30,IF(AI41&lt;Bewertung_Stammdaten!P$31,Bewertung_Stammdaten!O$31,IF(AI41&lt;Bewertung_Stammdaten!P$32,Bewertung_Stammdaten!O$32,Bewertung_Stammdaten!O$33)))))))))</f>
        <v>12</v>
      </c>
      <c r="AN41" s="33">
        <f>IF(AJ41&lt;Bewertung_Stammdaten!R$24,Bewertung_Stammdaten!Q$24,IF(AJ41&lt;Bewertung_Stammdaten!R$25,Bewertung_Stammdaten!Q$25,IF(AJ41&lt;Bewertung_Stammdaten!R$26,Bewertung_Stammdaten!Q$26,IF(AJ41&lt;Bewertung_Stammdaten!R$27,Bewertung_Stammdaten!Q$27,IF(AJ41&lt;Bewertung_Stammdaten!R$28,Bewertung_Stammdaten!Q$28,IF(AJ41&lt;Bewertung_Stammdaten!R$29,Bewertung_Stammdaten!Q$29,IF(AJ41&lt;Bewertung_Stammdaten!R$30,Bewertung_Stammdaten!Q$30,IF(AJ41&lt;Bewertung_Stammdaten!R$31,Bewertung_Stammdaten!Q$31,IF(AJ41&lt;Bewertung_Stammdaten!R$32,Bewertung_Stammdaten!Q$32,Bewertung_Stammdaten!Q$33)))))))))</f>
        <v>6</v>
      </c>
      <c r="AO41" s="33">
        <f ca="1">IF(AL41&lt;Bewertung_Stammdaten!T$24,Bewertung_Stammdaten!S$24,IF(AL41&lt;Bewertung_Stammdaten!T$25,Bewertung_Stammdaten!S$25,IF(AL41&lt;Bewertung_Stammdaten!T$26,Bewertung_Stammdaten!S$26,IF(AL41&lt;Bewertung_Stammdaten!T$27,Bewertung_Stammdaten!S$27,IF(AL41&lt;Bewertung_Stammdaten!T$28,Bewertung_Stammdaten!S$28,IF(AL41&lt;Bewertung_Stammdaten!T$29,Bewertung_Stammdaten!S$29,IF(AL41&lt;Bewertung_Stammdaten!T$30,Bewertung_Stammdaten!S$30,IF(AL41&lt;Bewertung_Stammdaten!T$31,Bewertung_Stammdaten!S$31,IF(AL41&lt;Bewertung_Stammdaten!T$32,Bewertung_Stammdaten!S$32,Bewertung_Stammdaten!S$33)))))))))</f>
        <v>6</v>
      </c>
      <c r="AP41" s="44"/>
      <c r="AQ41" s="12">
        <f ca="1">VLOOKUP(A41,Dividendenrendite!A3:R68,17,FALSE)</f>
        <v>3.6728845633955128E-2</v>
      </c>
      <c r="AR41" s="12">
        <f>VLOOKUP(A41,Dividendenrendite!A3:R68,16,FALSE)</f>
        <v>3.4416644355936873E-2</v>
      </c>
      <c r="AS41" s="12">
        <f ca="1">VLOOKUP(A41,Dividendenrendite!A3:R68,18,FALSE)</f>
        <v>6.7182647271055052E-2</v>
      </c>
      <c r="AT41" s="33">
        <f ca="1">IF(AQ41&lt;Bewertung_Stammdaten!D$11,Bewertung_Stammdaten!C$11,IF(AQ41&lt;Bewertung_Stammdaten!D$12,Bewertung_Stammdaten!C$12,IF(AQ41&lt;Bewertung_Stammdaten!D$13,Bewertung_Stammdaten!C$13,IF(AQ41&lt;Bewertung_Stammdaten!D$14,Bewertung_Stammdaten!C$14,IF(AQ41&lt;Bewertung_Stammdaten!D$15,Bewertung_Stammdaten!C$15,IF(AQ41&lt;Bewertung_Stammdaten!D$16,Bewertung_Stammdaten!C$16,IF(AQ41&lt;Bewertung_Stammdaten!D$17,Bewertung_Stammdaten!C$17,IF(AQ41&lt;Bewertung_Stammdaten!D$18,Bewertung_Stammdaten!C$18,IF(AQ41&lt;Bewertung_Stammdaten!D$19,Bewertung_Stammdaten!C$19,Bewertung_Stammdaten!C$20)))))))))</f>
        <v>12</v>
      </c>
      <c r="AU41" s="33">
        <f>IF(AR41&lt;Bewertung_Stammdaten!T$11,Bewertung_Stammdaten!S$11,IF(AR41&lt;Bewertung_Stammdaten!T$12,Bewertung_Stammdaten!S$12,IF(AR41&lt;Bewertung_Stammdaten!T$13,Bewertung_Stammdaten!S$13,IF(AR41&lt;Bewertung_Stammdaten!T$14,Bewertung_Stammdaten!S$14,IF(AR41&lt;Bewertung_Stammdaten!T$15,Bewertung_Stammdaten!S$15,IF(AR41&lt;Bewertung_Stammdaten!T$16,Bewertung_Stammdaten!S$16,IF(AR41&lt;Bewertung_Stammdaten!T$17,Bewertung_Stammdaten!S$17,IF(AR41&lt;Bewertung_Stammdaten!T$18,Bewertung_Stammdaten!S$18,IF(AR41&lt;Bewertung_Stammdaten!T$19,Bewertung_Stammdaten!S$19,Bewertung_Stammdaten!S$20)))))))))</f>
        <v>7</v>
      </c>
      <c r="AV41" s="33">
        <f ca="1">IF(AS41&lt;Bewertung_Stammdaten!F$11,Bewertung_Stammdaten!E$11,IF(AS41&lt;Bewertung_Stammdaten!F$12,Bewertung_Stammdaten!E$12,IF(AS41&lt;Bewertung_Stammdaten!F$13,Bewertung_Stammdaten!E$13,IF(AS41&lt;Bewertung_Stammdaten!F$14,Bewertung_Stammdaten!E$14,IF(AS41&lt;Bewertung_Stammdaten!F$15,Bewertung_Stammdaten!E$15,IF(AS41&lt;Bewertung_Stammdaten!F$16,Bewertung_Stammdaten!E$16,IF(AS41&lt;Bewertung_Stammdaten!F$17,Bewertung_Stammdaten!E$17,IF(AS41&lt;Bewertung_Stammdaten!F$18,Bewertung_Stammdaten!E$18,IF(AS41&lt;Bewertung_Stammdaten!F$19,Bewertung_Stammdaten!E$19,Bewertung_Stammdaten!E$20)))))))))</f>
        <v>3.5</v>
      </c>
      <c r="AW41" s="44"/>
      <c r="AX41" s="12">
        <f>VLOOKUP(A41,Aktien_im_Umlauf_splitbereinigt!A3:Z68,26,FALSE)</f>
        <v>-1.5059281246331491E-2</v>
      </c>
      <c r="AY41" s="12">
        <f>VLOOKUP(A41,Aktien_im_Umlauf_splitbereinigt!A3:Y68,24,FALSE)</f>
        <v>-5.052265629485575E-3</v>
      </c>
      <c r="AZ41" s="12">
        <f>VLOOKUP(A41,Aktien_im_Umlauf_splitbereinigt!A3:Y68,25,FALSE)</f>
        <v>1.9806986312128716</v>
      </c>
      <c r="BA41" s="42">
        <f>IF(AX41&lt;Bewertung_Stammdaten!J$24,Bewertung_Stammdaten!I$24,IF(AX41&lt;Bewertung_Stammdaten!J$25,Bewertung_Stammdaten!I$25,IF(AX41&lt;Bewertung_Stammdaten!J$26,Bewertung_Stammdaten!I$26,IF(AX41&lt;Bewertung_Stammdaten!J$27,Bewertung_Stammdaten!I$27,IF(AX41&lt;Bewertung_Stammdaten!J$28,Bewertung_Stammdaten!I$28,IF(AX41&lt;Bewertung_Stammdaten!J$29,Bewertung_Stammdaten!I$29,IF(AX41&lt;Bewertung_Stammdaten!J$30,Bewertung_Stammdaten!I$30,IF(AX41&lt;Bewertung_Stammdaten!J$31,Bewertung_Stammdaten!I$31,IF(AX41&lt;Bewertung_Stammdaten!J$32,Bewertung_Stammdaten!I$32,Bewertung_Stammdaten!I$33)))))))))</f>
        <v>6</v>
      </c>
      <c r="BB41" s="42">
        <f>IF(AY41&lt;Bewertung_Stammdaten!L$24,Bewertung_Stammdaten!K$24,IF(AY41&lt;Bewertung_Stammdaten!L$25,Bewertung_Stammdaten!K$25,IF(AY41&lt;Bewertung_Stammdaten!L$26,Bewertung_Stammdaten!K$26,IF(AY41&lt;Bewertung_Stammdaten!L$27,Bewertung_Stammdaten!K$27,IF(AY41&lt;Bewertung_Stammdaten!L$28,Bewertung_Stammdaten!K$28,IF(AY41&lt;Bewertung_Stammdaten!L$29,Bewertung_Stammdaten!K$29,IF(AY41&lt;Bewertung_Stammdaten!L$30,Bewertung_Stammdaten!K$30,IF(AY41&lt;Bewertung_Stammdaten!L$31,Bewertung_Stammdaten!K$31,IF(AY41&lt;Bewertung_Stammdaten!L$32,Bewertung_Stammdaten!K$32,Bewertung_Stammdaten!K$33)))))))))</f>
        <v>4</v>
      </c>
      <c r="BC41" s="42">
        <f>IF(AZ41&lt;Bewertung_Stammdaten!N$24,Bewertung_Stammdaten!M$24,IF(AZ41&lt;Bewertung_Stammdaten!N$25,Bewertung_Stammdaten!M$25,IF(AZ41&lt;Bewertung_Stammdaten!N$26,Bewertung_Stammdaten!M$26,IF(AZ41&lt;Bewertung_Stammdaten!N$27,Bewertung_Stammdaten!M$27,IF(AZ41&lt;Bewertung_Stammdaten!N$28,Bewertung_Stammdaten!M$28,IF(AZ41&lt;Bewertung_Stammdaten!N$29,Bewertung_Stammdaten!M$29,IF(AZ41&lt;Bewertung_Stammdaten!N$30,Bewertung_Stammdaten!M$30,IF(AZ41&lt;Bewertung_Stammdaten!N$31,Bewertung_Stammdaten!M$31,IF(AZ41&lt;Bewertung_Stammdaten!N$32,Bewertung_Stammdaten!M$32,Bewertung_Stammdaten!M$33)))))))))</f>
        <v>5</v>
      </c>
      <c r="BD41" s="44"/>
      <c r="BE41" s="12">
        <f ca="1">VLOOKUP(A41,Ausschüttungsquote!A3:X68,23,FALSE)</f>
        <v>0.68947683500241852</v>
      </c>
      <c r="BF41" s="12">
        <f>VLOOKUP(A41,Ausschüttungsquote!A3:X68,19,FALSE)</f>
        <v>0.52128215679167511</v>
      </c>
      <c r="BG41" s="12">
        <f ca="1">VLOOKUP(A41,Ausschüttungsquote!A3:X68,24,FALSE)</f>
        <v>0.32265573647471046</v>
      </c>
      <c r="BH41" s="33">
        <f ca="1">IF(BE41&lt;Bewertung_Stammdaten!H$11,Bewertung_Stammdaten!G$11,IF(BE41&lt;Bewertung_Stammdaten!H$12,Bewertung_Stammdaten!G$12,IF(BE41&lt;Bewertung_Stammdaten!H$13,Bewertung_Stammdaten!G$13,IF(BE41&lt;Bewertung_Stammdaten!H$14,Bewertung_Stammdaten!G$14,IF(BE41&lt;Bewertung_Stammdaten!H$15,Bewertung_Stammdaten!G$15,IF(BE41&lt;Bewertung_Stammdaten!H$16,Bewertung_Stammdaten!G$16,IF(BE41&lt;Bewertung_Stammdaten!H$17,Bewertung_Stammdaten!G$17,IF(BE41&lt;Bewertung_Stammdaten!H$18,Bewertung_Stammdaten!G$18,IF(BE41&lt;Bewertung_Stammdaten!H$19,Bewertung_Stammdaten!G$19,Bewertung_Stammdaten!G$20)))))))))</f>
        <v>4</v>
      </c>
      <c r="BI41" s="42">
        <f>IF(BF41&lt;Bewertung_Stammdaten!B$24,Bewertung_Stammdaten!A$24,IF(BF41&lt;Bewertung_Stammdaten!B$25,Bewertung_Stammdaten!A$25,IF(BF41&lt;Bewertung_Stammdaten!B$26,Bewertung_Stammdaten!A$26,IF(BF41&lt;Bewertung_Stammdaten!B$27,Bewertung_Stammdaten!A$27,IF(BF41&lt;Bewertung_Stammdaten!B$28,Bewertung_Stammdaten!A$28,IF(BF41&lt;Bewertung_Stammdaten!B$29,Bewertung_Stammdaten!A$29,IF(BF41&lt;Bewertung_Stammdaten!B$30,Bewertung_Stammdaten!A$30,IF(BF41&lt;Bewertung_Stammdaten!B$31,Bewertung_Stammdaten!A$31,IF(BF41&lt;Bewertung_Stammdaten!B$32,Bewertung_Stammdaten!A$32,Bewertung_Stammdaten!A$33)))))))))</f>
        <v>7</v>
      </c>
      <c r="BJ41" s="33">
        <f ca="1">IF(BG41&lt;Bewertung_Stammdaten!J$11,Bewertung_Stammdaten!I$11,IF(BG41&lt;Bewertung_Stammdaten!J$12,Bewertung_Stammdaten!I$12,IF(BG41&lt;Bewertung_Stammdaten!J$13,Bewertung_Stammdaten!I$13,IF(BG41&lt;Bewertung_Stammdaten!J$14,Bewertung_Stammdaten!I$14,IF(BG41&lt;Bewertung_Stammdaten!J$15,Bewertung_Stammdaten!I$15,IF(BG41&lt;Bewertung_Stammdaten!J$16,Bewertung_Stammdaten!I$16,IF(BG41&lt;Bewertung_Stammdaten!J$17,Bewertung_Stammdaten!I$17,IF(BG41&lt;Bewertung_Stammdaten!J$18,Bewertung_Stammdaten!I$18,IF(BG41&lt;Bewertung_Stammdaten!J$19,Bewertung_Stammdaten!I$19,Bewertung_Stammdaten!I$20)))))))))</f>
        <v>1</v>
      </c>
    </row>
    <row r="42" spans="1:62" x14ac:dyDescent="0.25">
      <c r="A42" s="39" t="s">
        <v>78</v>
      </c>
      <c r="B42" s="39" t="s">
        <v>79</v>
      </c>
      <c r="C42" s="33">
        <f t="shared" ca="1" si="8"/>
        <v>123.5</v>
      </c>
      <c r="D42" s="44"/>
      <c r="E42" s="11">
        <f ca="1">VLOOKUP(A42,KGV!A3:R68,17,FALSE)</f>
        <v>18.940746686761795</v>
      </c>
      <c r="F42" s="11">
        <f>VLOOKUP(A42,KGV!A3:R68,16,FALSE)</f>
        <v>15.715686274509805</v>
      </c>
      <c r="G42" s="12">
        <f ca="1">VLOOKUP(A42,KGV!A3:R68,18,FALSE)</f>
        <v>0.205212827230008</v>
      </c>
      <c r="H42" s="16">
        <f t="shared" ca="1" si="9"/>
        <v>21.809365998242313</v>
      </c>
      <c r="I42" s="12">
        <f t="shared" ca="1" si="10"/>
        <v>0.38774506039969792</v>
      </c>
      <c r="J42" s="33">
        <f ca="1">IF(G42&lt;Bewertung_Stammdaten!B$11,Bewertung_Stammdaten!A$11,IF(G42&lt;Bewertung_Stammdaten!B$12,Bewertung_Stammdaten!A$12,IF(G42&lt;Bewertung_Stammdaten!B$13,Bewertung_Stammdaten!A$13,IF(G42&lt;Bewertung_Stammdaten!B$14,Bewertung_Stammdaten!A$14,IF(G42&lt;Bewertung_Stammdaten!B$15,Bewertung_Stammdaten!A$15,IF(G42&lt;Bewertung_Stammdaten!B$16,Bewertung_Stammdaten!A$16,IF(G42&lt;Bewertung_Stammdaten!B$17,Bewertung_Stammdaten!A$17,IF(G42&lt;Bewertung_Stammdaten!B$18,Bewertung_Stammdaten!A$18,IF(G42&lt;Bewertung_Stammdaten!B$19,Bewertung_Stammdaten!A$19,Bewertung_Stammdaten!A$20)))))))))</f>
        <v>6</v>
      </c>
      <c r="K42" s="33">
        <f ca="1">IF(I42&lt;Bewertung_Stammdaten!N$11,Bewertung_Stammdaten!M$11,IF(I42&lt;Bewertung_Stammdaten!N$12,Bewertung_Stammdaten!M$12,IF(I42&lt;Bewertung_Stammdaten!N$13,Bewertung_Stammdaten!M$13,IF(I42&lt;Bewertung_Stammdaten!N$14,Bewertung_Stammdaten!M$14,IF(I42&lt;Bewertung_Stammdaten!N$15,Bewertung_Stammdaten!M$15,IF(I42&lt;Bewertung_Stammdaten!N$16,Bewertung_Stammdaten!M$16,IF(I42&lt;Bewertung_Stammdaten!N$17,Bewertung_Stammdaten!M$17,IF(I42&lt;Bewertung_Stammdaten!N$18,Bewertung_Stammdaten!M$18,IF(I42&lt;Bewertung_Stammdaten!N$19,Bewertung_Stammdaten!M$19,Bewertung_Stammdaten!M$20)))))))))</f>
        <v>3</v>
      </c>
      <c r="L42" s="44"/>
      <c r="M42" s="11">
        <f ca="1">VLOOKUP(A42,Buchwert_je_Aktie!A3:AK68,23,FALSE)</f>
        <v>12.698611111111111</v>
      </c>
      <c r="N42" s="11">
        <f>VLOOKUP(A42,Buchwert_je_Aktie!A3:AK68,19,FALSE)</f>
        <v>13.257692307692311</v>
      </c>
      <c r="O42" s="12">
        <f ca="1">VLOOKUP(A42,Buchwert_je_Aktie!A3:AK68,24,FALSE)</f>
        <v>-4.2170325242562257E-2</v>
      </c>
      <c r="P42" s="12">
        <f>VLOOKUP(A42,Buchwert_je_Aktie!A3:AK68,37,FALSE)</f>
        <v>-0.17388613861386137</v>
      </c>
      <c r="Q42" s="16">
        <f t="shared" ca="1" si="11"/>
        <v>10.490498659240924</v>
      </c>
      <c r="R42" s="12">
        <f t="shared" ca="1" si="12"/>
        <v>-0.2087236288359039</v>
      </c>
      <c r="S42" s="53">
        <f ca="1">IF(O42&lt;Bewertung_Stammdaten!D$24,Bewertung_Stammdaten!C$24,IF(O42&lt;Bewertung_Stammdaten!D$25,Bewertung_Stammdaten!C$25,IF(O42&lt;Bewertung_Stammdaten!D$26,Bewertung_Stammdaten!C$26,IF(O42&lt;Bewertung_Stammdaten!D$27,Bewertung_Stammdaten!C$27,IF(O42&lt;Bewertung_Stammdaten!D$28,Bewertung_Stammdaten!C$28,IF(O42&lt;Bewertung_Stammdaten!D$29,Bewertung_Stammdaten!C$29,IF(O42&lt;Bewertung_Stammdaten!D$30,Bewertung_Stammdaten!C$30,IF(O42&lt;Bewertung_Stammdaten!D$31,Bewertung_Stammdaten!C$31,IF(O42&lt;Bewertung_Stammdaten!D$32,Bewertung_Stammdaten!C$32,Bewertung_Stammdaten!C$33)))))))))</f>
        <v>3</v>
      </c>
      <c r="T42" s="53">
        <f>IF(P42&lt;Bewertung_Stammdaten!F$24,Bewertung_Stammdaten!E$24,IF(P42&lt;Bewertung_Stammdaten!F$25,Bewertung_Stammdaten!E$25,IF(P42&lt;Bewertung_Stammdaten!F$26,Bewertung_Stammdaten!E$26,IF(P42&lt;Bewertung_Stammdaten!F$27,Bewertung_Stammdaten!E$27,IF(P42&lt;Bewertung_Stammdaten!F$28,Bewertung_Stammdaten!E$28,IF(P42&lt;Bewertung_Stammdaten!F$29,Bewertung_Stammdaten!E$29,IF(P42&lt;Bewertung_Stammdaten!F$30,Bewertung_Stammdaten!E$30,IF(P42&lt;Bewertung_Stammdaten!F$31,Bewertung_Stammdaten!E$31,IF(P42&lt;Bewertung_Stammdaten!F$32,Bewertung_Stammdaten!E$32,Bewertung_Stammdaten!E$33)))))))))</f>
        <v>6</v>
      </c>
      <c r="U42" s="53">
        <f ca="1">IF(R42&lt;Bewertung_Stammdaten!H$24,Bewertung_Stammdaten!G$24,IF(R42&lt;Bewertung_Stammdaten!H$25,Bewertung_Stammdaten!G$25,IF(R42&lt;Bewertung_Stammdaten!H$26,Bewertung_Stammdaten!G$26,IF(R42&lt;Bewertung_Stammdaten!H$27,Bewertung_Stammdaten!G$27,IF(R42&lt;Bewertung_Stammdaten!H$28,Bewertung_Stammdaten!G$28,IF(R42&lt;Bewertung_Stammdaten!H$29,Bewertung_Stammdaten!G$29,IF(R42&lt;Bewertung_Stammdaten!H$30,Bewertung_Stammdaten!G$30,IF(R42&lt;Bewertung_Stammdaten!H$31,Bewertung_Stammdaten!G$31,IF(R42&lt;Bewertung_Stammdaten!H$32,Bewertung_Stammdaten!G$32,Bewertung_Stammdaten!G$33)))))))))</f>
        <v>1</v>
      </c>
      <c r="V42" s="44"/>
      <c r="W42" s="14">
        <f ca="1">VLOOKUP(A42,Ergebnis_je_Aktie_verwässert!A3:AK68,23,FALSE)</f>
        <v>5.0869166666666654</v>
      </c>
      <c r="X42" s="14">
        <f>VLOOKUP(A42,Ergebnis_je_Aktie_verwässert!A3:AK68,19,FALSE)</f>
        <v>4.4538461538461531</v>
      </c>
      <c r="Y42" s="12">
        <f ca="1">VLOOKUP(A42,Ergebnis_je_Aktie_verwässert!A3:AK68,24,FALSE)</f>
        <v>0.14214018422567642</v>
      </c>
      <c r="Z42" s="41">
        <f>VLOOKUP(A42,Ergebnis_je_Aktie_verwässert!A3:AK68,37,FALSE)</f>
        <v>-0.13153153153153141</v>
      </c>
      <c r="AA42" s="16">
        <f t="shared" ca="1" si="13"/>
        <v>4.4178267267267266</v>
      </c>
      <c r="AB42" s="12">
        <f t="shared" ca="1" si="14"/>
        <v>-8.087263429232161E-3</v>
      </c>
      <c r="AC42" s="33">
        <f ca="1">IF(Y42&lt;Bewertung_Stammdaten!L$11,Bewertung_Stammdaten!K$11,IF(Y42&lt;Bewertung_Stammdaten!L$12,Bewertung_Stammdaten!K$12,IF(Y42&lt;Bewertung_Stammdaten!L$13,Bewertung_Stammdaten!K$13,IF(Y42&lt;Bewertung_Stammdaten!L$14,Bewertung_Stammdaten!K$14,IF(Y42&lt;Bewertung_Stammdaten!L$15,Bewertung_Stammdaten!K$15,IF(Y42&lt;Bewertung_Stammdaten!L$16,Bewertung_Stammdaten!K$16,IF(Y42&lt;Bewertung_Stammdaten!L$17,Bewertung_Stammdaten!K$17,IF(Y42&lt;Bewertung_Stammdaten!L$18,Bewertung_Stammdaten!K$18,IF(Y42&lt;Bewertung_Stammdaten!L$19,Bewertung_Stammdaten!K$19,Bewertung_Stammdaten!K$20)))))))))</f>
        <v>8</v>
      </c>
      <c r="AD42" s="33">
        <f>IF(Z42&lt;Bewertung_Stammdaten!R$11,Bewertung_Stammdaten!Q$11,IF(Z42&lt;Bewertung_Stammdaten!R$12,Bewertung_Stammdaten!Q$12,IF(Z42&lt;Bewertung_Stammdaten!R$13,Bewertung_Stammdaten!Q$13,IF(Z42&lt;Bewertung_Stammdaten!R$14,Bewertung_Stammdaten!Q$14,IF(Z42&lt;Bewertung_Stammdaten!R$15,Bewertung_Stammdaten!Q$15,IF(Z42&lt;Bewertung_Stammdaten!R$16,Bewertung_Stammdaten!Q$16,IF(Z42&lt;Bewertung_Stammdaten!R$17,Bewertung_Stammdaten!Q$17,IF(Z42&lt;Bewertung_Stammdaten!R$18,Bewertung_Stammdaten!Q$18,IF(Z42&lt;Bewertung_Stammdaten!R$19,Bewertung_Stammdaten!Q$19,Bewertung_Stammdaten!Q$20)))))))))</f>
        <v>6</v>
      </c>
      <c r="AE42" s="33">
        <f ca="1">IF(AB42&lt;Bewertung_Stammdaten!P$11,Bewertung_Stammdaten!O$11,IF(AB42&lt;Bewertung_Stammdaten!P$12,Bewertung_Stammdaten!O$12,IF(AB42&lt;Bewertung_Stammdaten!P$13,Bewertung_Stammdaten!O$13,IF(AB42&lt;Bewertung_Stammdaten!P$14,Bewertung_Stammdaten!O$14,IF(AB42&lt;Bewertung_Stammdaten!P$15,Bewertung_Stammdaten!O$15,IF(AB42&lt;Bewertung_Stammdaten!P$16,Bewertung_Stammdaten!O$16,IF(AB42&lt;Bewertung_Stammdaten!P$17,Bewertung_Stammdaten!O$17,IF(AB42&lt;Bewertung_Stammdaten!P$18,Bewertung_Stammdaten!O$18,IF(AB42&lt;Bewertung_Stammdaten!P$19,Bewertung_Stammdaten!O$19,Bewertung_Stammdaten!O$20)))))))))</f>
        <v>4</v>
      </c>
      <c r="AF42" s="44"/>
      <c r="AG42" s="14">
        <f ca="1">VLOOKUP(A42,Dividende_je_Aktie!A3:AM68,24,FALSE)</f>
        <v>3.5066388888888889</v>
      </c>
      <c r="AH42" s="14">
        <f>VLOOKUP(A42,Dividende_je_Aktie!A3:AM68,20,FALSE)</f>
        <v>2.3257142857142861</v>
      </c>
      <c r="AI42" s="12">
        <f ca="1">VLOOKUP(A42,Dividende_je_Aktie!A3:AM68,25,FALSE)</f>
        <v>0.50776856401856385</v>
      </c>
      <c r="AJ42" s="41">
        <f>VLOOKUP(A42,Dividende_je_Aktie!A3:AM68,39,FALSE)</f>
        <v>5.12820512820511E-2</v>
      </c>
      <c r="AK42" s="16">
        <f t="shared" ca="1" si="6"/>
        <v>3.5066388888888889</v>
      </c>
      <c r="AL42" s="12">
        <f t="shared" ca="1" si="7"/>
        <v>0.50776856401856385</v>
      </c>
      <c r="AM42" s="33">
        <f ca="1">IF(AI42&lt;Bewertung_Stammdaten!P$24,Bewertung_Stammdaten!O$24,IF(AI42&lt;Bewertung_Stammdaten!P$25,Bewertung_Stammdaten!O$25,IF(AI42&lt;Bewertung_Stammdaten!P$26,Bewertung_Stammdaten!O$26,IF(AI42&lt;Bewertung_Stammdaten!P$27,Bewertung_Stammdaten!O$27,IF(AI42&lt;Bewertung_Stammdaten!P$28,Bewertung_Stammdaten!O$28,IF(AI42&lt;Bewertung_Stammdaten!P$29,Bewertung_Stammdaten!O$29,IF(AI42&lt;Bewertung_Stammdaten!P$30,Bewertung_Stammdaten!O$30,IF(AI42&lt;Bewertung_Stammdaten!P$31,Bewertung_Stammdaten!O$31,IF(AI42&lt;Bewertung_Stammdaten!P$32,Bewertung_Stammdaten!O$32,Bewertung_Stammdaten!O$33)))))))))</f>
        <v>16</v>
      </c>
      <c r="AN42" s="33">
        <f>IF(AJ42&lt;Bewertung_Stammdaten!R$24,Bewertung_Stammdaten!Q$24,IF(AJ42&lt;Bewertung_Stammdaten!R$25,Bewertung_Stammdaten!Q$25,IF(AJ42&lt;Bewertung_Stammdaten!R$26,Bewertung_Stammdaten!Q$26,IF(AJ42&lt;Bewertung_Stammdaten!R$27,Bewertung_Stammdaten!Q$27,IF(AJ42&lt;Bewertung_Stammdaten!R$28,Bewertung_Stammdaten!Q$28,IF(AJ42&lt;Bewertung_Stammdaten!R$29,Bewertung_Stammdaten!Q$29,IF(AJ42&lt;Bewertung_Stammdaten!R$30,Bewertung_Stammdaten!Q$30,IF(AJ42&lt;Bewertung_Stammdaten!R$31,Bewertung_Stammdaten!Q$31,IF(AJ42&lt;Bewertung_Stammdaten!R$32,Bewertung_Stammdaten!Q$32,Bewertung_Stammdaten!Q$33)))))))))</f>
        <v>8</v>
      </c>
      <c r="AO42" s="33">
        <f ca="1">IF(AL42&lt;Bewertung_Stammdaten!T$24,Bewertung_Stammdaten!S$24,IF(AL42&lt;Bewertung_Stammdaten!T$25,Bewertung_Stammdaten!S$25,IF(AL42&lt;Bewertung_Stammdaten!T$26,Bewertung_Stammdaten!S$26,IF(AL42&lt;Bewertung_Stammdaten!T$27,Bewertung_Stammdaten!S$27,IF(AL42&lt;Bewertung_Stammdaten!T$28,Bewertung_Stammdaten!S$28,IF(AL42&lt;Bewertung_Stammdaten!T$29,Bewertung_Stammdaten!S$29,IF(AL42&lt;Bewertung_Stammdaten!T$30,Bewertung_Stammdaten!S$30,IF(AL42&lt;Bewertung_Stammdaten!T$31,Bewertung_Stammdaten!S$31,IF(AL42&lt;Bewertung_Stammdaten!T$32,Bewertung_Stammdaten!S$32,Bewertung_Stammdaten!S$33)))))))))</f>
        <v>9</v>
      </c>
      <c r="AP42" s="44"/>
      <c r="AQ42" s="12">
        <f ca="1">VLOOKUP(A42,Dividendenrendite!A3:R68,17,FALSE)</f>
        <v>3.6394799054373525E-2</v>
      </c>
      <c r="AR42" s="12">
        <f>VLOOKUP(A42,Dividendenrendite!A3:R68,16,FALSE)</f>
        <v>2.8662739246335923E-2</v>
      </c>
      <c r="AS42" s="12">
        <f ca="1">VLOOKUP(A42,Dividendenrendite!A3:R68,18,FALSE)</f>
        <v>0.26975997449462286</v>
      </c>
      <c r="AT42" s="33">
        <f ca="1">IF(AQ42&lt;Bewertung_Stammdaten!D$11,Bewertung_Stammdaten!C$11,IF(AQ42&lt;Bewertung_Stammdaten!D$12,Bewertung_Stammdaten!C$12,IF(AQ42&lt;Bewertung_Stammdaten!D$13,Bewertung_Stammdaten!C$13,IF(AQ42&lt;Bewertung_Stammdaten!D$14,Bewertung_Stammdaten!C$14,IF(AQ42&lt;Bewertung_Stammdaten!D$15,Bewertung_Stammdaten!C$15,IF(AQ42&lt;Bewertung_Stammdaten!D$16,Bewertung_Stammdaten!C$16,IF(AQ42&lt;Bewertung_Stammdaten!D$17,Bewertung_Stammdaten!C$17,IF(AQ42&lt;Bewertung_Stammdaten!D$18,Bewertung_Stammdaten!C$18,IF(AQ42&lt;Bewertung_Stammdaten!D$19,Bewertung_Stammdaten!C$19,Bewertung_Stammdaten!C$20)))))))))</f>
        <v>12</v>
      </c>
      <c r="AU42" s="33">
        <f>IF(AR42&lt;Bewertung_Stammdaten!T$11,Bewertung_Stammdaten!S$11,IF(AR42&lt;Bewertung_Stammdaten!T$12,Bewertung_Stammdaten!S$12,IF(AR42&lt;Bewertung_Stammdaten!T$13,Bewertung_Stammdaten!S$13,IF(AR42&lt;Bewertung_Stammdaten!T$14,Bewertung_Stammdaten!S$14,IF(AR42&lt;Bewertung_Stammdaten!T$15,Bewertung_Stammdaten!S$15,IF(AR42&lt;Bewertung_Stammdaten!T$16,Bewertung_Stammdaten!S$16,IF(AR42&lt;Bewertung_Stammdaten!T$17,Bewertung_Stammdaten!S$17,IF(AR42&lt;Bewertung_Stammdaten!T$18,Bewertung_Stammdaten!S$18,IF(AR42&lt;Bewertung_Stammdaten!T$19,Bewertung_Stammdaten!S$19,Bewertung_Stammdaten!S$20)))))))))</f>
        <v>6</v>
      </c>
      <c r="AV42" s="33">
        <f ca="1">IF(AS42&lt;Bewertung_Stammdaten!F$11,Bewertung_Stammdaten!E$11,IF(AS42&lt;Bewertung_Stammdaten!F$12,Bewertung_Stammdaten!E$12,IF(AS42&lt;Bewertung_Stammdaten!F$13,Bewertung_Stammdaten!E$13,IF(AS42&lt;Bewertung_Stammdaten!F$14,Bewertung_Stammdaten!E$14,IF(AS42&lt;Bewertung_Stammdaten!F$15,Bewertung_Stammdaten!E$15,IF(AS42&lt;Bewertung_Stammdaten!F$16,Bewertung_Stammdaten!E$16,IF(AS42&lt;Bewertung_Stammdaten!F$17,Bewertung_Stammdaten!E$17,IF(AS42&lt;Bewertung_Stammdaten!F$18,Bewertung_Stammdaten!E$18,IF(AS42&lt;Bewertung_Stammdaten!F$19,Bewertung_Stammdaten!E$19,Bewertung_Stammdaten!E$20)))))))))</f>
        <v>5</v>
      </c>
      <c r="AW42" s="44"/>
      <c r="AX42" s="12">
        <f>VLOOKUP(A42,Aktien_im_Umlauf_splitbereinigt!A3:Z68,26,FALSE)</f>
        <v>-2.7766558966074273E-2</v>
      </c>
      <c r="AY42" s="12">
        <f>VLOOKUP(A42,Aktien_im_Umlauf_splitbereinigt!A3:Y68,24,FALSE)</f>
        <v>-2.9593848013262605E-2</v>
      </c>
      <c r="AZ42" s="12">
        <f>VLOOKUP(A42,Aktien_im_Umlauf_splitbereinigt!A3:Y68,25,FALSE)</f>
        <v>-6.1745571119018572E-2</v>
      </c>
      <c r="BA42" s="42">
        <f>IF(AX42&lt;Bewertung_Stammdaten!J$24,Bewertung_Stammdaten!I$24,IF(AX42&lt;Bewertung_Stammdaten!J$25,Bewertung_Stammdaten!I$25,IF(AX42&lt;Bewertung_Stammdaten!J$26,Bewertung_Stammdaten!I$26,IF(AX42&lt;Bewertung_Stammdaten!J$27,Bewertung_Stammdaten!I$27,IF(AX42&lt;Bewertung_Stammdaten!J$28,Bewertung_Stammdaten!I$28,IF(AX42&lt;Bewertung_Stammdaten!J$29,Bewertung_Stammdaten!I$29,IF(AX42&lt;Bewertung_Stammdaten!J$30,Bewertung_Stammdaten!I$30,IF(AX42&lt;Bewertung_Stammdaten!J$31,Bewertung_Stammdaten!I$31,IF(AX42&lt;Bewertung_Stammdaten!J$32,Bewertung_Stammdaten!I$32,Bewertung_Stammdaten!I$33)))))))))</f>
        <v>8</v>
      </c>
      <c r="BB42" s="42">
        <f>IF(AY42&lt;Bewertung_Stammdaten!L$24,Bewertung_Stammdaten!K$24,IF(AY42&lt;Bewertung_Stammdaten!L$25,Bewertung_Stammdaten!K$25,IF(AY42&lt;Bewertung_Stammdaten!L$26,Bewertung_Stammdaten!K$26,IF(AY42&lt;Bewertung_Stammdaten!L$27,Bewertung_Stammdaten!K$27,IF(AY42&lt;Bewertung_Stammdaten!L$28,Bewertung_Stammdaten!K$28,IF(AY42&lt;Bewertung_Stammdaten!L$29,Bewertung_Stammdaten!K$29,IF(AY42&lt;Bewertung_Stammdaten!L$30,Bewertung_Stammdaten!K$30,IF(AY42&lt;Bewertung_Stammdaten!L$31,Bewertung_Stammdaten!K$31,IF(AY42&lt;Bewertung_Stammdaten!L$32,Bewertung_Stammdaten!K$32,Bewertung_Stammdaten!K$33)))))))))</f>
        <v>8</v>
      </c>
      <c r="BC42" s="42">
        <f>IF(AZ42&lt;Bewertung_Stammdaten!N$24,Bewertung_Stammdaten!M$24,IF(AZ42&lt;Bewertung_Stammdaten!N$25,Bewertung_Stammdaten!M$25,IF(AZ42&lt;Bewertung_Stammdaten!N$26,Bewertung_Stammdaten!M$26,IF(AZ42&lt;Bewertung_Stammdaten!N$27,Bewertung_Stammdaten!M$27,IF(AZ42&lt;Bewertung_Stammdaten!N$28,Bewertung_Stammdaten!M$28,IF(AZ42&lt;Bewertung_Stammdaten!N$29,Bewertung_Stammdaten!M$29,IF(AZ42&lt;Bewertung_Stammdaten!N$30,Bewertung_Stammdaten!M$30,IF(AZ42&lt;Bewertung_Stammdaten!N$31,Bewertung_Stammdaten!M$31,IF(AZ42&lt;Bewertung_Stammdaten!N$32,Bewertung_Stammdaten!M$32,Bewertung_Stammdaten!M$33)))))))))</f>
        <v>2.5</v>
      </c>
      <c r="BD42" s="44"/>
      <c r="BE42" s="12">
        <f ca="1">VLOOKUP(A42,Ausschüttungsquote!A3:X68,23,FALSE)</f>
        <v>0.68933967142851227</v>
      </c>
      <c r="BF42" s="12">
        <f>VLOOKUP(A42,Ausschüttungsquote!A3:X68,19,FALSE)</f>
        <v>0.52827559312271277</v>
      </c>
      <c r="BG42" s="12">
        <f ca="1">VLOOKUP(A42,Ausschüttungsquote!A3:X68,24,FALSE)</f>
        <v>0.30488646532717256</v>
      </c>
      <c r="BH42" s="33">
        <f ca="1">IF(BE42&lt;Bewertung_Stammdaten!H$11,Bewertung_Stammdaten!G$11,IF(BE42&lt;Bewertung_Stammdaten!H$12,Bewertung_Stammdaten!G$12,IF(BE42&lt;Bewertung_Stammdaten!H$13,Bewertung_Stammdaten!G$13,IF(BE42&lt;Bewertung_Stammdaten!H$14,Bewertung_Stammdaten!G$14,IF(BE42&lt;Bewertung_Stammdaten!H$15,Bewertung_Stammdaten!G$15,IF(BE42&lt;Bewertung_Stammdaten!H$16,Bewertung_Stammdaten!G$16,IF(BE42&lt;Bewertung_Stammdaten!H$17,Bewertung_Stammdaten!G$17,IF(BE42&lt;Bewertung_Stammdaten!H$18,Bewertung_Stammdaten!G$18,IF(BE42&lt;Bewertung_Stammdaten!H$19,Bewertung_Stammdaten!G$19,Bewertung_Stammdaten!G$20)))))))))</f>
        <v>4</v>
      </c>
      <c r="BI42" s="42">
        <f>IF(BF42&lt;Bewertung_Stammdaten!B$24,Bewertung_Stammdaten!A$24,IF(BF42&lt;Bewertung_Stammdaten!B$25,Bewertung_Stammdaten!A$25,IF(BF42&lt;Bewertung_Stammdaten!B$26,Bewertung_Stammdaten!A$26,IF(BF42&lt;Bewertung_Stammdaten!B$27,Bewertung_Stammdaten!A$27,IF(BF42&lt;Bewertung_Stammdaten!B$28,Bewertung_Stammdaten!A$28,IF(BF42&lt;Bewertung_Stammdaten!B$29,Bewertung_Stammdaten!A$29,IF(BF42&lt;Bewertung_Stammdaten!B$30,Bewertung_Stammdaten!A$30,IF(BF42&lt;Bewertung_Stammdaten!B$31,Bewertung_Stammdaten!A$31,IF(BF42&lt;Bewertung_Stammdaten!B$32,Bewertung_Stammdaten!A$32,Bewertung_Stammdaten!A$33)))))))))</f>
        <v>7</v>
      </c>
      <c r="BJ42" s="33">
        <f ca="1">IF(BG42&lt;Bewertung_Stammdaten!J$11,Bewertung_Stammdaten!I$11,IF(BG42&lt;Bewertung_Stammdaten!J$12,Bewertung_Stammdaten!I$12,IF(BG42&lt;Bewertung_Stammdaten!J$13,Bewertung_Stammdaten!I$13,IF(BG42&lt;Bewertung_Stammdaten!J$14,Bewertung_Stammdaten!I$14,IF(BG42&lt;Bewertung_Stammdaten!J$15,Bewertung_Stammdaten!I$15,IF(BG42&lt;Bewertung_Stammdaten!J$16,Bewertung_Stammdaten!I$16,IF(BG42&lt;Bewertung_Stammdaten!J$17,Bewertung_Stammdaten!I$17,IF(BG42&lt;Bewertung_Stammdaten!J$18,Bewertung_Stammdaten!I$18,IF(BG42&lt;Bewertung_Stammdaten!J$19,Bewertung_Stammdaten!I$19,Bewertung_Stammdaten!I$20)))))))))</f>
        <v>1</v>
      </c>
    </row>
    <row r="43" spans="1:62" x14ac:dyDescent="0.25">
      <c r="A43" s="39" t="s">
        <v>80</v>
      </c>
      <c r="B43" s="39" t="s">
        <v>81</v>
      </c>
      <c r="C43" s="33">
        <f t="shared" ca="1" si="8"/>
        <v>93</v>
      </c>
      <c r="D43" s="44"/>
      <c r="E43" s="11">
        <f ca="1">VLOOKUP(A43,KGV!A3:R68,17,FALSE)</f>
        <v>23.468819599109132</v>
      </c>
      <c r="F43" s="11">
        <f>VLOOKUP(A43,KGV!A3:R68,16,FALSE)</f>
        <v>17.784810126582279</v>
      </c>
      <c r="G43" s="12">
        <f ca="1">VLOOKUP(A43,KGV!A3:R68,18,FALSE)</f>
        <v>0.31959910913140299</v>
      </c>
      <c r="H43" s="16">
        <f t="shared" ca="1" si="9"/>
        <v>43.417316258351889</v>
      </c>
      <c r="I43" s="12">
        <f t="shared" ca="1" si="10"/>
        <v>1.4412583518930955</v>
      </c>
      <c r="J43" s="33">
        <f ca="1">IF(G43&lt;Bewertung_Stammdaten!B$11,Bewertung_Stammdaten!A$11,IF(G43&lt;Bewertung_Stammdaten!B$12,Bewertung_Stammdaten!A$12,IF(G43&lt;Bewertung_Stammdaten!B$13,Bewertung_Stammdaten!A$13,IF(G43&lt;Bewertung_Stammdaten!B$14,Bewertung_Stammdaten!A$14,IF(G43&lt;Bewertung_Stammdaten!B$15,Bewertung_Stammdaten!A$15,IF(G43&lt;Bewertung_Stammdaten!B$16,Bewertung_Stammdaten!A$16,IF(G43&lt;Bewertung_Stammdaten!B$17,Bewertung_Stammdaten!A$17,IF(G43&lt;Bewertung_Stammdaten!B$18,Bewertung_Stammdaten!A$18,IF(G43&lt;Bewertung_Stammdaten!B$19,Bewertung_Stammdaten!A$19,Bewertung_Stammdaten!A$20)))))))))</f>
        <v>3</v>
      </c>
      <c r="K43" s="33">
        <f ca="1">IF(I43&lt;Bewertung_Stammdaten!N$11,Bewertung_Stammdaten!M$11,IF(I43&lt;Bewertung_Stammdaten!N$12,Bewertung_Stammdaten!M$12,IF(I43&lt;Bewertung_Stammdaten!N$13,Bewertung_Stammdaten!M$13,IF(I43&lt;Bewertung_Stammdaten!N$14,Bewertung_Stammdaten!M$14,IF(I43&lt;Bewertung_Stammdaten!N$15,Bewertung_Stammdaten!M$15,IF(I43&lt;Bewertung_Stammdaten!N$16,Bewertung_Stammdaten!M$16,IF(I43&lt;Bewertung_Stammdaten!N$17,Bewertung_Stammdaten!M$17,IF(I43&lt;Bewertung_Stammdaten!N$18,Bewertung_Stammdaten!M$18,IF(I43&lt;Bewertung_Stammdaten!N$19,Bewertung_Stammdaten!M$19,Bewertung_Stammdaten!M$20)))))))))</f>
        <v>1.5</v>
      </c>
      <c r="L43" s="44"/>
      <c r="M43" s="11">
        <f ca="1">VLOOKUP(A43,Buchwert_je_Aktie!A3:AK68,23,FALSE)</f>
        <v>17.540555555555557</v>
      </c>
      <c r="N43" s="11">
        <f>VLOOKUP(A43,Buchwert_je_Aktie!A3:AK68,19,FALSE)</f>
        <v>17.736666666666665</v>
      </c>
      <c r="O43" s="12">
        <f ca="1">VLOOKUP(A43,Buchwert_je_Aktie!A3:AK68,24,FALSE)</f>
        <v>-1.1056818893691478E-2</v>
      </c>
      <c r="P43" s="12">
        <f>VLOOKUP(A43,Buchwert_je_Aktie!A3:AK68,37,FALSE)</f>
        <v>-7.1578947368421075E-2</v>
      </c>
      <c r="Q43" s="16">
        <f t="shared" ca="1" si="11"/>
        <v>16.285021052631578</v>
      </c>
      <c r="R43" s="12">
        <f t="shared" ca="1" si="12"/>
        <v>-8.1844330804458965E-2</v>
      </c>
      <c r="S43" s="53">
        <f ca="1">IF(O43&lt;Bewertung_Stammdaten!D$24,Bewertung_Stammdaten!C$24,IF(O43&lt;Bewertung_Stammdaten!D$25,Bewertung_Stammdaten!C$25,IF(O43&lt;Bewertung_Stammdaten!D$26,Bewertung_Stammdaten!C$26,IF(O43&lt;Bewertung_Stammdaten!D$27,Bewertung_Stammdaten!C$27,IF(O43&lt;Bewertung_Stammdaten!D$28,Bewertung_Stammdaten!C$28,IF(O43&lt;Bewertung_Stammdaten!D$29,Bewertung_Stammdaten!C$29,IF(O43&lt;Bewertung_Stammdaten!D$30,Bewertung_Stammdaten!C$30,IF(O43&lt;Bewertung_Stammdaten!D$31,Bewertung_Stammdaten!C$31,IF(O43&lt;Bewertung_Stammdaten!D$32,Bewertung_Stammdaten!C$32,Bewertung_Stammdaten!C$33)))))))))</f>
        <v>3</v>
      </c>
      <c r="T43" s="53">
        <f>IF(P43&lt;Bewertung_Stammdaten!F$24,Bewertung_Stammdaten!E$24,IF(P43&lt;Bewertung_Stammdaten!F$25,Bewertung_Stammdaten!E$25,IF(P43&lt;Bewertung_Stammdaten!F$26,Bewertung_Stammdaten!E$26,IF(P43&lt;Bewertung_Stammdaten!F$27,Bewertung_Stammdaten!E$27,IF(P43&lt;Bewertung_Stammdaten!F$28,Bewertung_Stammdaten!E$28,IF(P43&lt;Bewertung_Stammdaten!F$29,Bewertung_Stammdaten!E$29,IF(P43&lt;Bewertung_Stammdaten!F$30,Bewertung_Stammdaten!E$30,IF(P43&lt;Bewertung_Stammdaten!F$31,Bewertung_Stammdaten!E$31,IF(P43&lt;Bewertung_Stammdaten!F$32,Bewertung_Stammdaten!E$32,Bewertung_Stammdaten!E$33)))))))))</f>
        <v>9</v>
      </c>
      <c r="U43" s="53">
        <f ca="1">IF(R43&lt;Bewertung_Stammdaten!H$24,Bewertung_Stammdaten!G$24,IF(R43&lt;Bewertung_Stammdaten!H$25,Bewertung_Stammdaten!G$25,IF(R43&lt;Bewertung_Stammdaten!H$26,Bewertung_Stammdaten!G$26,IF(R43&lt;Bewertung_Stammdaten!H$27,Bewertung_Stammdaten!G$27,IF(R43&lt;Bewertung_Stammdaten!H$28,Bewertung_Stammdaten!G$28,IF(R43&lt;Bewertung_Stammdaten!H$29,Bewertung_Stammdaten!G$29,IF(R43&lt;Bewertung_Stammdaten!H$30,Bewertung_Stammdaten!G$30,IF(R43&lt;Bewertung_Stammdaten!H$31,Bewertung_Stammdaten!G$31,IF(R43&lt;Bewertung_Stammdaten!H$32,Bewertung_Stammdaten!G$32,Bewertung_Stammdaten!G$33)))))))))</f>
        <v>2</v>
      </c>
      <c r="V43" s="44"/>
      <c r="W43" s="14">
        <f ca="1">VLOOKUP(A43,Ergebnis_je_Aktie_verwässert!A3:AK68,23,FALSE)</f>
        <v>2.3946666666666667</v>
      </c>
      <c r="X43" s="14">
        <f>VLOOKUP(A43,Ergebnis_je_Aktie_verwässert!A3:AK68,19,FALSE)</f>
        <v>2.8000000000000003</v>
      </c>
      <c r="Y43" s="12">
        <f ca="1">VLOOKUP(A43,Ergebnis_je_Aktie_verwässert!A3:AK68,24,FALSE)</f>
        <v>-0.14476190476190487</v>
      </c>
      <c r="Z43" s="41">
        <f>VLOOKUP(A43,Ergebnis_je_Aktie_verwässert!A3:AK68,37,FALSE)</f>
        <v>-0.45945945945945943</v>
      </c>
      <c r="AA43" s="16">
        <f t="shared" ca="1" si="13"/>
        <v>1.2944144144144145</v>
      </c>
      <c r="AB43" s="12">
        <f t="shared" ca="1" si="14"/>
        <v>-0.53770913770913764</v>
      </c>
      <c r="AC43" s="33">
        <f ca="1">IF(Y43&lt;Bewertung_Stammdaten!L$11,Bewertung_Stammdaten!K$11,IF(Y43&lt;Bewertung_Stammdaten!L$12,Bewertung_Stammdaten!K$12,IF(Y43&lt;Bewertung_Stammdaten!L$13,Bewertung_Stammdaten!K$13,IF(Y43&lt;Bewertung_Stammdaten!L$14,Bewertung_Stammdaten!K$14,IF(Y43&lt;Bewertung_Stammdaten!L$15,Bewertung_Stammdaten!K$15,IF(Y43&lt;Bewertung_Stammdaten!L$16,Bewertung_Stammdaten!K$16,IF(Y43&lt;Bewertung_Stammdaten!L$17,Bewertung_Stammdaten!K$17,IF(Y43&lt;Bewertung_Stammdaten!L$18,Bewertung_Stammdaten!K$18,IF(Y43&lt;Bewertung_Stammdaten!L$19,Bewertung_Stammdaten!K$19,Bewertung_Stammdaten!K$20)))))))))</f>
        <v>2</v>
      </c>
      <c r="AD43" s="33">
        <f>IF(Z43&lt;Bewertung_Stammdaten!R$11,Bewertung_Stammdaten!Q$11,IF(Z43&lt;Bewertung_Stammdaten!R$12,Bewertung_Stammdaten!Q$12,IF(Z43&lt;Bewertung_Stammdaten!R$13,Bewertung_Stammdaten!Q$13,IF(Z43&lt;Bewertung_Stammdaten!R$14,Bewertung_Stammdaten!Q$14,IF(Z43&lt;Bewertung_Stammdaten!R$15,Bewertung_Stammdaten!Q$15,IF(Z43&lt;Bewertung_Stammdaten!R$16,Bewertung_Stammdaten!Q$16,IF(Z43&lt;Bewertung_Stammdaten!R$17,Bewertung_Stammdaten!Q$17,IF(Z43&lt;Bewertung_Stammdaten!R$18,Bewertung_Stammdaten!Q$18,IF(Z43&lt;Bewertung_Stammdaten!R$19,Bewertung_Stammdaten!Q$19,Bewertung_Stammdaten!Q$20)))))))))</f>
        <v>3</v>
      </c>
      <c r="AE43" s="33">
        <f ca="1">IF(AB43&lt;Bewertung_Stammdaten!P$11,Bewertung_Stammdaten!O$11,IF(AB43&lt;Bewertung_Stammdaten!P$12,Bewertung_Stammdaten!O$12,IF(AB43&lt;Bewertung_Stammdaten!P$13,Bewertung_Stammdaten!O$13,IF(AB43&lt;Bewertung_Stammdaten!P$14,Bewertung_Stammdaten!O$14,IF(AB43&lt;Bewertung_Stammdaten!P$15,Bewertung_Stammdaten!O$15,IF(AB43&lt;Bewertung_Stammdaten!P$16,Bewertung_Stammdaten!O$16,IF(AB43&lt;Bewertung_Stammdaten!P$17,Bewertung_Stammdaten!O$17,IF(AB43&lt;Bewertung_Stammdaten!P$18,Bewertung_Stammdaten!O$18,IF(AB43&lt;Bewertung_Stammdaten!P$19,Bewertung_Stammdaten!O$19,Bewertung_Stammdaten!O$20)))))))))</f>
        <v>1</v>
      </c>
      <c r="AF43" s="44"/>
      <c r="AG43" s="14">
        <f ca="1">VLOOKUP(A43,Dividende_je_Aktie!A3:AM68,24,FALSE)</f>
        <v>1.800138888888889</v>
      </c>
      <c r="AH43" s="14">
        <f>VLOOKUP(A43,Dividende_je_Aktie!A3:AM68,20,FALSE)</f>
        <v>1.6299999999999997</v>
      </c>
      <c r="AI43" s="12">
        <f ca="1">VLOOKUP(A43,Dividende_je_Aktie!A3:AM68,25,FALSE)</f>
        <v>0.10437968643490136</v>
      </c>
      <c r="AJ43" s="41">
        <f>VLOOKUP(A43,Dividende_je_Aktie!A3:AM68,39,FALSE)</f>
        <v>0</v>
      </c>
      <c r="AK43" s="16">
        <f t="shared" ca="1" si="6"/>
        <v>1.800138888888889</v>
      </c>
      <c r="AL43" s="12">
        <f t="shared" ca="1" si="7"/>
        <v>0.10437968643490136</v>
      </c>
      <c r="AM43" s="33">
        <f ca="1">IF(AI43&lt;Bewertung_Stammdaten!P$24,Bewertung_Stammdaten!O$24,IF(AI43&lt;Bewertung_Stammdaten!P$25,Bewertung_Stammdaten!O$25,IF(AI43&lt;Bewertung_Stammdaten!P$26,Bewertung_Stammdaten!O$26,IF(AI43&lt;Bewertung_Stammdaten!P$27,Bewertung_Stammdaten!O$27,IF(AI43&lt;Bewertung_Stammdaten!P$28,Bewertung_Stammdaten!O$28,IF(AI43&lt;Bewertung_Stammdaten!P$29,Bewertung_Stammdaten!O$29,IF(AI43&lt;Bewertung_Stammdaten!P$30,Bewertung_Stammdaten!O$30,IF(AI43&lt;Bewertung_Stammdaten!P$31,Bewertung_Stammdaten!O$31,IF(AI43&lt;Bewertung_Stammdaten!P$32,Bewertung_Stammdaten!O$32,Bewertung_Stammdaten!O$33)))))))))</f>
        <v>8</v>
      </c>
      <c r="AN43" s="33">
        <f>IF(AJ43&lt;Bewertung_Stammdaten!R$24,Bewertung_Stammdaten!Q$24,IF(AJ43&lt;Bewertung_Stammdaten!R$25,Bewertung_Stammdaten!Q$25,IF(AJ43&lt;Bewertung_Stammdaten!R$26,Bewertung_Stammdaten!Q$26,IF(AJ43&lt;Bewertung_Stammdaten!R$27,Bewertung_Stammdaten!Q$27,IF(AJ43&lt;Bewertung_Stammdaten!R$28,Bewertung_Stammdaten!Q$28,IF(AJ43&lt;Bewertung_Stammdaten!R$29,Bewertung_Stammdaten!Q$29,IF(AJ43&lt;Bewertung_Stammdaten!R$30,Bewertung_Stammdaten!Q$30,IF(AJ43&lt;Bewertung_Stammdaten!R$31,Bewertung_Stammdaten!Q$31,IF(AJ43&lt;Bewertung_Stammdaten!R$32,Bewertung_Stammdaten!Q$32,Bewertung_Stammdaten!Q$33)))))))))</f>
        <v>8</v>
      </c>
      <c r="AO43" s="33">
        <f ca="1">IF(AL43&lt;Bewertung_Stammdaten!T$24,Bewertung_Stammdaten!S$24,IF(AL43&lt;Bewertung_Stammdaten!T$25,Bewertung_Stammdaten!S$25,IF(AL43&lt;Bewertung_Stammdaten!T$26,Bewertung_Stammdaten!S$26,IF(AL43&lt;Bewertung_Stammdaten!T$27,Bewertung_Stammdaten!S$27,IF(AL43&lt;Bewertung_Stammdaten!T$28,Bewertung_Stammdaten!S$28,IF(AL43&lt;Bewertung_Stammdaten!T$29,Bewertung_Stammdaten!S$29,IF(AL43&lt;Bewertung_Stammdaten!T$30,Bewertung_Stammdaten!S$30,IF(AL43&lt;Bewertung_Stammdaten!T$31,Bewertung_Stammdaten!S$31,IF(AL43&lt;Bewertung_Stammdaten!T$32,Bewertung_Stammdaten!S$32,Bewertung_Stammdaten!S$33)))))))))</f>
        <v>5</v>
      </c>
      <c r="AP43" s="44"/>
      <c r="AQ43" s="12">
        <f ca="1">VLOOKUP(A43,Dividendenrendite!A3:R68,17,FALSE)</f>
        <v>3.2030941083432185E-2</v>
      </c>
      <c r="AR43" s="12">
        <f>VLOOKUP(A43,Dividendenrendite!A3:R68,16,FALSE)</f>
        <v>3.8509405979904182E-2</v>
      </c>
      <c r="AS43" s="12">
        <f ca="1">VLOOKUP(A43,Dividendenrendite!A3:R68,18,FALSE)</f>
        <v>-0.16823071485061936</v>
      </c>
      <c r="AT43" s="33">
        <f ca="1">IF(AQ43&lt;Bewertung_Stammdaten!D$11,Bewertung_Stammdaten!C$11,IF(AQ43&lt;Bewertung_Stammdaten!D$12,Bewertung_Stammdaten!C$12,IF(AQ43&lt;Bewertung_Stammdaten!D$13,Bewertung_Stammdaten!C$13,IF(AQ43&lt;Bewertung_Stammdaten!D$14,Bewertung_Stammdaten!C$14,IF(AQ43&lt;Bewertung_Stammdaten!D$15,Bewertung_Stammdaten!C$15,IF(AQ43&lt;Bewertung_Stammdaten!D$16,Bewertung_Stammdaten!C$16,IF(AQ43&lt;Bewertung_Stammdaten!D$17,Bewertung_Stammdaten!C$17,IF(AQ43&lt;Bewertung_Stammdaten!D$18,Bewertung_Stammdaten!C$18,IF(AQ43&lt;Bewertung_Stammdaten!D$19,Bewertung_Stammdaten!C$19,Bewertung_Stammdaten!C$20)))))))))</f>
        <v>10.5</v>
      </c>
      <c r="AU43" s="33">
        <f>IF(AR43&lt;Bewertung_Stammdaten!T$11,Bewertung_Stammdaten!S$11,IF(AR43&lt;Bewertung_Stammdaten!T$12,Bewertung_Stammdaten!S$12,IF(AR43&lt;Bewertung_Stammdaten!T$13,Bewertung_Stammdaten!S$13,IF(AR43&lt;Bewertung_Stammdaten!T$14,Bewertung_Stammdaten!S$14,IF(AR43&lt;Bewertung_Stammdaten!T$15,Bewertung_Stammdaten!S$15,IF(AR43&lt;Bewertung_Stammdaten!T$16,Bewertung_Stammdaten!S$16,IF(AR43&lt;Bewertung_Stammdaten!T$17,Bewertung_Stammdaten!S$17,IF(AR43&lt;Bewertung_Stammdaten!T$18,Bewertung_Stammdaten!S$18,IF(AR43&lt;Bewertung_Stammdaten!T$19,Bewertung_Stammdaten!S$19,Bewertung_Stammdaten!S$20)))))))))</f>
        <v>8</v>
      </c>
      <c r="AV43" s="33">
        <f ca="1">IF(AS43&lt;Bewertung_Stammdaten!F$11,Bewertung_Stammdaten!E$11,IF(AS43&lt;Bewertung_Stammdaten!F$12,Bewertung_Stammdaten!E$12,IF(AS43&lt;Bewertung_Stammdaten!F$13,Bewertung_Stammdaten!E$13,IF(AS43&lt;Bewertung_Stammdaten!F$14,Bewertung_Stammdaten!E$14,IF(AS43&lt;Bewertung_Stammdaten!F$15,Bewertung_Stammdaten!E$15,IF(AS43&lt;Bewertung_Stammdaten!F$16,Bewertung_Stammdaten!E$16,IF(AS43&lt;Bewertung_Stammdaten!F$17,Bewertung_Stammdaten!E$17,IF(AS43&lt;Bewertung_Stammdaten!F$18,Bewertung_Stammdaten!E$18,IF(AS43&lt;Bewertung_Stammdaten!F$19,Bewertung_Stammdaten!E$19,Bewertung_Stammdaten!E$20)))))))))</f>
        <v>1</v>
      </c>
      <c r="AW43" s="44"/>
      <c r="AX43" s="12">
        <f>VLOOKUP(A43,Aktien_im_Umlauf_splitbereinigt!A3:Z68,26,FALSE)</f>
        <v>-3.0737704918032738E-2</v>
      </c>
      <c r="AY43" s="12">
        <f>VLOOKUP(A43,Aktien_im_Umlauf_splitbereinigt!A3:Y68,24,FALSE)</f>
        <v>-1.7943132235105862E-2</v>
      </c>
      <c r="AZ43" s="12">
        <f>VLOOKUP(A43,Aktien_im_Umlauf_splitbereinigt!A3:Y68,25,FALSE)</f>
        <v>0.71306238594698668</v>
      </c>
      <c r="BA43" s="42">
        <f>IF(AX43&lt;Bewertung_Stammdaten!J$24,Bewertung_Stammdaten!I$24,IF(AX43&lt;Bewertung_Stammdaten!J$25,Bewertung_Stammdaten!I$25,IF(AX43&lt;Bewertung_Stammdaten!J$26,Bewertung_Stammdaten!I$26,IF(AX43&lt;Bewertung_Stammdaten!J$27,Bewertung_Stammdaten!I$27,IF(AX43&lt;Bewertung_Stammdaten!J$28,Bewertung_Stammdaten!I$28,IF(AX43&lt;Bewertung_Stammdaten!J$29,Bewertung_Stammdaten!I$29,IF(AX43&lt;Bewertung_Stammdaten!J$30,Bewertung_Stammdaten!I$30,IF(AX43&lt;Bewertung_Stammdaten!J$31,Bewertung_Stammdaten!I$31,IF(AX43&lt;Bewertung_Stammdaten!J$32,Bewertung_Stammdaten!I$32,Bewertung_Stammdaten!I$33)))))))))</f>
        <v>9</v>
      </c>
      <c r="BB43" s="42">
        <f>IF(AY43&lt;Bewertung_Stammdaten!L$24,Bewertung_Stammdaten!K$24,IF(AY43&lt;Bewertung_Stammdaten!L$25,Bewertung_Stammdaten!K$25,IF(AY43&lt;Bewertung_Stammdaten!L$26,Bewertung_Stammdaten!K$26,IF(AY43&lt;Bewertung_Stammdaten!L$27,Bewertung_Stammdaten!K$27,IF(AY43&lt;Bewertung_Stammdaten!L$28,Bewertung_Stammdaten!K$28,IF(AY43&lt;Bewertung_Stammdaten!L$29,Bewertung_Stammdaten!K$29,IF(AY43&lt;Bewertung_Stammdaten!L$30,Bewertung_Stammdaten!K$30,IF(AY43&lt;Bewertung_Stammdaten!L$31,Bewertung_Stammdaten!K$31,IF(AY43&lt;Bewertung_Stammdaten!L$32,Bewertung_Stammdaten!K$32,Bewertung_Stammdaten!K$33)))))))))</f>
        <v>6</v>
      </c>
      <c r="BC43" s="42">
        <f>IF(AZ43&lt;Bewertung_Stammdaten!N$24,Bewertung_Stammdaten!M$24,IF(AZ43&lt;Bewertung_Stammdaten!N$25,Bewertung_Stammdaten!M$25,IF(AZ43&lt;Bewertung_Stammdaten!N$26,Bewertung_Stammdaten!M$26,IF(AZ43&lt;Bewertung_Stammdaten!N$27,Bewertung_Stammdaten!M$27,IF(AZ43&lt;Bewertung_Stammdaten!N$28,Bewertung_Stammdaten!M$28,IF(AZ43&lt;Bewertung_Stammdaten!N$29,Bewertung_Stammdaten!M$29,IF(AZ43&lt;Bewertung_Stammdaten!N$30,Bewertung_Stammdaten!M$30,IF(AZ43&lt;Bewertung_Stammdaten!N$31,Bewertung_Stammdaten!M$31,IF(AZ43&lt;Bewertung_Stammdaten!N$32,Bewertung_Stammdaten!M$32,Bewertung_Stammdaten!M$33)))))))))</f>
        <v>4</v>
      </c>
      <c r="BD43" s="44"/>
      <c r="BE43" s="12">
        <f ca="1">VLOOKUP(A43,Ausschüttungsquote!A3:X68,23,FALSE)</f>
        <v>0.76672212632655667</v>
      </c>
      <c r="BF43" s="12">
        <f>VLOOKUP(A43,Ausschüttungsquote!A3:X68,19,FALSE)</f>
        <v>0.67851856213778461</v>
      </c>
      <c r="BG43" s="12">
        <f ca="1">VLOOKUP(A43,Ausschüttungsquote!A3:X68,24,FALSE)</f>
        <v>0.12999432751091167</v>
      </c>
      <c r="BH43" s="33">
        <f ca="1">IF(BE43&lt;Bewertung_Stammdaten!H$11,Bewertung_Stammdaten!G$11,IF(BE43&lt;Bewertung_Stammdaten!H$12,Bewertung_Stammdaten!G$12,IF(BE43&lt;Bewertung_Stammdaten!H$13,Bewertung_Stammdaten!G$13,IF(BE43&lt;Bewertung_Stammdaten!H$14,Bewertung_Stammdaten!G$14,IF(BE43&lt;Bewertung_Stammdaten!H$15,Bewertung_Stammdaten!G$15,IF(BE43&lt;Bewertung_Stammdaten!H$16,Bewertung_Stammdaten!G$16,IF(BE43&lt;Bewertung_Stammdaten!H$17,Bewertung_Stammdaten!G$17,IF(BE43&lt;Bewertung_Stammdaten!H$18,Bewertung_Stammdaten!G$18,IF(BE43&lt;Bewertung_Stammdaten!H$19,Bewertung_Stammdaten!G$19,Bewertung_Stammdaten!G$20)))))))))</f>
        <v>2</v>
      </c>
      <c r="BI43" s="42">
        <f>IF(BF43&lt;Bewertung_Stammdaten!B$24,Bewertung_Stammdaten!A$24,IF(BF43&lt;Bewertung_Stammdaten!B$25,Bewertung_Stammdaten!A$25,IF(BF43&lt;Bewertung_Stammdaten!B$26,Bewertung_Stammdaten!A$26,IF(BF43&lt;Bewertung_Stammdaten!B$27,Bewertung_Stammdaten!A$27,IF(BF43&lt;Bewertung_Stammdaten!B$28,Bewertung_Stammdaten!A$28,IF(BF43&lt;Bewertung_Stammdaten!B$29,Bewertung_Stammdaten!A$29,IF(BF43&lt;Bewertung_Stammdaten!B$30,Bewertung_Stammdaten!A$30,IF(BF43&lt;Bewertung_Stammdaten!B$31,Bewertung_Stammdaten!A$31,IF(BF43&lt;Bewertung_Stammdaten!B$32,Bewertung_Stammdaten!A$32,Bewertung_Stammdaten!A$33)))))))))</f>
        <v>4</v>
      </c>
      <c r="BJ43" s="33">
        <f ca="1">IF(BG43&lt;Bewertung_Stammdaten!J$11,Bewertung_Stammdaten!I$11,IF(BG43&lt;Bewertung_Stammdaten!J$12,Bewertung_Stammdaten!I$12,IF(BG43&lt;Bewertung_Stammdaten!J$13,Bewertung_Stammdaten!I$13,IF(BG43&lt;Bewertung_Stammdaten!J$14,Bewertung_Stammdaten!I$14,IF(BG43&lt;Bewertung_Stammdaten!J$15,Bewertung_Stammdaten!I$15,IF(BG43&lt;Bewertung_Stammdaten!J$16,Bewertung_Stammdaten!I$16,IF(BG43&lt;Bewertung_Stammdaten!J$17,Bewertung_Stammdaten!I$17,IF(BG43&lt;Bewertung_Stammdaten!J$18,Bewertung_Stammdaten!I$18,IF(BG43&lt;Bewertung_Stammdaten!J$19,Bewertung_Stammdaten!I$19,Bewertung_Stammdaten!I$20)))))))))</f>
        <v>3</v>
      </c>
    </row>
    <row r="44" spans="1:62" x14ac:dyDescent="0.25">
      <c r="A44" s="39" t="s">
        <v>82</v>
      </c>
      <c r="B44" s="39" t="s">
        <v>83</v>
      </c>
      <c r="C44" s="33">
        <f t="shared" ca="1" si="8"/>
        <v>162</v>
      </c>
      <c r="D44" s="44"/>
      <c r="E44" s="11">
        <f ca="1">VLOOKUP(A44,KGV!A3:R68,17,FALSE)</f>
        <v>14.971357359651064</v>
      </c>
      <c r="F44" s="11">
        <f>VLOOKUP(A44,KGV!A3:R68,16,FALSE)</f>
        <v>14.171232876712329</v>
      </c>
      <c r="G44" s="12">
        <f ca="1">VLOOKUP(A44,KGV!A3:R68,18,FALSE)</f>
        <v>5.6461176659765799E-2</v>
      </c>
      <c r="H44" s="16">
        <f t="shared" ca="1" si="9"/>
        <v>17.281752013918204</v>
      </c>
      <c r="I44" s="12">
        <f t="shared" ca="1" si="10"/>
        <v>0.21949530886034685</v>
      </c>
      <c r="J44" s="33">
        <f ca="1">IF(G44&lt;Bewertung_Stammdaten!B$11,Bewertung_Stammdaten!A$11,IF(G44&lt;Bewertung_Stammdaten!B$12,Bewertung_Stammdaten!A$12,IF(G44&lt;Bewertung_Stammdaten!B$13,Bewertung_Stammdaten!A$13,IF(G44&lt;Bewertung_Stammdaten!B$14,Bewertung_Stammdaten!A$14,IF(G44&lt;Bewertung_Stammdaten!B$15,Bewertung_Stammdaten!A$15,IF(G44&lt;Bewertung_Stammdaten!B$16,Bewertung_Stammdaten!A$16,IF(G44&lt;Bewertung_Stammdaten!B$17,Bewertung_Stammdaten!A$17,IF(G44&lt;Bewertung_Stammdaten!B$18,Bewertung_Stammdaten!A$18,IF(G44&lt;Bewertung_Stammdaten!B$19,Bewertung_Stammdaten!A$19,Bewertung_Stammdaten!A$20)))))))))</f>
        <v>15</v>
      </c>
      <c r="K44" s="33">
        <f ca="1">IF(I44&lt;Bewertung_Stammdaten!N$11,Bewertung_Stammdaten!M$11,IF(I44&lt;Bewertung_Stammdaten!N$12,Bewertung_Stammdaten!M$12,IF(I44&lt;Bewertung_Stammdaten!N$13,Bewertung_Stammdaten!M$13,IF(I44&lt;Bewertung_Stammdaten!N$14,Bewertung_Stammdaten!M$14,IF(I44&lt;Bewertung_Stammdaten!N$15,Bewertung_Stammdaten!M$15,IF(I44&lt;Bewertung_Stammdaten!N$16,Bewertung_Stammdaten!M$16,IF(I44&lt;Bewertung_Stammdaten!N$17,Bewertung_Stammdaten!M$17,IF(I44&lt;Bewertung_Stammdaten!N$18,Bewertung_Stammdaten!M$18,IF(I44&lt;Bewertung_Stammdaten!N$19,Bewertung_Stammdaten!M$19,Bewertung_Stammdaten!M$20)))))))))</f>
        <v>7.5</v>
      </c>
      <c r="L44" s="44"/>
      <c r="M44" s="11">
        <f ca="1">VLOOKUP(A44,Buchwert_je_Aktie!A3:AK68,23,FALSE)</f>
        <v>13.058333333333334</v>
      </c>
      <c r="N44" s="11">
        <f>VLOOKUP(A44,Buchwert_je_Aktie!A3:AK68,19,FALSE)</f>
        <v>7.719999999999998</v>
      </c>
      <c r="O44" s="12">
        <f ca="1">VLOOKUP(A44,Buchwert_je_Aktie!A3:AK68,24,FALSE)</f>
        <v>0.6914939550949919</v>
      </c>
      <c r="P44" s="12">
        <f>VLOOKUP(A44,Buchwert_je_Aktie!A3:AK68,37,FALSE)</f>
        <v>-0.16791979949874691</v>
      </c>
      <c r="Q44" s="16">
        <f t="shared" ca="1" si="11"/>
        <v>10.865580618212197</v>
      </c>
      <c r="R44" s="12">
        <f t="shared" ca="1" si="12"/>
        <v>0.40745862930209853</v>
      </c>
      <c r="S44" s="53">
        <f ca="1">IF(O44&lt;Bewertung_Stammdaten!D$24,Bewertung_Stammdaten!C$24,IF(O44&lt;Bewertung_Stammdaten!D$25,Bewertung_Stammdaten!C$25,IF(O44&lt;Bewertung_Stammdaten!D$26,Bewertung_Stammdaten!C$26,IF(O44&lt;Bewertung_Stammdaten!D$27,Bewertung_Stammdaten!C$27,IF(O44&lt;Bewertung_Stammdaten!D$28,Bewertung_Stammdaten!C$28,IF(O44&lt;Bewertung_Stammdaten!D$29,Bewertung_Stammdaten!C$29,IF(O44&lt;Bewertung_Stammdaten!D$30,Bewertung_Stammdaten!C$30,IF(O44&lt;Bewertung_Stammdaten!D$31,Bewertung_Stammdaten!C$31,IF(O44&lt;Bewertung_Stammdaten!D$32,Bewertung_Stammdaten!C$32,Bewertung_Stammdaten!C$33)))))))))</f>
        <v>13.5</v>
      </c>
      <c r="T44" s="53">
        <f>IF(P44&lt;Bewertung_Stammdaten!F$24,Bewertung_Stammdaten!E$24,IF(P44&lt;Bewertung_Stammdaten!F$25,Bewertung_Stammdaten!E$25,IF(P44&lt;Bewertung_Stammdaten!F$26,Bewertung_Stammdaten!E$26,IF(P44&lt;Bewertung_Stammdaten!F$27,Bewertung_Stammdaten!E$27,IF(P44&lt;Bewertung_Stammdaten!F$28,Bewertung_Stammdaten!E$28,IF(P44&lt;Bewertung_Stammdaten!F$29,Bewertung_Stammdaten!E$29,IF(P44&lt;Bewertung_Stammdaten!F$30,Bewertung_Stammdaten!E$30,IF(P44&lt;Bewertung_Stammdaten!F$31,Bewertung_Stammdaten!E$31,IF(P44&lt;Bewertung_Stammdaten!F$32,Bewertung_Stammdaten!E$32,Bewertung_Stammdaten!E$33)))))))))</f>
        <v>6</v>
      </c>
      <c r="U44" s="53">
        <f ca="1">IF(R44&lt;Bewertung_Stammdaten!H$24,Bewertung_Stammdaten!G$24,IF(R44&lt;Bewertung_Stammdaten!H$25,Bewertung_Stammdaten!G$25,IF(R44&lt;Bewertung_Stammdaten!H$26,Bewertung_Stammdaten!G$26,IF(R44&lt;Bewertung_Stammdaten!H$27,Bewertung_Stammdaten!G$27,IF(R44&lt;Bewertung_Stammdaten!H$28,Bewertung_Stammdaten!G$28,IF(R44&lt;Bewertung_Stammdaten!H$29,Bewertung_Stammdaten!G$29,IF(R44&lt;Bewertung_Stammdaten!H$30,Bewertung_Stammdaten!G$30,IF(R44&lt;Bewertung_Stammdaten!H$31,Bewertung_Stammdaten!G$31,IF(R44&lt;Bewertung_Stammdaten!H$32,Bewertung_Stammdaten!G$32,Bewertung_Stammdaten!G$33)))))))))</f>
        <v>7</v>
      </c>
      <c r="V44" s="44"/>
      <c r="W44" s="14">
        <f ca="1">VLOOKUP(A44,Ergebnis_je_Aktie_verwässert!A3:AK68,23,FALSE)</f>
        <v>2.7639444444444443</v>
      </c>
      <c r="X44" s="14">
        <f>VLOOKUP(A44,Ergebnis_je_Aktie_verwässert!A3:AK68,19,FALSE)</f>
        <v>2.2038461538461545</v>
      </c>
      <c r="Y44" s="12">
        <f ca="1">VLOOKUP(A44,Ergebnis_je_Aktie_verwässert!A3:AK68,24,FALSE)</f>
        <v>0.25414582121388363</v>
      </c>
      <c r="Z44" s="41">
        <f>VLOOKUP(A44,Ergebnis_je_Aktie_verwässert!A3:AK68,37,FALSE)</f>
        <v>-0.13368983957219249</v>
      </c>
      <c r="AA44" s="16">
        <f t="shared" ca="1" si="13"/>
        <v>2.3944331550802138</v>
      </c>
      <c r="AB44" s="12">
        <f t="shared" ca="1" si="14"/>
        <v>8.6479267575663821E-2</v>
      </c>
      <c r="AC44" s="33">
        <f ca="1">IF(Y44&lt;Bewertung_Stammdaten!L$11,Bewertung_Stammdaten!K$11,IF(Y44&lt;Bewertung_Stammdaten!L$12,Bewertung_Stammdaten!K$12,IF(Y44&lt;Bewertung_Stammdaten!L$13,Bewertung_Stammdaten!K$13,IF(Y44&lt;Bewertung_Stammdaten!L$14,Bewertung_Stammdaten!K$14,IF(Y44&lt;Bewertung_Stammdaten!L$15,Bewertung_Stammdaten!K$15,IF(Y44&lt;Bewertung_Stammdaten!L$16,Bewertung_Stammdaten!K$16,IF(Y44&lt;Bewertung_Stammdaten!L$17,Bewertung_Stammdaten!K$17,IF(Y44&lt;Bewertung_Stammdaten!L$18,Bewertung_Stammdaten!K$18,IF(Y44&lt;Bewertung_Stammdaten!L$19,Bewertung_Stammdaten!K$19,Bewertung_Stammdaten!K$20)))))))))</f>
        <v>10</v>
      </c>
      <c r="AD44" s="33">
        <f>IF(Z44&lt;Bewertung_Stammdaten!R$11,Bewertung_Stammdaten!Q$11,IF(Z44&lt;Bewertung_Stammdaten!R$12,Bewertung_Stammdaten!Q$12,IF(Z44&lt;Bewertung_Stammdaten!R$13,Bewertung_Stammdaten!Q$13,IF(Z44&lt;Bewertung_Stammdaten!R$14,Bewertung_Stammdaten!Q$14,IF(Z44&lt;Bewertung_Stammdaten!R$15,Bewertung_Stammdaten!Q$15,IF(Z44&lt;Bewertung_Stammdaten!R$16,Bewertung_Stammdaten!Q$16,IF(Z44&lt;Bewertung_Stammdaten!R$17,Bewertung_Stammdaten!Q$17,IF(Z44&lt;Bewertung_Stammdaten!R$18,Bewertung_Stammdaten!Q$18,IF(Z44&lt;Bewertung_Stammdaten!R$19,Bewertung_Stammdaten!Q$19,Bewertung_Stammdaten!Q$20)))))))))</f>
        <v>6</v>
      </c>
      <c r="AE44" s="33">
        <f ca="1">IF(AB44&lt;Bewertung_Stammdaten!P$11,Bewertung_Stammdaten!O$11,IF(AB44&lt;Bewertung_Stammdaten!P$12,Bewertung_Stammdaten!O$12,IF(AB44&lt;Bewertung_Stammdaten!P$13,Bewertung_Stammdaten!O$13,IF(AB44&lt;Bewertung_Stammdaten!P$14,Bewertung_Stammdaten!O$14,IF(AB44&lt;Bewertung_Stammdaten!P$15,Bewertung_Stammdaten!O$15,IF(AB44&lt;Bewertung_Stammdaten!P$16,Bewertung_Stammdaten!O$16,IF(AB44&lt;Bewertung_Stammdaten!P$17,Bewertung_Stammdaten!O$17,IF(AB44&lt;Bewertung_Stammdaten!P$18,Bewertung_Stammdaten!O$18,IF(AB44&lt;Bewertung_Stammdaten!P$19,Bewertung_Stammdaten!O$19,Bewertung_Stammdaten!O$20)))))))))</f>
        <v>5</v>
      </c>
      <c r="AF44" s="44"/>
      <c r="AG44" s="14">
        <f ca="1">VLOOKUP(A44,Dividende_je_Aktie!A3:AM68,24,FALSE)</f>
        <v>1.2605555555555554</v>
      </c>
      <c r="AH44" s="14">
        <f>VLOOKUP(A44,Dividende_je_Aktie!A3:AM68,20,FALSE)</f>
        <v>0.71785714285714275</v>
      </c>
      <c r="AI44" s="12">
        <f ca="1">VLOOKUP(A44,Dividende_je_Aktie!A3:AM68,25,FALSE)</f>
        <v>0.7559977888336098</v>
      </c>
      <c r="AJ44" s="41">
        <f>VLOOKUP(A44,Dividende_je_Aktie!A3:AM68,39,FALSE)</f>
        <v>0</v>
      </c>
      <c r="AK44" s="16">
        <f t="shared" ca="1" si="6"/>
        <v>1.2605555555555554</v>
      </c>
      <c r="AL44" s="12">
        <f t="shared" ca="1" si="7"/>
        <v>0.7559977888336098</v>
      </c>
      <c r="AM44" s="33">
        <f ca="1">IF(AI44&lt;Bewertung_Stammdaten!P$24,Bewertung_Stammdaten!O$24,IF(AI44&lt;Bewertung_Stammdaten!P$25,Bewertung_Stammdaten!O$25,IF(AI44&lt;Bewertung_Stammdaten!P$26,Bewertung_Stammdaten!O$26,IF(AI44&lt;Bewertung_Stammdaten!P$27,Bewertung_Stammdaten!O$27,IF(AI44&lt;Bewertung_Stammdaten!P$28,Bewertung_Stammdaten!O$28,IF(AI44&lt;Bewertung_Stammdaten!P$29,Bewertung_Stammdaten!O$29,IF(AI44&lt;Bewertung_Stammdaten!P$30,Bewertung_Stammdaten!O$30,IF(AI44&lt;Bewertung_Stammdaten!P$31,Bewertung_Stammdaten!O$31,IF(AI44&lt;Bewertung_Stammdaten!P$32,Bewertung_Stammdaten!O$32,Bewertung_Stammdaten!O$33)))))))))</f>
        <v>20</v>
      </c>
      <c r="AN44" s="33">
        <f>IF(AJ44&lt;Bewertung_Stammdaten!R$24,Bewertung_Stammdaten!Q$24,IF(AJ44&lt;Bewertung_Stammdaten!R$25,Bewertung_Stammdaten!Q$25,IF(AJ44&lt;Bewertung_Stammdaten!R$26,Bewertung_Stammdaten!Q$26,IF(AJ44&lt;Bewertung_Stammdaten!R$27,Bewertung_Stammdaten!Q$27,IF(AJ44&lt;Bewertung_Stammdaten!R$28,Bewertung_Stammdaten!Q$28,IF(AJ44&lt;Bewertung_Stammdaten!R$29,Bewertung_Stammdaten!Q$29,IF(AJ44&lt;Bewertung_Stammdaten!R$30,Bewertung_Stammdaten!Q$30,IF(AJ44&lt;Bewertung_Stammdaten!R$31,Bewertung_Stammdaten!Q$31,IF(AJ44&lt;Bewertung_Stammdaten!R$32,Bewertung_Stammdaten!Q$32,Bewertung_Stammdaten!Q$33)))))))))</f>
        <v>8</v>
      </c>
      <c r="AO44" s="33">
        <f ca="1">IF(AL44&lt;Bewertung_Stammdaten!T$24,Bewertung_Stammdaten!S$24,IF(AL44&lt;Bewertung_Stammdaten!T$25,Bewertung_Stammdaten!S$25,IF(AL44&lt;Bewertung_Stammdaten!T$26,Bewertung_Stammdaten!S$26,IF(AL44&lt;Bewertung_Stammdaten!T$27,Bewertung_Stammdaten!S$27,IF(AL44&lt;Bewertung_Stammdaten!T$28,Bewertung_Stammdaten!S$28,IF(AL44&lt;Bewertung_Stammdaten!T$29,Bewertung_Stammdaten!S$29,IF(AL44&lt;Bewertung_Stammdaten!T$30,Bewertung_Stammdaten!S$30,IF(AL44&lt;Bewertung_Stammdaten!T$31,Bewertung_Stammdaten!S$31,IF(AL44&lt;Bewertung_Stammdaten!T$32,Bewertung_Stammdaten!S$32,Bewertung_Stammdaten!S$33)))))))))</f>
        <v>10</v>
      </c>
      <c r="AP44" s="44"/>
      <c r="AQ44" s="12">
        <f ca="1">VLOOKUP(A44,Dividendenrendite!A3:R68,17,FALSE)</f>
        <v>3.046291821062241E-2</v>
      </c>
      <c r="AR44" s="12">
        <f>VLOOKUP(A44,Dividendenrendite!A3:R68,16,FALSE)</f>
        <v>2.0964945665429464E-2</v>
      </c>
      <c r="AS44" s="12">
        <f ca="1">VLOOKUP(A44,Dividendenrendite!A3:R68,18,FALSE)</f>
        <v>0.45304064683815537</v>
      </c>
      <c r="AT44" s="33">
        <f ca="1">IF(AQ44&lt;Bewertung_Stammdaten!D$11,Bewertung_Stammdaten!C$11,IF(AQ44&lt;Bewertung_Stammdaten!D$12,Bewertung_Stammdaten!C$12,IF(AQ44&lt;Bewertung_Stammdaten!D$13,Bewertung_Stammdaten!C$13,IF(AQ44&lt;Bewertung_Stammdaten!D$14,Bewertung_Stammdaten!C$14,IF(AQ44&lt;Bewertung_Stammdaten!D$15,Bewertung_Stammdaten!C$15,IF(AQ44&lt;Bewertung_Stammdaten!D$16,Bewertung_Stammdaten!C$16,IF(AQ44&lt;Bewertung_Stammdaten!D$17,Bewertung_Stammdaten!C$17,IF(AQ44&lt;Bewertung_Stammdaten!D$18,Bewertung_Stammdaten!C$18,IF(AQ44&lt;Bewertung_Stammdaten!D$19,Bewertung_Stammdaten!C$19,Bewertung_Stammdaten!C$20)))))))))</f>
        <v>10.5</v>
      </c>
      <c r="AU44" s="33">
        <f>IF(AR44&lt;Bewertung_Stammdaten!T$11,Bewertung_Stammdaten!S$11,IF(AR44&lt;Bewertung_Stammdaten!T$12,Bewertung_Stammdaten!S$12,IF(AR44&lt;Bewertung_Stammdaten!T$13,Bewertung_Stammdaten!S$13,IF(AR44&lt;Bewertung_Stammdaten!T$14,Bewertung_Stammdaten!S$14,IF(AR44&lt;Bewertung_Stammdaten!T$15,Bewertung_Stammdaten!S$15,IF(AR44&lt;Bewertung_Stammdaten!T$16,Bewertung_Stammdaten!S$16,IF(AR44&lt;Bewertung_Stammdaten!T$17,Bewertung_Stammdaten!S$17,IF(AR44&lt;Bewertung_Stammdaten!T$18,Bewertung_Stammdaten!S$18,IF(AR44&lt;Bewertung_Stammdaten!T$19,Bewertung_Stammdaten!S$19,Bewertung_Stammdaten!S$20)))))))))</f>
        <v>5</v>
      </c>
      <c r="AV44" s="33">
        <f ca="1">IF(AS44&lt;Bewertung_Stammdaten!F$11,Bewertung_Stammdaten!E$11,IF(AS44&lt;Bewertung_Stammdaten!F$12,Bewertung_Stammdaten!E$12,IF(AS44&lt;Bewertung_Stammdaten!F$13,Bewertung_Stammdaten!E$13,IF(AS44&lt;Bewertung_Stammdaten!F$14,Bewertung_Stammdaten!E$14,IF(AS44&lt;Bewertung_Stammdaten!F$15,Bewertung_Stammdaten!E$15,IF(AS44&lt;Bewertung_Stammdaten!F$16,Bewertung_Stammdaten!E$16,IF(AS44&lt;Bewertung_Stammdaten!F$17,Bewertung_Stammdaten!E$17,IF(AS44&lt;Bewertung_Stammdaten!F$18,Bewertung_Stammdaten!E$18,IF(AS44&lt;Bewertung_Stammdaten!F$19,Bewertung_Stammdaten!E$19,Bewertung_Stammdaten!E$20)))))))))</f>
        <v>5</v>
      </c>
      <c r="AW44" s="44"/>
      <c r="AX44" s="12">
        <f>VLOOKUP(A44,Aktien_im_Umlauf_splitbereinigt!A3:Z68,26,FALSE)</f>
        <v>-1.0686839577329521E-2</v>
      </c>
      <c r="AY44" s="12">
        <f>VLOOKUP(A44,Aktien_im_Umlauf_splitbereinigt!A3:Y68,24,FALSE)</f>
        <v>-2.8477223482536045E-2</v>
      </c>
      <c r="AZ44" s="12">
        <f>VLOOKUP(A44,Aktien_im_Umlauf_splitbereinigt!A3:Y68,25,FALSE)</f>
        <v>-0.6247232605424704</v>
      </c>
      <c r="BA44" s="42">
        <f>IF(AX44&lt;Bewertung_Stammdaten!J$24,Bewertung_Stammdaten!I$24,IF(AX44&lt;Bewertung_Stammdaten!J$25,Bewertung_Stammdaten!I$25,IF(AX44&lt;Bewertung_Stammdaten!J$26,Bewertung_Stammdaten!I$26,IF(AX44&lt;Bewertung_Stammdaten!J$27,Bewertung_Stammdaten!I$27,IF(AX44&lt;Bewertung_Stammdaten!J$28,Bewertung_Stammdaten!I$28,IF(AX44&lt;Bewertung_Stammdaten!J$29,Bewertung_Stammdaten!I$29,IF(AX44&lt;Bewertung_Stammdaten!J$30,Bewertung_Stammdaten!I$30,IF(AX44&lt;Bewertung_Stammdaten!J$31,Bewertung_Stammdaten!I$31,IF(AX44&lt;Bewertung_Stammdaten!J$32,Bewertung_Stammdaten!I$32,Bewertung_Stammdaten!I$33)))))))))</f>
        <v>5</v>
      </c>
      <c r="BB44" s="42">
        <f>IF(AY44&lt;Bewertung_Stammdaten!L$24,Bewertung_Stammdaten!K$24,IF(AY44&lt;Bewertung_Stammdaten!L$25,Bewertung_Stammdaten!K$25,IF(AY44&lt;Bewertung_Stammdaten!L$26,Bewertung_Stammdaten!K$26,IF(AY44&lt;Bewertung_Stammdaten!L$27,Bewertung_Stammdaten!K$27,IF(AY44&lt;Bewertung_Stammdaten!L$28,Bewertung_Stammdaten!K$28,IF(AY44&lt;Bewertung_Stammdaten!L$29,Bewertung_Stammdaten!K$29,IF(AY44&lt;Bewertung_Stammdaten!L$30,Bewertung_Stammdaten!K$30,IF(AY44&lt;Bewertung_Stammdaten!L$31,Bewertung_Stammdaten!K$31,IF(AY44&lt;Bewertung_Stammdaten!L$32,Bewertung_Stammdaten!K$32,Bewertung_Stammdaten!K$33)))))))))</f>
        <v>8</v>
      </c>
      <c r="BC44" s="42">
        <f>IF(AZ44&lt;Bewertung_Stammdaten!N$24,Bewertung_Stammdaten!M$24,IF(AZ44&lt;Bewertung_Stammdaten!N$25,Bewertung_Stammdaten!M$25,IF(AZ44&lt;Bewertung_Stammdaten!N$26,Bewertung_Stammdaten!M$26,IF(AZ44&lt;Bewertung_Stammdaten!N$27,Bewertung_Stammdaten!M$27,IF(AZ44&lt;Bewertung_Stammdaten!N$28,Bewertung_Stammdaten!M$28,IF(AZ44&lt;Bewertung_Stammdaten!N$29,Bewertung_Stammdaten!M$29,IF(AZ44&lt;Bewertung_Stammdaten!N$30,Bewertung_Stammdaten!M$30,IF(AZ44&lt;Bewertung_Stammdaten!N$31,Bewertung_Stammdaten!M$31,IF(AZ44&lt;Bewertung_Stammdaten!N$32,Bewertung_Stammdaten!M$32,Bewertung_Stammdaten!M$33)))))))))</f>
        <v>1.5</v>
      </c>
      <c r="BD44" s="44"/>
      <c r="BE44" s="12">
        <f ca="1">VLOOKUP(A44,Ausschüttungsquote!A3:X68,23,FALSE)</f>
        <v>0.45830714290263208</v>
      </c>
      <c r="BF44" s="12">
        <f>VLOOKUP(A44,Ausschüttungsquote!A3:X68,19,FALSE)</f>
        <v>0.33348269214710829</v>
      </c>
      <c r="BG44" s="12">
        <f ca="1">VLOOKUP(A44,Ausschüttungsquote!A3:X68,24,FALSE)</f>
        <v>0.37430563472979372</v>
      </c>
      <c r="BH44" s="33">
        <f ca="1">IF(BE44&lt;Bewertung_Stammdaten!H$11,Bewertung_Stammdaten!G$11,IF(BE44&lt;Bewertung_Stammdaten!H$12,Bewertung_Stammdaten!G$12,IF(BE44&lt;Bewertung_Stammdaten!H$13,Bewertung_Stammdaten!G$13,IF(BE44&lt;Bewertung_Stammdaten!H$14,Bewertung_Stammdaten!G$14,IF(BE44&lt;Bewertung_Stammdaten!H$15,Bewertung_Stammdaten!G$15,IF(BE44&lt;Bewertung_Stammdaten!H$16,Bewertung_Stammdaten!G$16,IF(BE44&lt;Bewertung_Stammdaten!H$17,Bewertung_Stammdaten!G$17,IF(BE44&lt;Bewertung_Stammdaten!H$18,Bewertung_Stammdaten!G$18,IF(BE44&lt;Bewertung_Stammdaten!H$19,Bewertung_Stammdaten!G$19,Bewertung_Stammdaten!G$20)))))))))</f>
        <v>8</v>
      </c>
      <c r="BI44" s="42">
        <f>IF(BF44&lt;Bewertung_Stammdaten!B$24,Bewertung_Stammdaten!A$24,IF(BF44&lt;Bewertung_Stammdaten!B$25,Bewertung_Stammdaten!A$25,IF(BF44&lt;Bewertung_Stammdaten!B$26,Bewertung_Stammdaten!A$26,IF(BF44&lt;Bewertung_Stammdaten!B$27,Bewertung_Stammdaten!A$27,IF(BF44&lt;Bewertung_Stammdaten!B$28,Bewertung_Stammdaten!A$28,IF(BF44&lt;Bewertung_Stammdaten!B$29,Bewertung_Stammdaten!A$29,IF(BF44&lt;Bewertung_Stammdaten!B$30,Bewertung_Stammdaten!A$30,IF(BF44&lt;Bewertung_Stammdaten!B$31,Bewertung_Stammdaten!A$31,IF(BF44&lt;Bewertung_Stammdaten!B$32,Bewertung_Stammdaten!A$32,Bewertung_Stammdaten!A$33)))))))))</f>
        <v>10</v>
      </c>
      <c r="BJ44" s="33">
        <f ca="1">IF(BG44&lt;Bewertung_Stammdaten!J$11,Bewertung_Stammdaten!I$11,IF(BG44&lt;Bewertung_Stammdaten!J$12,Bewertung_Stammdaten!I$12,IF(BG44&lt;Bewertung_Stammdaten!J$13,Bewertung_Stammdaten!I$13,IF(BG44&lt;Bewertung_Stammdaten!J$14,Bewertung_Stammdaten!I$14,IF(BG44&lt;Bewertung_Stammdaten!J$15,Bewertung_Stammdaten!I$15,IF(BG44&lt;Bewertung_Stammdaten!J$16,Bewertung_Stammdaten!I$16,IF(BG44&lt;Bewertung_Stammdaten!J$17,Bewertung_Stammdaten!I$17,IF(BG44&lt;Bewertung_Stammdaten!J$18,Bewertung_Stammdaten!I$18,IF(BG44&lt;Bewertung_Stammdaten!J$19,Bewertung_Stammdaten!I$19,Bewertung_Stammdaten!I$20)))))))))</f>
        <v>1</v>
      </c>
    </row>
    <row r="45" spans="1:62" x14ac:dyDescent="0.25">
      <c r="A45" s="39" t="s">
        <v>84</v>
      </c>
      <c r="B45" s="39" t="s">
        <v>85</v>
      </c>
      <c r="C45" s="33">
        <f t="shared" ca="1" si="8"/>
        <v>130</v>
      </c>
      <c r="D45" s="44"/>
      <c r="E45" s="11">
        <f ca="1">VLOOKUP(A45,KGV!A3:R68,17,FALSE)</f>
        <v>20.195393143358746</v>
      </c>
      <c r="F45" s="11">
        <f>VLOOKUP(A45,KGV!A3:R68,16,FALSE)</f>
        <v>17.788659793814432</v>
      </c>
      <c r="G45" s="12">
        <f ca="1">VLOOKUP(A45,KGV!A3:R68,18,FALSE)</f>
        <v>0.13529593445714205</v>
      </c>
      <c r="H45" s="16">
        <f t="shared" ca="1" si="9"/>
        <v>30.293089715038118</v>
      </c>
      <c r="I45" s="12">
        <f t="shared" ca="1" si="10"/>
        <v>0.70294390168571286</v>
      </c>
      <c r="J45" s="33">
        <f ca="1">IF(G45&lt;Bewertung_Stammdaten!B$11,Bewertung_Stammdaten!A$11,IF(G45&lt;Bewertung_Stammdaten!B$12,Bewertung_Stammdaten!A$12,IF(G45&lt;Bewertung_Stammdaten!B$13,Bewertung_Stammdaten!A$13,IF(G45&lt;Bewertung_Stammdaten!B$14,Bewertung_Stammdaten!A$14,IF(G45&lt;Bewertung_Stammdaten!B$15,Bewertung_Stammdaten!A$15,IF(G45&lt;Bewertung_Stammdaten!B$16,Bewertung_Stammdaten!A$16,IF(G45&lt;Bewertung_Stammdaten!B$17,Bewertung_Stammdaten!A$17,IF(G45&lt;Bewertung_Stammdaten!B$18,Bewertung_Stammdaten!A$18,IF(G45&lt;Bewertung_Stammdaten!B$19,Bewertung_Stammdaten!A$19,Bewertung_Stammdaten!A$20)))))))))</f>
        <v>12</v>
      </c>
      <c r="K45" s="33">
        <f ca="1">IF(I45&lt;Bewertung_Stammdaten!N$11,Bewertung_Stammdaten!M$11,IF(I45&lt;Bewertung_Stammdaten!N$12,Bewertung_Stammdaten!M$12,IF(I45&lt;Bewertung_Stammdaten!N$13,Bewertung_Stammdaten!M$13,IF(I45&lt;Bewertung_Stammdaten!N$14,Bewertung_Stammdaten!M$14,IF(I45&lt;Bewertung_Stammdaten!N$15,Bewertung_Stammdaten!M$15,IF(I45&lt;Bewertung_Stammdaten!N$16,Bewertung_Stammdaten!M$16,IF(I45&lt;Bewertung_Stammdaten!N$17,Bewertung_Stammdaten!M$17,IF(I45&lt;Bewertung_Stammdaten!N$18,Bewertung_Stammdaten!M$18,IF(I45&lt;Bewertung_Stammdaten!N$19,Bewertung_Stammdaten!M$19,Bewertung_Stammdaten!M$20)))))))))</f>
        <v>1.5</v>
      </c>
      <c r="L45" s="44"/>
      <c r="M45" s="11">
        <f ca="1">VLOOKUP(A45,Buchwert_je_Aktie!A3:AK68,23,FALSE)</f>
        <v>16.50277777777778</v>
      </c>
      <c r="N45" s="11">
        <f>VLOOKUP(A45,Buchwert_je_Aktie!A3:AK68,19,FALSE)</f>
        <v>16.001249999999999</v>
      </c>
      <c r="O45" s="12">
        <f ca="1">VLOOKUP(A45,Buchwert_je_Aktie!A3:AK68,24,FALSE)</f>
        <v>3.1343037436311505E-2</v>
      </c>
      <c r="P45" s="12">
        <f>VLOOKUP(A45,Buchwert_je_Aktie!A3:AK68,37,FALSE)</f>
        <v>-0.12118018967334043</v>
      </c>
      <c r="Q45" s="16">
        <f t="shared" ca="1" si="11"/>
        <v>14.502968036529682</v>
      </c>
      <c r="R45" s="12">
        <f t="shared" ca="1" si="12"/>
        <v>-9.3635307458499684E-2</v>
      </c>
      <c r="S45" s="53">
        <f ca="1">IF(O45&lt;Bewertung_Stammdaten!D$24,Bewertung_Stammdaten!C$24,IF(O45&lt;Bewertung_Stammdaten!D$25,Bewertung_Stammdaten!C$25,IF(O45&lt;Bewertung_Stammdaten!D$26,Bewertung_Stammdaten!C$26,IF(O45&lt;Bewertung_Stammdaten!D$27,Bewertung_Stammdaten!C$27,IF(O45&lt;Bewertung_Stammdaten!D$28,Bewertung_Stammdaten!C$28,IF(O45&lt;Bewertung_Stammdaten!D$29,Bewertung_Stammdaten!C$29,IF(O45&lt;Bewertung_Stammdaten!D$30,Bewertung_Stammdaten!C$30,IF(O45&lt;Bewertung_Stammdaten!D$31,Bewertung_Stammdaten!C$31,IF(O45&lt;Bewertung_Stammdaten!D$32,Bewertung_Stammdaten!C$32,Bewertung_Stammdaten!C$33)))))))))</f>
        <v>4.5</v>
      </c>
      <c r="T45" s="53">
        <f>IF(P45&lt;Bewertung_Stammdaten!F$24,Bewertung_Stammdaten!E$24,IF(P45&lt;Bewertung_Stammdaten!F$25,Bewertung_Stammdaten!E$25,IF(P45&lt;Bewertung_Stammdaten!F$26,Bewertung_Stammdaten!E$26,IF(P45&lt;Bewertung_Stammdaten!F$27,Bewertung_Stammdaten!E$27,IF(P45&lt;Bewertung_Stammdaten!F$28,Bewertung_Stammdaten!E$28,IF(P45&lt;Bewertung_Stammdaten!F$29,Bewertung_Stammdaten!E$29,IF(P45&lt;Bewertung_Stammdaten!F$30,Bewertung_Stammdaten!E$30,IF(P45&lt;Bewertung_Stammdaten!F$31,Bewertung_Stammdaten!E$31,IF(P45&lt;Bewertung_Stammdaten!F$32,Bewertung_Stammdaten!E$32,Bewertung_Stammdaten!E$33)))))))))</f>
        <v>7.5</v>
      </c>
      <c r="U45" s="53">
        <f ca="1">IF(R45&lt;Bewertung_Stammdaten!H$24,Bewertung_Stammdaten!G$24,IF(R45&lt;Bewertung_Stammdaten!H$25,Bewertung_Stammdaten!G$25,IF(R45&lt;Bewertung_Stammdaten!H$26,Bewertung_Stammdaten!G$26,IF(R45&lt;Bewertung_Stammdaten!H$27,Bewertung_Stammdaten!G$27,IF(R45&lt;Bewertung_Stammdaten!H$28,Bewertung_Stammdaten!G$28,IF(R45&lt;Bewertung_Stammdaten!H$29,Bewertung_Stammdaten!G$29,IF(R45&lt;Bewertung_Stammdaten!H$30,Bewertung_Stammdaten!G$30,IF(R45&lt;Bewertung_Stammdaten!H$31,Bewertung_Stammdaten!G$31,IF(R45&lt;Bewertung_Stammdaten!H$32,Bewertung_Stammdaten!G$32,Bewertung_Stammdaten!G$33)))))))))</f>
        <v>2</v>
      </c>
      <c r="V45" s="44"/>
      <c r="W45" s="14">
        <f ca="1">VLOOKUP(A45,Ergebnis_je_Aktie_verwässert!A3:AK68,23,FALSE)</f>
        <v>1.7088055555555555</v>
      </c>
      <c r="X45" s="14">
        <f>VLOOKUP(A45,Ergebnis_je_Aktie_verwässert!A3:AK68,19,FALSE)</f>
        <v>1.121</v>
      </c>
      <c r="Y45" s="12">
        <f ca="1">VLOOKUP(A45,Ergebnis_je_Aktie_verwässert!A3:AK68,24,FALSE)</f>
        <v>0.52435821191396559</v>
      </c>
      <c r="Z45" s="41">
        <f>VLOOKUP(A45,Ergebnis_je_Aktie_verwässert!A3:AK68,37,FALSE)</f>
        <v>-0.33333333333333326</v>
      </c>
      <c r="AA45" s="16">
        <f t="shared" ca="1" si="13"/>
        <v>1.1392037037037037</v>
      </c>
      <c r="AB45" s="12">
        <f t="shared" ca="1" si="14"/>
        <v>1.6238807942643874E-2</v>
      </c>
      <c r="AC45" s="33">
        <f ca="1">IF(Y45&lt;Bewertung_Stammdaten!L$11,Bewertung_Stammdaten!K$11,IF(Y45&lt;Bewertung_Stammdaten!L$12,Bewertung_Stammdaten!K$12,IF(Y45&lt;Bewertung_Stammdaten!L$13,Bewertung_Stammdaten!K$13,IF(Y45&lt;Bewertung_Stammdaten!L$14,Bewertung_Stammdaten!K$14,IF(Y45&lt;Bewertung_Stammdaten!L$15,Bewertung_Stammdaten!K$15,IF(Y45&lt;Bewertung_Stammdaten!L$16,Bewertung_Stammdaten!K$16,IF(Y45&lt;Bewertung_Stammdaten!L$17,Bewertung_Stammdaten!K$17,IF(Y45&lt;Bewertung_Stammdaten!L$18,Bewertung_Stammdaten!K$18,IF(Y45&lt;Bewertung_Stammdaten!L$19,Bewertung_Stammdaten!K$19,Bewertung_Stammdaten!K$20)))))))))</f>
        <v>16</v>
      </c>
      <c r="AD45" s="33">
        <f>IF(Z45&lt;Bewertung_Stammdaten!R$11,Bewertung_Stammdaten!Q$11,IF(Z45&lt;Bewertung_Stammdaten!R$12,Bewertung_Stammdaten!Q$12,IF(Z45&lt;Bewertung_Stammdaten!R$13,Bewertung_Stammdaten!Q$13,IF(Z45&lt;Bewertung_Stammdaten!R$14,Bewertung_Stammdaten!Q$14,IF(Z45&lt;Bewertung_Stammdaten!R$15,Bewertung_Stammdaten!Q$15,IF(Z45&lt;Bewertung_Stammdaten!R$16,Bewertung_Stammdaten!Q$16,IF(Z45&lt;Bewertung_Stammdaten!R$17,Bewertung_Stammdaten!Q$17,IF(Z45&lt;Bewertung_Stammdaten!R$18,Bewertung_Stammdaten!Q$18,IF(Z45&lt;Bewertung_Stammdaten!R$19,Bewertung_Stammdaten!Q$19,Bewertung_Stammdaten!Q$20)))))))))</f>
        <v>4</v>
      </c>
      <c r="AE45" s="33">
        <f ca="1">IF(AB45&lt;Bewertung_Stammdaten!P$11,Bewertung_Stammdaten!O$11,IF(AB45&lt;Bewertung_Stammdaten!P$12,Bewertung_Stammdaten!O$12,IF(AB45&lt;Bewertung_Stammdaten!P$13,Bewertung_Stammdaten!O$13,IF(AB45&lt;Bewertung_Stammdaten!P$14,Bewertung_Stammdaten!O$14,IF(AB45&lt;Bewertung_Stammdaten!P$15,Bewertung_Stammdaten!O$15,IF(AB45&lt;Bewertung_Stammdaten!P$16,Bewertung_Stammdaten!O$16,IF(AB45&lt;Bewertung_Stammdaten!P$17,Bewertung_Stammdaten!O$17,IF(AB45&lt;Bewertung_Stammdaten!P$18,Bewertung_Stammdaten!O$18,IF(AB45&lt;Bewertung_Stammdaten!P$19,Bewertung_Stammdaten!O$19,Bewertung_Stammdaten!O$20)))))))))</f>
        <v>4</v>
      </c>
      <c r="AF45" s="44"/>
      <c r="AG45" s="14">
        <f ca="1">VLOOKUP(A45,Dividende_je_Aktie!A3:AM68,24,FALSE)</f>
        <v>0.6301388888888888</v>
      </c>
      <c r="AH45" s="14">
        <f>VLOOKUP(A45,Dividende_je_Aktie!A3:AM68,20,FALSE)</f>
        <v>0.41096252560567575</v>
      </c>
      <c r="AI45" s="12">
        <f ca="1">VLOOKUP(A45,Dividende_je_Aktie!A3:AM68,25,FALSE)</f>
        <v>0.53332445083695013</v>
      </c>
      <c r="AJ45" s="41">
        <f>VLOOKUP(A45,Dividende_je_Aktie!A3:AM68,39,FALSE)</f>
        <v>-0.2960893854748603</v>
      </c>
      <c r="AK45" s="16">
        <f t="shared" ca="1" si="6"/>
        <v>0.44356145251396645</v>
      </c>
      <c r="AL45" s="12">
        <f t="shared" ca="1" si="7"/>
        <v>7.9323356455059946E-2</v>
      </c>
      <c r="AM45" s="33">
        <f ca="1">IF(AI45&lt;Bewertung_Stammdaten!P$24,Bewertung_Stammdaten!O$24,IF(AI45&lt;Bewertung_Stammdaten!P$25,Bewertung_Stammdaten!O$25,IF(AI45&lt;Bewertung_Stammdaten!P$26,Bewertung_Stammdaten!O$26,IF(AI45&lt;Bewertung_Stammdaten!P$27,Bewertung_Stammdaten!O$27,IF(AI45&lt;Bewertung_Stammdaten!P$28,Bewertung_Stammdaten!O$28,IF(AI45&lt;Bewertung_Stammdaten!P$29,Bewertung_Stammdaten!O$29,IF(AI45&lt;Bewertung_Stammdaten!P$30,Bewertung_Stammdaten!O$30,IF(AI45&lt;Bewertung_Stammdaten!P$31,Bewertung_Stammdaten!O$31,IF(AI45&lt;Bewertung_Stammdaten!P$32,Bewertung_Stammdaten!O$32,Bewertung_Stammdaten!O$33)))))))))</f>
        <v>16</v>
      </c>
      <c r="AN45" s="33">
        <f>IF(AJ45&lt;Bewertung_Stammdaten!R$24,Bewertung_Stammdaten!Q$24,IF(AJ45&lt;Bewertung_Stammdaten!R$25,Bewertung_Stammdaten!Q$25,IF(AJ45&lt;Bewertung_Stammdaten!R$26,Bewertung_Stammdaten!Q$26,IF(AJ45&lt;Bewertung_Stammdaten!R$27,Bewertung_Stammdaten!Q$27,IF(AJ45&lt;Bewertung_Stammdaten!R$28,Bewertung_Stammdaten!Q$28,IF(AJ45&lt;Bewertung_Stammdaten!R$29,Bewertung_Stammdaten!Q$29,IF(AJ45&lt;Bewertung_Stammdaten!R$30,Bewertung_Stammdaten!Q$30,IF(AJ45&lt;Bewertung_Stammdaten!R$31,Bewertung_Stammdaten!Q$31,IF(AJ45&lt;Bewertung_Stammdaten!R$32,Bewertung_Stammdaten!Q$32,Bewertung_Stammdaten!Q$33)))))))))</f>
        <v>5</v>
      </c>
      <c r="AO45" s="33">
        <f ca="1">IF(AL45&lt;Bewertung_Stammdaten!T$24,Bewertung_Stammdaten!S$24,IF(AL45&lt;Bewertung_Stammdaten!T$25,Bewertung_Stammdaten!S$25,IF(AL45&lt;Bewertung_Stammdaten!T$26,Bewertung_Stammdaten!S$26,IF(AL45&lt;Bewertung_Stammdaten!T$27,Bewertung_Stammdaten!S$27,IF(AL45&lt;Bewertung_Stammdaten!T$28,Bewertung_Stammdaten!S$28,IF(AL45&lt;Bewertung_Stammdaten!T$29,Bewertung_Stammdaten!S$29,IF(AL45&lt;Bewertung_Stammdaten!T$30,Bewertung_Stammdaten!S$30,IF(AL45&lt;Bewertung_Stammdaten!T$31,Bewertung_Stammdaten!S$31,IF(AL45&lt;Bewertung_Stammdaten!T$32,Bewertung_Stammdaten!S$32,Bewertung_Stammdaten!S$33)))))))))</f>
        <v>5</v>
      </c>
      <c r="AP45" s="44"/>
      <c r="AQ45" s="12">
        <f ca="1">VLOOKUP(A45,Dividendenrendite!A3:R68,17,FALSE)</f>
        <v>1.8259602691651371E-2</v>
      </c>
      <c r="AR45" s="12">
        <f>VLOOKUP(A45,Dividendenrendite!A3:R68,16,FALSE)</f>
        <v>2.1404119812009306E-2</v>
      </c>
      <c r="AS45" s="12">
        <f ca="1">VLOOKUP(A45,Dividendenrendite!A3:R68,18,FALSE)</f>
        <v>-0.14691176969555297</v>
      </c>
      <c r="AT45" s="33">
        <f ca="1">IF(AQ45&lt;Bewertung_Stammdaten!D$11,Bewertung_Stammdaten!C$11,IF(AQ45&lt;Bewertung_Stammdaten!D$12,Bewertung_Stammdaten!C$12,IF(AQ45&lt;Bewertung_Stammdaten!D$13,Bewertung_Stammdaten!C$13,IF(AQ45&lt;Bewertung_Stammdaten!D$14,Bewertung_Stammdaten!C$14,IF(AQ45&lt;Bewertung_Stammdaten!D$15,Bewertung_Stammdaten!C$15,IF(AQ45&lt;Bewertung_Stammdaten!D$16,Bewertung_Stammdaten!C$16,IF(AQ45&lt;Bewertung_Stammdaten!D$17,Bewertung_Stammdaten!C$17,IF(AQ45&lt;Bewertung_Stammdaten!D$18,Bewertung_Stammdaten!C$18,IF(AQ45&lt;Bewertung_Stammdaten!D$19,Bewertung_Stammdaten!C$19,Bewertung_Stammdaten!C$20)))))))))</f>
        <v>6</v>
      </c>
      <c r="AU45" s="33">
        <f>IF(AR45&lt;Bewertung_Stammdaten!T$11,Bewertung_Stammdaten!S$11,IF(AR45&lt;Bewertung_Stammdaten!T$12,Bewertung_Stammdaten!S$12,IF(AR45&lt;Bewertung_Stammdaten!T$13,Bewertung_Stammdaten!S$13,IF(AR45&lt;Bewertung_Stammdaten!T$14,Bewertung_Stammdaten!S$14,IF(AR45&lt;Bewertung_Stammdaten!T$15,Bewertung_Stammdaten!S$15,IF(AR45&lt;Bewertung_Stammdaten!T$16,Bewertung_Stammdaten!S$16,IF(AR45&lt;Bewertung_Stammdaten!T$17,Bewertung_Stammdaten!S$17,IF(AR45&lt;Bewertung_Stammdaten!T$18,Bewertung_Stammdaten!S$18,IF(AR45&lt;Bewertung_Stammdaten!T$19,Bewertung_Stammdaten!S$19,Bewertung_Stammdaten!S$20)))))))))</f>
        <v>5</v>
      </c>
      <c r="AV45" s="33">
        <f ca="1">IF(AS45&lt;Bewertung_Stammdaten!F$11,Bewertung_Stammdaten!E$11,IF(AS45&lt;Bewertung_Stammdaten!F$12,Bewertung_Stammdaten!E$12,IF(AS45&lt;Bewertung_Stammdaten!F$13,Bewertung_Stammdaten!E$13,IF(AS45&lt;Bewertung_Stammdaten!F$14,Bewertung_Stammdaten!E$14,IF(AS45&lt;Bewertung_Stammdaten!F$15,Bewertung_Stammdaten!E$15,IF(AS45&lt;Bewertung_Stammdaten!F$16,Bewertung_Stammdaten!E$16,IF(AS45&lt;Bewertung_Stammdaten!F$17,Bewertung_Stammdaten!E$17,IF(AS45&lt;Bewertung_Stammdaten!F$18,Bewertung_Stammdaten!E$18,IF(AS45&lt;Bewertung_Stammdaten!F$19,Bewertung_Stammdaten!E$19,Bewertung_Stammdaten!E$20)))))))))</f>
        <v>1.5</v>
      </c>
      <c r="AW45" s="44"/>
      <c r="AX45" s="12">
        <f>VLOOKUP(A45,Aktien_im_Umlauf_splitbereinigt!A3:Z68,26,FALSE)</f>
        <v>-2.404692082111437E-2</v>
      </c>
      <c r="AY45" s="12">
        <f>VLOOKUP(A45,Aktien_im_Umlauf_splitbereinigt!A3:Y68,24,FALSE)</f>
        <v>1.7575913838881031E-3</v>
      </c>
      <c r="AZ45" s="12">
        <f>VLOOKUP(A45,Aktien_im_Umlauf_splitbereinigt!A3:Y68,25,FALSE)</f>
        <v>14.681747100920765</v>
      </c>
      <c r="BA45" s="42">
        <f>IF(AX45&lt;Bewertung_Stammdaten!J$24,Bewertung_Stammdaten!I$24,IF(AX45&lt;Bewertung_Stammdaten!J$25,Bewertung_Stammdaten!I$25,IF(AX45&lt;Bewertung_Stammdaten!J$26,Bewertung_Stammdaten!I$26,IF(AX45&lt;Bewertung_Stammdaten!J$27,Bewertung_Stammdaten!I$27,IF(AX45&lt;Bewertung_Stammdaten!J$28,Bewertung_Stammdaten!I$28,IF(AX45&lt;Bewertung_Stammdaten!J$29,Bewertung_Stammdaten!I$29,IF(AX45&lt;Bewertung_Stammdaten!J$30,Bewertung_Stammdaten!I$30,IF(AX45&lt;Bewertung_Stammdaten!J$31,Bewertung_Stammdaten!I$31,IF(AX45&lt;Bewertung_Stammdaten!J$32,Bewertung_Stammdaten!I$32,Bewertung_Stammdaten!I$33)))))))))</f>
        <v>7</v>
      </c>
      <c r="BB45" s="42">
        <f>IF(AY45&lt;Bewertung_Stammdaten!L$24,Bewertung_Stammdaten!K$24,IF(AY45&lt;Bewertung_Stammdaten!L$25,Bewertung_Stammdaten!K$25,IF(AY45&lt;Bewertung_Stammdaten!L$26,Bewertung_Stammdaten!K$26,IF(AY45&lt;Bewertung_Stammdaten!L$27,Bewertung_Stammdaten!K$27,IF(AY45&lt;Bewertung_Stammdaten!L$28,Bewertung_Stammdaten!K$28,IF(AY45&lt;Bewertung_Stammdaten!L$29,Bewertung_Stammdaten!K$29,IF(AY45&lt;Bewertung_Stammdaten!L$30,Bewertung_Stammdaten!K$30,IF(AY45&lt;Bewertung_Stammdaten!L$31,Bewertung_Stammdaten!K$31,IF(AY45&lt;Bewertung_Stammdaten!L$32,Bewertung_Stammdaten!K$32,Bewertung_Stammdaten!K$33)))))))))</f>
        <v>2</v>
      </c>
      <c r="BC45" s="42">
        <f>IF(AZ45&lt;Bewertung_Stammdaten!N$24,Bewertung_Stammdaten!M$24,IF(AZ45&lt;Bewertung_Stammdaten!N$25,Bewertung_Stammdaten!M$25,IF(AZ45&lt;Bewertung_Stammdaten!N$26,Bewertung_Stammdaten!M$26,IF(AZ45&lt;Bewertung_Stammdaten!N$27,Bewertung_Stammdaten!M$27,IF(AZ45&lt;Bewertung_Stammdaten!N$28,Bewertung_Stammdaten!M$28,IF(AZ45&lt;Bewertung_Stammdaten!N$29,Bewertung_Stammdaten!M$29,IF(AZ45&lt;Bewertung_Stammdaten!N$30,Bewertung_Stammdaten!M$30,IF(AZ45&lt;Bewertung_Stammdaten!N$31,Bewertung_Stammdaten!M$31,IF(AZ45&lt;Bewertung_Stammdaten!N$32,Bewertung_Stammdaten!M$32,Bewertung_Stammdaten!M$33)))))))))</f>
        <v>5</v>
      </c>
      <c r="BD45" s="44"/>
      <c r="BE45" s="12">
        <f ca="1">VLOOKUP(A45,Ausschüttungsquote!A3:X68,23,FALSE)</f>
        <v>0.3695937901350273</v>
      </c>
      <c r="BF45" s="12">
        <f>VLOOKUP(A45,Ausschüttungsquote!A3:X68,19,FALSE)</f>
        <v>0.37151691309562374</v>
      </c>
      <c r="BG45" s="12">
        <f ca="1">VLOOKUP(A45,Ausschüttungsquote!A3:X68,24,FALSE)</f>
        <v>-5.1764075680221788E-3</v>
      </c>
      <c r="BH45" s="33">
        <f ca="1">IF(BE45&lt;Bewertung_Stammdaten!H$11,Bewertung_Stammdaten!G$11,IF(BE45&lt;Bewertung_Stammdaten!H$12,Bewertung_Stammdaten!G$12,IF(BE45&lt;Bewertung_Stammdaten!H$13,Bewertung_Stammdaten!G$13,IF(BE45&lt;Bewertung_Stammdaten!H$14,Bewertung_Stammdaten!G$14,IF(BE45&lt;Bewertung_Stammdaten!H$15,Bewertung_Stammdaten!G$15,IF(BE45&lt;Bewertung_Stammdaten!H$16,Bewertung_Stammdaten!G$16,IF(BE45&lt;Bewertung_Stammdaten!H$17,Bewertung_Stammdaten!G$17,IF(BE45&lt;Bewertung_Stammdaten!H$18,Bewertung_Stammdaten!G$18,IF(BE45&lt;Bewertung_Stammdaten!H$19,Bewertung_Stammdaten!G$19,Bewertung_Stammdaten!G$20)))))))))</f>
        <v>10</v>
      </c>
      <c r="BI45" s="42">
        <f>IF(BF45&lt;Bewertung_Stammdaten!B$24,Bewertung_Stammdaten!A$24,IF(BF45&lt;Bewertung_Stammdaten!B$25,Bewertung_Stammdaten!A$25,IF(BF45&lt;Bewertung_Stammdaten!B$26,Bewertung_Stammdaten!A$26,IF(BF45&lt;Bewertung_Stammdaten!B$27,Bewertung_Stammdaten!A$27,IF(BF45&lt;Bewertung_Stammdaten!B$28,Bewertung_Stammdaten!A$28,IF(BF45&lt;Bewertung_Stammdaten!B$29,Bewertung_Stammdaten!A$29,IF(BF45&lt;Bewertung_Stammdaten!B$30,Bewertung_Stammdaten!A$30,IF(BF45&lt;Bewertung_Stammdaten!B$31,Bewertung_Stammdaten!A$31,IF(BF45&lt;Bewertung_Stammdaten!B$32,Bewertung_Stammdaten!A$32,Bewertung_Stammdaten!A$33)))))))))</f>
        <v>10</v>
      </c>
      <c r="BJ45" s="33">
        <f ca="1">IF(BG45&lt;Bewertung_Stammdaten!J$11,Bewertung_Stammdaten!I$11,IF(BG45&lt;Bewertung_Stammdaten!J$12,Bewertung_Stammdaten!I$12,IF(BG45&lt;Bewertung_Stammdaten!J$13,Bewertung_Stammdaten!I$13,IF(BG45&lt;Bewertung_Stammdaten!J$14,Bewertung_Stammdaten!I$14,IF(BG45&lt;Bewertung_Stammdaten!J$15,Bewertung_Stammdaten!I$15,IF(BG45&lt;Bewertung_Stammdaten!J$16,Bewertung_Stammdaten!I$16,IF(BG45&lt;Bewertung_Stammdaten!J$17,Bewertung_Stammdaten!I$17,IF(BG45&lt;Bewertung_Stammdaten!J$18,Bewertung_Stammdaten!I$18,IF(BG45&lt;Bewertung_Stammdaten!J$19,Bewertung_Stammdaten!I$19,Bewertung_Stammdaten!I$20)))))))))</f>
        <v>6</v>
      </c>
    </row>
    <row r="46" spans="1:62" x14ac:dyDescent="0.25">
      <c r="A46" s="39" t="s">
        <v>86</v>
      </c>
      <c r="B46" s="39" t="s">
        <v>87</v>
      </c>
      <c r="C46" s="33">
        <f t="shared" ca="1" si="8"/>
        <v>154</v>
      </c>
      <c r="D46" s="44"/>
      <c r="E46" s="11">
        <f ca="1">VLOOKUP(A46,KGV!A3:R68,17,FALSE)</f>
        <v>18.291502728082953</v>
      </c>
      <c r="F46" s="11">
        <f>VLOOKUP(A46,KGV!A3:R68,16,FALSE)</f>
        <v>19.265193370165743</v>
      </c>
      <c r="G46" s="12">
        <f ca="1">VLOOKUP(A46,KGV!A3:R68,18,FALSE)</f>
        <v>-5.054144141582595E-2</v>
      </c>
      <c r="H46" s="16">
        <f t="shared" ca="1" si="9"/>
        <v>34.186738723229276</v>
      </c>
      <c r="I46" s="12">
        <f t="shared" ca="1" si="10"/>
        <v>0.77453389988657873</v>
      </c>
      <c r="J46" s="33">
        <f ca="1">IF(G46&lt;Bewertung_Stammdaten!B$11,Bewertung_Stammdaten!A$11,IF(G46&lt;Bewertung_Stammdaten!B$12,Bewertung_Stammdaten!A$12,IF(G46&lt;Bewertung_Stammdaten!B$13,Bewertung_Stammdaten!A$13,IF(G46&lt;Bewertung_Stammdaten!B$14,Bewertung_Stammdaten!A$14,IF(G46&lt;Bewertung_Stammdaten!B$15,Bewertung_Stammdaten!A$15,IF(G46&lt;Bewertung_Stammdaten!B$16,Bewertung_Stammdaten!A$16,IF(G46&lt;Bewertung_Stammdaten!B$17,Bewertung_Stammdaten!A$17,IF(G46&lt;Bewertung_Stammdaten!B$18,Bewertung_Stammdaten!A$18,IF(G46&lt;Bewertung_Stammdaten!B$19,Bewertung_Stammdaten!A$19,Bewertung_Stammdaten!A$20)))))))))</f>
        <v>24</v>
      </c>
      <c r="K46" s="33">
        <f ca="1">IF(I46&lt;Bewertung_Stammdaten!N$11,Bewertung_Stammdaten!M$11,IF(I46&lt;Bewertung_Stammdaten!N$12,Bewertung_Stammdaten!M$12,IF(I46&lt;Bewertung_Stammdaten!N$13,Bewertung_Stammdaten!M$13,IF(I46&lt;Bewertung_Stammdaten!N$14,Bewertung_Stammdaten!M$14,IF(I46&lt;Bewertung_Stammdaten!N$15,Bewertung_Stammdaten!M$15,IF(I46&lt;Bewertung_Stammdaten!N$16,Bewertung_Stammdaten!M$16,IF(I46&lt;Bewertung_Stammdaten!N$17,Bewertung_Stammdaten!M$17,IF(I46&lt;Bewertung_Stammdaten!N$18,Bewertung_Stammdaten!M$18,IF(I46&lt;Bewertung_Stammdaten!N$19,Bewertung_Stammdaten!M$19,Bewertung_Stammdaten!M$20)))))))))</f>
        <v>1.5</v>
      </c>
      <c r="L46" s="44"/>
      <c r="M46" s="11">
        <f ca="1">VLOOKUP(A46,Buchwert_je_Aktie!A3:AK68,23,FALSE)</f>
        <v>17.272222222222222</v>
      </c>
      <c r="N46" s="11">
        <f>VLOOKUP(A46,Buchwert_je_Aktie!A3:AK68,19,FALSE)</f>
        <v>17.651538461538458</v>
      </c>
      <c r="O46" s="12">
        <f ca="1">VLOOKUP(A46,Buchwert_je_Aktie!A3:AK68,24,FALSE)</f>
        <v>-2.1489131961088814E-2</v>
      </c>
      <c r="P46" s="12">
        <f>VLOOKUP(A46,Buchwert_je_Aktie!A3:AK68,37,FALSE)</f>
        <v>-0.36815501263689976</v>
      </c>
      <c r="Q46" s="16">
        <f t="shared" ca="1" si="11"/>
        <v>10.913367031732658</v>
      </c>
      <c r="R46" s="12">
        <f t="shared" ca="1" si="12"/>
        <v>-0.38173281294929795</v>
      </c>
      <c r="S46" s="53">
        <f ca="1">IF(O46&lt;Bewertung_Stammdaten!D$24,Bewertung_Stammdaten!C$24,IF(O46&lt;Bewertung_Stammdaten!D$25,Bewertung_Stammdaten!C$25,IF(O46&lt;Bewertung_Stammdaten!D$26,Bewertung_Stammdaten!C$26,IF(O46&lt;Bewertung_Stammdaten!D$27,Bewertung_Stammdaten!C$27,IF(O46&lt;Bewertung_Stammdaten!D$28,Bewertung_Stammdaten!C$28,IF(O46&lt;Bewertung_Stammdaten!D$29,Bewertung_Stammdaten!C$29,IF(O46&lt;Bewertung_Stammdaten!D$30,Bewertung_Stammdaten!C$30,IF(O46&lt;Bewertung_Stammdaten!D$31,Bewertung_Stammdaten!C$31,IF(O46&lt;Bewertung_Stammdaten!D$32,Bewertung_Stammdaten!C$32,Bewertung_Stammdaten!C$33)))))))))</f>
        <v>3</v>
      </c>
      <c r="T46" s="53">
        <f>IF(P46&lt;Bewertung_Stammdaten!F$24,Bewertung_Stammdaten!E$24,IF(P46&lt;Bewertung_Stammdaten!F$25,Bewertung_Stammdaten!E$25,IF(P46&lt;Bewertung_Stammdaten!F$26,Bewertung_Stammdaten!E$26,IF(P46&lt;Bewertung_Stammdaten!F$27,Bewertung_Stammdaten!E$27,IF(P46&lt;Bewertung_Stammdaten!F$28,Bewertung_Stammdaten!E$28,IF(P46&lt;Bewertung_Stammdaten!F$29,Bewertung_Stammdaten!E$29,IF(P46&lt;Bewertung_Stammdaten!F$30,Bewertung_Stammdaten!E$30,IF(P46&lt;Bewertung_Stammdaten!F$31,Bewertung_Stammdaten!E$31,IF(P46&lt;Bewertung_Stammdaten!F$32,Bewertung_Stammdaten!E$32,Bewertung_Stammdaten!E$33)))))))))</f>
        <v>1.5</v>
      </c>
      <c r="U46" s="53">
        <f ca="1">IF(R46&lt;Bewertung_Stammdaten!H$24,Bewertung_Stammdaten!G$24,IF(R46&lt;Bewertung_Stammdaten!H$25,Bewertung_Stammdaten!G$25,IF(R46&lt;Bewertung_Stammdaten!H$26,Bewertung_Stammdaten!G$26,IF(R46&lt;Bewertung_Stammdaten!H$27,Bewertung_Stammdaten!G$27,IF(R46&lt;Bewertung_Stammdaten!H$28,Bewertung_Stammdaten!G$28,IF(R46&lt;Bewertung_Stammdaten!H$29,Bewertung_Stammdaten!G$29,IF(R46&lt;Bewertung_Stammdaten!H$30,Bewertung_Stammdaten!G$30,IF(R46&lt;Bewertung_Stammdaten!H$31,Bewertung_Stammdaten!G$31,IF(R46&lt;Bewertung_Stammdaten!H$32,Bewertung_Stammdaten!G$32,Bewertung_Stammdaten!G$33)))))))))</f>
        <v>1</v>
      </c>
      <c r="V46" s="44"/>
      <c r="W46" s="14">
        <f ca="1">VLOOKUP(A46,Ergebnis_je_Aktie_verwässert!A3:AK68,23,FALSE)</f>
        <v>6.3893055555555556</v>
      </c>
      <c r="X46" s="14">
        <f>VLOOKUP(A46,Ergebnis_je_Aktie_verwässert!A3:AK68,19,FALSE)</f>
        <v>3.9153846153846148</v>
      </c>
      <c r="Y46" s="12">
        <f ca="1">VLOOKUP(A46,Ergebnis_je_Aktie_verwässert!A3:AK68,24,FALSE)</f>
        <v>0.63184621261733276</v>
      </c>
      <c r="Z46" s="41">
        <f>VLOOKUP(A46,Ergebnis_je_Aktie_verwässert!A3:AK68,37,FALSE)</f>
        <v>-0.46495327102803741</v>
      </c>
      <c r="AA46" s="16">
        <f t="shared" ca="1" si="13"/>
        <v>3.4185770379023883</v>
      </c>
      <c r="AB46" s="12">
        <f t="shared" ca="1" si="14"/>
        <v>-0.12688602175381036</v>
      </c>
      <c r="AC46" s="33">
        <f ca="1">IF(Y46&lt;Bewertung_Stammdaten!L$11,Bewertung_Stammdaten!K$11,IF(Y46&lt;Bewertung_Stammdaten!L$12,Bewertung_Stammdaten!K$12,IF(Y46&lt;Bewertung_Stammdaten!L$13,Bewertung_Stammdaten!K$13,IF(Y46&lt;Bewertung_Stammdaten!L$14,Bewertung_Stammdaten!K$14,IF(Y46&lt;Bewertung_Stammdaten!L$15,Bewertung_Stammdaten!K$15,IF(Y46&lt;Bewertung_Stammdaten!L$16,Bewertung_Stammdaten!K$16,IF(Y46&lt;Bewertung_Stammdaten!L$17,Bewertung_Stammdaten!K$17,IF(Y46&lt;Bewertung_Stammdaten!L$18,Bewertung_Stammdaten!K$18,IF(Y46&lt;Bewertung_Stammdaten!L$19,Bewertung_Stammdaten!K$19,Bewertung_Stammdaten!K$20)))))))))</f>
        <v>18</v>
      </c>
      <c r="AD46" s="33">
        <f>IF(Z46&lt;Bewertung_Stammdaten!R$11,Bewertung_Stammdaten!Q$11,IF(Z46&lt;Bewertung_Stammdaten!R$12,Bewertung_Stammdaten!Q$12,IF(Z46&lt;Bewertung_Stammdaten!R$13,Bewertung_Stammdaten!Q$13,IF(Z46&lt;Bewertung_Stammdaten!R$14,Bewertung_Stammdaten!Q$14,IF(Z46&lt;Bewertung_Stammdaten!R$15,Bewertung_Stammdaten!Q$15,IF(Z46&lt;Bewertung_Stammdaten!R$16,Bewertung_Stammdaten!Q$16,IF(Z46&lt;Bewertung_Stammdaten!R$17,Bewertung_Stammdaten!Q$17,IF(Z46&lt;Bewertung_Stammdaten!R$18,Bewertung_Stammdaten!Q$18,IF(Z46&lt;Bewertung_Stammdaten!R$19,Bewertung_Stammdaten!Q$19,Bewertung_Stammdaten!Q$20)))))))))</f>
        <v>3</v>
      </c>
      <c r="AE46" s="33">
        <f ca="1">IF(AB46&lt;Bewertung_Stammdaten!P$11,Bewertung_Stammdaten!O$11,IF(AB46&lt;Bewertung_Stammdaten!P$12,Bewertung_Stammdaten!O$12,IF(AB46&lt;Bewertung_Stammdaten!P$13,Bewertung_Stammdaten!O$13,IF(AB46&lt;Bewertung_Stammdaten!P$14,Bewertung_Stammdaten!O$14,IF(AB46&lt;Bewertung_Stammdaten!P$15,Bewertung_Stammdaten!O$15,IF(AB46&lt;Bewertung_Stammdaten!P$16,Bewertung_Stammdaten!O$16,IF(AB46&lt;Bewertung_Stammdaten!P$17,Bewertung_Stammdaten!O$17,IF(AB46&lt;Bewertung_Stammdaten!P$18,Bewertung_Stammdaten!O$18,IF(AB46&lt;Bewertung_Stammdaten!P$19,Bewertung_Stammdaten!O$19,Bewertung_Stammdaten!O$20)))))))))</f>
        <v>3</v>
      </c>
      <c r="AF46" s="44"/>
      <c r="AG46" s="14">
        <f ca="1">VLOOKUP(A46,Dividende_je_Aktie!A3:AM68,24,FALSE)</f>
        <v>2.0165000000000002</v>
      </c>
      <c r="AH46" s="14">
        <f>VLOOKUP(A46,Dividende_je_Aktie!A3:AM68,20,FALSE)</f>
        <v>1.162857142857143</v>
      </c>
      <c r="AI46" s="12">
        <f ca="1">VLOOKUP(A46,Dividende_je_Aktie!A3:AM68,25,FALSE)</f>
        <v>0.73409090909090891</v>
      </c>
      <c r="AJ46" s="41">
        <f>VLOOKUP(A46,Dividende_je_Aktie!A3:AM68,39,FALSE)</f>
        <v>-8.5714285714285743E-2</v>
      </c>
      <c r="AK46" s="16">
        <f t="shared" ca="1" si="6"/>
        <v>1.8436571428571429</v>
      </c>
      <c r="AL46" s="12">
        <f t="shared" ca="1" si="7"/>
        <v>0.58545454545454523</v>
      </c>
      <c r="AM46" s="33">
        <f ca="1">IF(AI46&lt;Bewertung_Stammdaten!P$24,Bewertung_Stammdaten!O$24,IF(AI46&lt;Bewertung_Stammdaten!P$25,Bewertung_Stammdaten!O$25,IF(AI46&lt;Bewertung_Stammdaten!P$26,Bewertung_Stammdaten!O$26,IF(AI46&lt;Bewertung_Stammdaten!P$27,Bewertung_Stammdaten!O$27,IF(AI46&lt;Bewertung_Stammdaten!P$28,Bewertung_Stammdaten!O$28,IF(AI46&lt;Bewertung_Stammdaten!P$29,Bewertung_Stammdaten!O$29,IF(AI46&lt;Bewertung_Stammdaten!P$30,Bewertung_Stammdaten!O$30,IF(AI46&lt;Bewertung_Stammdaten!P$31,Bewertung_Stammdaten!O$31,IF(AI46&lt;Bewertung_Stammdaten!P$32,Bewertung_Stammdaten!O$32,Bewertung_Stammdaten!O$33)))))))))</f>
        <v>20</v>
      </c>
      <c r="AN46" s="33">
        <f>IF(AJ46&lt;Bewertung_Stammdaten!R$24,Bewertung_Stammdaten!Q$24,IF(AJ46&lt;Bewertung_Stammdaten!R$25,Bewertung_Stammdaten!Q$25,IF(AJ46&lt;Bewertung_Stammdaten!R$26,Bewertung_Stammdaten!Q$26,IF(AJ46&lt;Bewertung_Stammdaten!R$27,Bewertung_Stammdaten!Q$27,IF(AJ46&lt;Bewertung_Stammdaten!R$28,Bewertung_Stammdaten!Q$28,IF(AJ46&lt;Bewertung_Stammdaten!R$29,Bewertung_Stammdaten!Q$29,IF(AJ46&lt;Bewertung_Stammdaten!R$30,Bewertung_Stammdaten!Q$30,IF(AJ46&lt;Bewertung_Stammdaten!R$31,Bewertung_Stammdaten!Q$31,IF(AJ46&lt;Bewertung_Stammdaten!R$32,Bewertung_Stammdaten!Q$32,Bewertung_Stammdaten!Q$33)))))))))</f>
        <v>7</v>
      </c>
      <c r="AO46" s="33">
        <f ca="1">IF(AL46&lt;Bewertung_Stammdaten!T$24,Bewertung_Stammdaten!S$24,IF(AL46&lt;Bewertung_Stammdaten!T$25,Bewertung_Stammdaten!S$25,IF(AL46&lt;Bewertung_Stammdaten!T$26,Bewertung_Stammdaten!S$26,IF(AL46&lt;Bewertung_Stammdaten!T$27,Bewertung_Stammdaten!S$27,IF(AL46&lt;Bewertung_Stammdaten!T$28,Bewertung_Stammdaten!S$28,IF(AL46&lt;Bewertung_Stammdaten!T$29,Bewertung_Stammdaten!S$29,IF(AL46&lt;Bewertung_Stammdaten!T$30,Bewertung_Stammdaten!S$30,IF(AL46&lt;Bewertung_Stammdaten!T$31,Bewertung_Stammdaten!S$31,IF(AL46&lt;Bewertung_Stammdaten!T$32,Bewertung_Stammdaten!S$32,Bewertung_Stammdaten!S$33)))))))))</f>
        <v>10</v>
      </c>
      <c r="AP46" s="44"/>
      <c r="AQ46" s="12">
        <f ca="1">VLOOKUP(A46,Dividendenrendite!A3:R68,17,FALSE)</f>
        <v>1.7254214084024985E-2</v>
      </c>
      <c r="AR46" s="12">
        <f>VLOOKUP(A46,Dividendenrendite!A3:R68,16,FALSE)</f>
        <v>1.405457861192963E-2</v>
      </c>
      <c r="AS46" s="12">
        <f ca="1">VLOOKUP(A46,Dividendenrendite!A3:R68,18,FALSE)</f>
        <v>0.22765787295675177</v>
      </c>
      <c r="AT46" s="33">
        <f ca="1">IF(AQ46&lt;Bewertung_Stammdaten!D$11,Bewertung_Stammdaten!C$11,IF(AQ46&lt;Bewertung_Stammdaten!D$12,Bewertung_Stammdaten!C$12,IF(AQ46&lt;Bewertung_Stammdaten!D$13,Bewertung_Stammdaten!C$13,IF(AQ46&lt;Bewertung_Stammdaten!D$14,Bewertung_Stammdaten!C$14,IF(AQ46&lt;Bewertung_Stammdaten!D$15,Bewertung_Stammdaten!C$15,IF(AQ46&lt;Bewertung_Stammdaten!D$16,Bewertung_Stammdaten!C$16,IF(AQ46&lt;Bewertung_Stammdaten!D$17,Bewertung_Stammdaten!C$17,IF(AQ46&lt;Bewertung_Stammdaten!D$18,Bewertung_Stammdaten!C$18,IF(AQ46&lt;Bewertung_Stammdaten!D$19,Bewertung_Stammdaten!C$19,Bewertung_Stammdaten!C$20)))))))))</f>
        <v>6</v>
      </c>
      <c r="AU46" s="33">
        <f>IF(AR46&lt;Bewertung_Stammdaten!T$11,Bewertung_Stammdaten!S$11,IF(AR46&lt;Bewertung_Stammdaten!T$12,Bewertung_Stammdaten!S$12,IF(AR46&lt;Bewertung_Stammdaten!T$13,Bewertung_Stammdaten!S$13,IF(AR46&lt;Bewertung_Stammdaten!T$14,Bewertung_Stammdaten!S$14,IF(AR46&lt;Bewertung_Stammdaten!T$15,Bewertung_Stammdaten!S$15,IF(AR46&lt;Bewertung_Stammdaten!T$16,Bewertung_Stammdaten!S$16,IF(AR46&lt;Bewertung_Stammdaten!T$17,Bewertung_Stammdaten!S$17,IF(AR46&lt;Bewertung_Stammdaten!T$18,Bewertung_Stammdaten!S$18,IF(AR46&lt;Bewertung_Stammdaten!T$19,Bewertung_Stammdaten!S$19,Bewertung_Stammdaten!S$20)))))))))</f>
        <v>3</v>
      </c>
      <c r="AV46" s="33">
        <f ca="1">IF(AS46&lt;Bewertung_Stammdaten!F$11,Bewertung_Stammdaten!E$11,IF(AS46&lt;Bewertung_Stammdaten!F$12,Bewertung_Stammdaten!E$12,IF(AS46&lt;Bewertung_Stammdaten!F$13,Bewertung_Stammdaten!E$13,IF(AS46&lt;Bewertung_Stammdaten!F$14,Bewertung_Stammdaten!E$14,IF(AS46&lt;Bewertung_Stammdaten!F$15,Bewertung_Stammdaten!E$15,IF(AS46&lt;Bewertung_Stammdaten!F$16,Bewertung_Stammdaten!E$16,IF(AS46&lt;Bewertung_Stammdaten!F$17,Bewertung_Stammdaten!E$17,IF(AS46&lt;Bewertung_Stammdaten!F$18,Bewertung_Stammdaten!E$18,IF(AS46&lt;Bewertung_Stammdaten!F$19,Bewertung_Stammdaten!E$19,Bewertung_Stammdaten!E$20)))))))))</f>
        <v>5</v>
      </c>
      <c r="AW46" s="44"/>
      <c r="AX46" s="12">
        <f>VLOOKUP(A46,Aktien_im_Umlauf_splitbereinigt!A3:Z68,26,FALSE)</f>
        <v>-8.2736328752622712E-2</v>
      </c>
      <c r="AY46" s="12">
        <f>VLOOKUP(A46,Aktien_im_Umlauf_splitbereinigt!A3:Y68,24,FALSE)</f>
        <v>-1.0700780386646347E-2</v>
      </c>
      <c r="AZ46" s="12">
        <f>VLOOKUP(A46,Aktien_im_Umlauf_splitbereinigt!A3:Y68,25,FALSE)</f>
        <v>6.7318032669720544</v>
      </c>
      <c r="BA46" s="42">
        <f>IF(AX46&lt;Bewertung_Stammdaten!J$24,Bewertung_Stammdaten!I$24,IF(AX46&lt;Bewertung_Stammdaten!J$25,Bewertung_Stammdaten!I$25,IF(AX46&lt;Bewertung_Stammdaten!J$26,Bewertung_Stammdaten!I$26,IF(AX46&lt;Bewertung_Stammdaten!J$27,Bewertung_Stammdaten!I$27,IF(AX46&lt;Bewertung_Stammdaten!J$28,Bewertung_Stammdaten!I$28,IF(AX46&lt;Bewertung_Stammdaten!J$29,Bewertung_Stammdaten!I$29,IF(AX46&lt;Bewertung_Stammdaten!J$30,Bewertung_Stammdaten!I$30,IF(AX46&lt;Bewertung_Stammdaten!J$31,Bewertung_Stammdaten!I$31,IF(AX46&lt;Bewertung_Stammdaten!J$32,Bewertung_Stammdaten!I$32,Bewertung_Stammdaten!I$33)))))))))</f>
        <v>10</v>
      </c>
      <c r="BB46" s="42">
        <f>IF(AY46&lt;Bewertung_Stammdaten!L$24,Bewertung_Stammdaten!K$24,IF(AY46&lt;Bewertung_Stammdaten!L$25,Bewertung_Stammdaten!K$25,IF(AY46&lt;Bewertung_Stammdaten!L$26,Bewertung_Stammdaten!K$26,IF(AY46&lt;Bewertung_Stammdaten!L$27,Bewertung_Stammdaten!K$27,IF(AY46&lt;Bewertung_Stammdaten!L$28,Bewertung_Stammdaten!K$28,IF(AY46&lt;Bewertung_Stammdaten!L$29,Bewertung_Stammdaten!K$29,IF(AY46&lt;Bewertung_Stammdaten!L$30,Bewertung_Stammdaten!K$30,IF(AY46&lt;Bewertung_Stammdaten!L$31,Bewertung_Stammdaten!K$31,IF(AY46&lt;Bewertung_Stammdaten!L$32,Bewertung_Stammdaten!K$32,Bewertung_Stammdaten!K$33)))))))))</f>
        <v>5</v>
      </c>
      <c r="BC46" s="42">
        <f>IF(AZ46&lt;Bewertung_Stammdaten!N$24,Bewertung_Stammdaten!M$24,IF(AZ46&lt;Bewertung_Stammdaten!N$25,Bewertung_Stammdaten!M$25,IF(AZ46&lt;Bewertung_Stammdaten!N$26,Bewertung_Stammdaten!M$26,IF(AZ46&lt;Bewertung_Stammdaten!N$27,Bewertung_Stammdaten!M$27,IF(AZ46&lt;Bewertung_Stammdaten!N$28,Bewertung_Stammdaten!M$28,IF(AZ46&lt;Bewertung_Stammdaten!N$29,Bewertung_Stammdaten!M$29,IF(AZ46&lt;Bewertung_Stammdaten!N$30,Bewertung_Stammdaten!M$30,IF(AZ46&lt;Bewertung_Stammdaten!N$31,Bewertung_Stammdaten!M$31,IF(AZ46&lt;Bewertung_Stammdaten!N$32,Bewertung_Stammdaten!M$32,Bewertung_Stammdaten!M$33)))))))))</f>
        <v>5</v>
      </c>
      <c r="BD46" s="44"/>
      <c r="BE46" s="12">
        <f ca="1">VLOOKUP(A46,Ausschüttungsquote!A3:X68,23,FALSE)</f>
        <v>0.31631042851498825</v>
      </c>
      <c r="BF46" s="12">
        <f>VLOOKUP(A46,Ausschüttungsquote!A3:X68,19,FALSE)</f>
        <v>0.35184380683228178</v>
      </c>
      <c r="BG46" s="12">
        <f ca="1">VLOOKUP(A46,Ausschüttungsquote!A3:X68,24,FALSE)</f>
        <v>-0.10099191069243896</v>
      </c>
      <c r="BH46" s="33">
        <f ca="1">IF(BE46&lt;Bewertung_Stammdaten!H$11,Bewertung_Stammdaten!G$11,IF(BE46&lt;Bewertung_Stammdaten!H$12,Bewertung_Stammdaten!G$12,IF(BE46&lt;Bewertung_Stammdaten!H$13,Bewertung_Stammdaten!G$13,IF(BE46&lt;Bewertung_Stammdaten!H$14,Bewertung_Stammdaten!G$14,IF(BE46&lt;Bewertung_Stammdaten!H$15,Bewertung_Stammdaten!G$15,IF(BE46&lt;Bewertung_Stammdaten!H$16,Bewertung_Stammdaten!G$16,IF(BE46&lt;Bewertung_Stammdaten!H$17,Bewertung_Stammdaten!G$17,IF(BE46&lt;Bewertung_Stammdaten!H$18,Bewertung_Stammdaten!G$18,IF(BE46&lt;Bewertung_Stammdaten!H$19,Bewertung_Stammdaten!G$19,Bewertung_Stammdaten!G$20)))))))))</f>
        <v>10</v>
      </c>
      <c r="BI46" s="42">
        <f>IF(BF46&lt;Bewertung_Stammdaten!B$24,Bewertung_Stammdaten!A$24,IF(BF46&lt;Bewertung_Stammdaten!B$25,Bewertung_Stammdaten!A$25,IF(BF46&lt;Bewertung_Stammdaten!B$26,Bewertung_Stammdaten!A$26,IF(BF46&lt;Bewertung_Stammdaten!B$27,Bewertung_Stammdaten!A$27,IF(BF46&lt;Bewertung_Stammdaten!B$28,Bewertung_Stammdaten!A$28,IF(BF46&lt;Bewertung_Stammdaten!B$29,Bewertung_Stammdaten!A$29,IF(BF46&lt;Bewertung_Stammdaten!B$30,Bewertung_Stammdaten!A$30,IF(BF46&lt;Bewertung_Stammdaten!B$31,Bewertung_Stammdaten!A$31,IF(BF46&lt;Bewertung_Stammdaten!B$32,Bewertung_Stammdaten!A$32,Bewertung_Stammdaten!A$33)))))))))</f>
        <v>10</v>
      </c>
      <c r="BJ46" s="33">
        <f ca="1">IF(BG46&lt;Bewertung_Stammdaten!J$11,Bewertung_Stammdaten!I$11,IF(BG46&lt;Bewertung_Stammdaten!J$12,Bewertung_Stammdaten!I$12,IF(BG46&lt;Bewertung_Stammdaten!J$13,Bewertung_Stammdaten!I$13,IF(BG46&lt;Bewertung_Stammdaten!J$14,Bewertung_Stammdaten!I$14,IF(BG46&lt;Bewertung_Stammdaten!J$15,Bewertung_Stammdaten!I$15,IF(BG46&lt;Bewertung_Stammdaten!J$16,Bewertung_Stammdaten!I$16,IF(BG46&lt;Bewertung_Stammdaten!J$17,Bewertung_Stammdaten!I$17,IF(BG46&lt;Bewertung_Stammdaten!J$18,Bewertung_Stammdaten!I$18,IF(BG46&lt;Bewertung_Stammdaten!J$19,Bewertung_Stammdaten!I$19,Bewertung_Stammdaten!I$20)))))))))</f>
        <v>8</v>
      </c>
    </row>
    <row r="47" spans="1:62" x14ac:dyDescent="0.25">
      <c r="A47" s="39" t="s">
        <v>88</v>
      </c>
      <c r="B47" s="39" t="s">
        <v>89</v>
      </c>
      <c r="C47" s="33">
        <f t="shared" ca="1" si="8"/>
        <v>200.5</v>
      </c>
      <c r="D47" s="44"/>
      <c r="E47" s="11">
        <f ca="1">VLOOKUP(A47,KGV!A3:R68,17,FALSE)</f>
        <v>16.201338005734311</v>
      </c>
      <c r="F47" s="11">
        <f>VLOOKUP(A47,KGV!A3:R68,16,FALSE)</f>
        <v>17.459183673469386</v>
      </c>
      <c r="G47" s="12">
        <f ca="1">VLOOKUP(A47,KGV!A3:R68,18,FALSE)</f>
        <v>-7.2044930121588191E-2</v>
      </c>
      <c r="H47" s="16">
        <f t="shared" ca="1" si="9"/>
        <v>16.201338005734311</v>
      </c>
      <c r="I47" s="12">
        <f t="shared" ca="1" si="10"/>
        <v>-7.2044930121588191E-2</v>
      </c>
      <c r="J47" s="33">
        <f ca="1">IF(G47&lt;Bewertung_Stammdaten!B$11,Bewertung_Stammdaten!A$11,IF(G47&lt;Bewertung_Stammdaten!B$12,Bewertung_Stammdaten!A$12,IF(G47&lt;Bewertung_Stammdaten!B$13,Bewertung_Stammdaten!A$13,IF(G47&lt;Bewertung_Stammdaten!B$14,Bewertung_Stammdaten!A$14,IF(G47&lt;Bewertung_Stammdaten!B$15,Bewertung_Stammdaten!A$15,IF(G47&lt;Bewertung_Stammdaten!B$16,Bewertung_Stammdaten!A$16,IF(G47&lt;Bewertung_Stammdaten!B$17,Bewertung_Stammdaten!A$17,IF(G47&lt;Bewertung_Stammdaten!B$18,Bewertung_Stammdaten!A$18,IF(G47&lt;Bewertung_Stammdaten!B$19,Bewertung_Stammdaten!A$19,Bewertung_Stammdaten!A$20)))))))))</f>
        <v>24</v>
      </c>
      <c r="K47" s="33">
        <f ca="1">IF(I47&lt;Bewertung_Stammdaten!N$11,Bewertung_Stammdaten!M$11,IF(I47&lt;Bewertung_Stammdaten!N$12,Bewertung_Stammdaten!M$12,IF(I47&lt;Bewertung_Stammdaten!N$13,Bewertung_Stammdaten!M$13,IF(I47&lt;Bewertung_Stammdaten!N$14,Bewertung_Stammdaten!M$14,IF(I47&lt;Bewertung_Stammdaten!N$15,Bewertung_Stammdaten!M$15,IF(I47&lt;Bewertung_Stammdaten!N$16,Bewertung_Stammdaten!M$16,IF(I47&lt;Bewertung_Stammdaten!N$17,Bewertung_Stammdaten!M$17,IF(I47&lt;Bewertung_Stammdaten!N$18,Bewertung_Stammdaten!M$18,IF(I47&lt;Bewertung_Stammdaten!N$19,Bewertung_Stammdaten!M$19,Bewertung_Stammdaten!M$20)))))))))</f>
        <v>15</v>
      </c>
      <c r="L47" s="44"/>
      <c r="M47" s="11">
        <f ca="1">VLOOKUP(A47,Buchwert_je_Aktie!A3:AK68,23,FALSE)</f>
        <v>12.121944444444445</v>
      </c>
      <c r="N47" s="11">
        <f>VLOOKUP(A47,Buchwert_je_Aktie!A3:AK68,19,FALSE)</f>
        <v>7.5746153846153845</v>
      </c>
      <c r="O47" s="12">
        <f ca="1">VLOOKUP(A47,Buchwert_je_Aktie!A3:AK68,24,FALSE)</f>
        <v>0.60033794838811594</v>
      </c>
      <c r="P47" s="12">
        <f>VLOOKUP(A47,Buchwert_je_Aktie!A3:AK68,37,FALSE)</f>
        <v>5.7142857142857162E-2</v>
      </c>
      <c r="Q47" s="16">
        <f t="shared" ca="1" si="11"/>
        <v>12.121944444444445</v>
      </c>
      <c r="R47" s="12">
        <f t="shared" ca="1" si="12"/>
        <v>0.60033794838811594</v>
      </c>
      <c r="S47" s="53">
        <f ca="1">IF(O47&lt;Bewertung_Stammdaten!D$24,Bewertung_Stammdaten!C$24,IF(O47&lt;Bewertung_Stammdaten!D$25,Bewertung_Stammdaten!C$25,IF(O47&lt;Bewertung_Stammdaten!D$26,Bewertung_Stammdaten!C$26,IF(O47&lt;Bewertung_Stammdaten!D$27,Bewertung_Stammdaten!C$27,IF(O47&lt;Bewertung_Stammdaten!D$28,Bewertung_Stammdaten!C$28,IF(O47&lt;Bewertung_Stammdaten!D$29,Bewertung_Stammdaten!C$29,IF(O47&lt;Bewertung_Stammdaten!D$30,Bewertung_Stammdaten!C$30,IF(O47&lt;Bewertung_Stammdaten!D$31,Bewertung_Stammdaten!C$31,IF(O47&lt;Bewertung_Stammdaten!D$32,Bewertung_Stammdaten!C$32,Bewertung_Stammdaten!C$33)))))))))</f>
        <v>13.5</v>
      </c>
      <c r="T47" s="53">
        <f>IF(P47&lt;Bewertung_Stammdaten!F$24,Bewertung_Stammdaten!E$24,IF(P47&lt;Bewertung_Stammdaten!F$25,Bewertung_Stammdaten!E$25,IF(P47&lt;Bewertung_Stammdaten!F$26,Bewertung_Stammdaten!E$26,IF(P47&lt;Bewertung_Stammdaten!F$27,Bewertung_Stammdaten!E$27,IF(P47&lt;Bewertung_Stammdaten!F$28,Bewertung_Stammdaten!E$28,IF(P47&lt;Bewertung_Stammdaten!F$29,Bewertung_Stammdaten!E$29,IF(P47&lt;Bewertung_Stammdaten!F$30,Bewertung_Stammdaten!E$30,IF(P47&lt;Bewertung_Stammdaten!F$31,Bewertung_Stammdaten!E$31,IF(P47&lt;Bewertung_Stammdaten!F$32,Bewertung_Stammdaten!E$32,Bewertung_Stammdaten!E$33)))))))))</f>
        <v>13.5</v>
      </c>
      <c r="U47" s="53">
        <f ca="1">IF(R47&lt;Bewertung_Stammdaten!H$24,Bewertung_Stammdaten!G$24,IF(R47&lt;Bewertung_Stammdaten!H$25,Bewertung_Stammdaten!G$25,IF(R47&lt;Bewertung_Stammdaten!H$26,Bewertung_Stammdaten!G$26,IF(R47&lt;Bewertung_Stammdaten!H$27,Bewertung_Stammdaten!G$27,IF(R47&lt;Bewertung_Stammdaten!H$28,Bewertung_Stammdaten!G$28,IF(R47&lt;Bewertung_Stammdaten!H$29,Bewertung_Stammdaten!G$29,IF(R47&lt;Bewertung_Stammdaten!H$30,Bewertung_Stammdaten!G$30,IF(R47&lt;Bewertung_Stammdaten!H$31,Bewertung_Stammdaten!G$31,IF(R47&lt;Bewertung_Stammdaten!H$32,Bewertung_Stammdaten!G$32,Bewertung_Stammdaten!G$33)))))))))</f>
        <v>9</v>
      </c>
      <c r="V47" s="44"/>
      <c r="W47" s="14">
        <f ca="1">VLOOKUP(A47,Ergebnis_je_Aktie_verwässert!A3:AK68,23,FALSE)</f>
        <v>2.6158333333333337</v>
      </c>
      <c r="X47" s="14">
        <f>VLOOKUP(A47,Ergebnis_je_Aktie_verwässert!A3:AK68,19,FALSE)</f>
        <v>1.6638461538461535</v>
      </c>
      <c r="Y47" s="12">
        <f ca="1">VLOOKUP(A47,Ergebnis_je_Aktie_verwässert!A3:AK68,24,FALSE)</f>
        <v>0.57216057944213339</v>
      </c>
      <c r="Z47" s="41">
        <f>VLOOKUP(A47,Ergebnis_je_Aktie_verwässert!A3:AK68,37,FALSE)</f>
        <v>0</v>
      </c>
      <c r="AA47" s="16">
        <f t="shared" ca="1" si="13"/>
        <v>2.6158333333333337</v>
      </c>
      <c r="AB47" s="12">
        <f t="shared" ca="1" si="14"/>
        <v>0.57216057944213339</v>
      </c>
      <c r="AC47" s="33">
        <f ca="1">IF(Y47&lt;Bewertung_Stammdaten!L$11,Bewertung_Stammdaten!K$11,IF(Y47&lt;Bewertung_Stammdaten!L$12,Bewertung_Stammdaten!K$12,IF(Y47&lt;Bewertung_Stammdaten!L$13,Bewertung_Stammdaten!K$13,IF(Y47&lt;Bewertung_Stammdaten!L$14,Bewertung_Stammdaten!K$14,IF(Y47&lt;Bewertung_Stammdaten!L$15,Bewertung_Stammdaten!K$15,IF(Y47&lt;Bewertung_Stammdaten!L$16,Bewertung_Stammdaten!K$16,IF(Y47&lt;Bewertung_Stammdaten!L$17,Bewertung_Stammdaten!K$17,IF(Y47&lt;Bewertung_Stammdaten!L$18,Bewertung_Stammdaten!K$18,IF(Y47&lt;Bewertung_Stammdaten!L$19,Bewertung_Stammdaten!K$19,Bewertung_Stammdaten!K$20)))))))))</f>
        <v>16</v>
      </c>
      <c r="AD47" s="33">
        <f>IF(Z47&lt;Bewertung_Stammdaten!R$11,Bewertung_Stammdaten!Q$11,IF(Z47&lt;Bewertung_Stammdaten!R$12,Bewertung_Stammdaten!Q$12,IF(Z47&lt;Bewertung_Stammdaten!R$13,Bewertung_Stammdaten!Q$13,IF(Z47&lt;Bewertung_Stammdaten!R$14,Bewertung_Stammdaten!Q$14,IF(Z47&lt;Bewertung_Stammdaten!R$15,Bewertung_Stammdaten!Q$15,IF(Z47&lt;Bewertung_Stammdaten!R$16,Bewertung_Stammdaten!Q$16,IF(Z47&lt;Bewertung_Stammdaten!R$17,Bewertung_Stammdaten!Q$17,IF(Z47&lt;Bewertung_Stammdaten!R$18,Bewertung_Stammdaten!Q$18,IF(Z47&lt;Bewertung_Stammdaten!R$19,Bewertung_Stammdaten!Q$19,Bewertung_Stammdaten!Q$20)))))))))</f>
        <v>8</v>
      </c>
      <c r="AE47" s="33">
        <f ca="1">IF(AB47&lt;Bewertung_Stammdaten!P$11,Bewertung_Stammdaten!O$11,IF(AB47&lt;Bewertung_Stammdaten!P$12,Bewertung_Stammdaten!O$12,IF(AB47&lt;Bewertung_Stammdaten!P$13,Bewertung_Stammdaten!O$13,IF(AB47&lt;Bewertung_Stammdaten!P$14,Bewertung_Stammdaten!O$14,IF(AB47&lt;Bewertung_Stammdaten!P$15,Bewertung_Stammdaten!O$15,IF(AB47&lt;Bewertung_Stammdaten!P$16,Bewertung_Stammdaten!O$16,IF(AB47&lt;Bewertung_Stammdaten!P$17,Bewertung_Stammdaten!O$17,IF(AB47&lt;Bewertung_Stammdaten!P$18,Bewertung_Stammdaten!O$18,IF(AB47&lt;Bewertung_Stammdaten!P$19,Bewertung_Stammdaten!O$19,Bewertung_Stammdaten!O$20)))))))))</f>
        <v>10</v>
      </c>
      <c r="AF47" s="44"/>
      <c r="AG47" s="14">
        <f ca="1">VLOOKUP(A47,Dividende_je_Aktie!A3:AM68,24,FALSE)</f>
        <v>0.48786111111111113</v>
      </c>
      <c r="AH47" s="14">
        <f>VLOOKUP(A47,Dividende_je_Aktie!A3:AM68,20,FALSE)</f>
        <v>0.21071428571428572</v>
      </c>
      <c r="AI47" s="12">
        <f ca="1">VLOOKUP(A47,Dividende_je_Aktie!A3:AM68,25,FALSE)</f>
        <v>1.3152730696798494</v>
      </c>
      <c r="AJ47" s="41">
        <f>VLOOKUP(A47,Dividende_je_Aktie!A3:AM68,39,FALSE)</f>
        <v>0</v>
      </c>
      <c r="AK47" s="16">
        <f t="shared" ca="1" si="6"/>
        <v>0.48786111111111113</v>
      </c>
      <c r="AL47" s="12">
        <f t="shared" ca="1" si="7"/>
        <v>1.3152730696798494</v>
      </c>
      <c r="AM47" s="33">
        <f ca="1">IF(AI47&lt;Bewertung_Stammdaten!P$24,Bewertung_Stammdaten!O$24,IF(AI47&lt;Bewertung_Stammdaten!P$25,Bewertung_Stammdaten!O$25,IF(AI47&lt;Bewertung_Stammdaten!P$26,Bewertung_Stammdaten!O$26,IF(AI47&lt;Bewertung_Stammdaten!P$27,Bewertung_Stammdaten!O$27,IF(AI47&lt;Bewertung_Stammdaten!P$28,Bewertung_Stammdaten!O$28,IF(AI47&lt;Bewertung_Stammdaten!P$29,Bewertung_Stammdaten!O$29,IF(AI47&lt;Bewertung_Stammdaten!P$30,Bewertung_Stammdaten!O$30,IF(AI47&lt;Bewertung_Stammdaten!P$31,Bewertung_Stammdaten!O$31,IF(AI47&lt;Bewertung_Stammdaten!P$32,Bewertung_Stammdaten!O$32,Bewertung_Stammdaten!O$33)))))))))</f>
        <v>20</v>
      </c>
      <c r="AN47" s="33">
        <f>IF(AJ47&lt;Bewertung_Stammdaten!R$24,Bewertung_Stammdaten!Q$24,IF(AJ47&lt;Bewertung_Stammdaten!R$25,Bewertung_Stammdaten!Q$25,IF(AJ47&lt;Bewertung_Stammdaten!R$26,Bewertung_Stammdaten!Q$26,IF(AJ47&lt;Bewertung_Stammdaten!R$27,Bewertung_Stammdaten!Q$27,IF(AJ47&lt;Bewertung_Stammdaten!R$28,Bewertung_Stammdaten!Q$28,IF(AJ47&lt;Bewertung_Stammdaten!R$29,Bewertung_Stammdaten!Q$29,IF(AJ47&lt;Bewertung_Stammdaten!R$30,Bewertung_Stammdaten!Q$30,IF(AJ47&lt;Bewertung_Stammdaten!R$31,Bewertung_Stammdaten!Q$31,IF(AJ47&lt;Bewertung_Stammdaten!R$32,Bewertung_Stammdaten!Q$32,Bewertung_Stammdaten!Q$33)))))))))</f>
        <v>8</v>
      </c>
      <c r="AO47" s="33">
        <f ca="1">IF(AL47&lt;Bewertung_Stammdaten!T$24,Bewertung_Stammdaten!S$24,IF(AL47&lt;Bewertung_Stammdaten!T$25,Bewertung_Stammdaten!S$25,IF(AL47&lt;Bewertung_Stammdaten!T$26,Bewertung_Stammdaten!S$26,IF(AL47&lt;Bewertung_Stammdaten!T$27,Bewertung_Stammdaten!S$27,IF(AL47&lt;Bewertung_Stammdaten!T$28,Bewertung_Stammdaten!S$28,IF(AL47&lt;Bewertung_Stammdaten!T$29,Bewertung_Stammdaten!S$29,IF(AL47&lt;Bewertung_Stammdaten!T$30,Bewertung_Stammdaten!S$30,IF(AL47&lt;Bewertung_Stammdaten!T$31,Bewertung_Stammdaten!S$31,IF(AL47&lt;Bewertung_Stammdaten!T$32,Bewertung_Stammdaten!S$32,Bewertung_Stammdaten!S$33)))))))))</f>
        <v>10</v>
      </c>
      <c r="AP47" s="44"/>
      <c r="AQ47" s="12">
        <f ca="1">VLOOKUP(A47,Dividendenrendite!A3:R68,17,FALSE)</f>
        <v>1.1511588275391955E-2</v>
      </c>
      <c r="AR47" s="12">
        <f>VLOOKUP(A47,Dividendenrendite!A3:R68,16,FALSE)</f>
        <v>5.3699657333633457E-3</v>
      </c>
      <c r="AS47" s="12">
        <f ca="1">VLOOKUP(A47,Dividendenrendite!A3:R68,18,FALSE)</f>
        <v>1.1436986466917278</v>
      </c>
      <c r="AT47" s="33">
        <f ca="1">IF(AQ47&lt;Bewertung_Stammdaten!D$11,Bewertung_Stammdaten!C$11,IF(AQ47&lt;Bewertung_Stammdaten!D$12,Bewertung_Stammdaten!C$12,IF(AQ47&lt;Bewertung_Stammdaten!D$13,Bewertung_Stammdaten!C$13,IF(AQ47&lt;Bewertung_Stammdaten!D$14,Bewertung_Stammdaten!C$14,IF(AQ47&lt;Bewertung_Stammdaten!D$15,Bewertung_Stammdaten!C$15,IF(AQ47&lt;Bewertung_Stammdaten!D$16,Bewertung_Stammdaten!C$16,IF(AQ47&lt;Bewertung_Stammdaten!D$17,Bewertung_Stammdaten!C$17,IF(AQ47&lt;Bewertung_Stammdaten!D$18,Bewertung_Stammdaten!C$18,IF(AQ47&lt;Bewertung_Stammdaten!D$19,Bewertung_Stammdaten!C$19,Bewertung_Stammdaten!C$20)))))))))</f>
        <v>4.5</v>
      </c>
      <c r="AU47" s="33">
        <f>IF(AR47&lt;Bewertung_Stammdaten!T$11,Bewertung_Stammdaten!S$11,IF(AR47&lt;Bewertung_Stammdaten!T$12,Bewertung_Stammdaten!S$12,IF(AR47&lt;Bewertung_Stammdaten!T$13,Bewertung_Stammdaten!S$13,IF(AR47&lt;Bewertung_Stammdaten!T$14,Bewertung_Stammdaten!S$14,IF(AR47&lt;Bewertung_Stammdaten!T$15,Bewertung_Stammdaten!S$15,IF(AR47&lt;Bewertung_Stammdaten!T$16,Bewertung_Stammdaten!S$16,IF(AR47&lt;Bewertung_Stammdaten!T$17,Bewertung_Stammdaten!S$17,IF(AR47&lt;Bewertung_Stammdaten!T$18,Bewertung_Stammdaten!S$18,IF(AR47&lt;Bewertung_Stammdaten!T$19,Bewertung_Stammdaten!S$19,Bewertung_Stammdaten!S$20)))))))))</f>
        <v>2</v>
      </c>
      <c r="AV47" s="33">
        <f ca="1">IF(AS47&lt;Bewertung_Stammdaten!F$11,Bewertung_Stammdaten!E$11,IF(AS47&lt;Bewertung_Stammdaten!F$12,Bewertung_Stammdaten!E$12,IF(AS47&lt;Bewertung_Stammdaten!F$13,Bewertung_Stammdaten!E$13,IF(AS47&lt;Bewertung_Stammdaten!F$14,Bewertung_Stammdaten!E$14,IF(AS47&lt;Bewertung_Stammdaten!F$15,Bewertung_Stammdaten!E$15,IF(AS47&lt;Bewertung_Stammdaten!F$16,Bewertung_Stammdaten!E$16,IF(AS47&lt;Bewertung_Stammdaten!F$17,Bewertung_Stammdaten!E$17,IF(AS47&lt;Bewertung_Stammdaten!F$18,Bewertung_Stammdaten!E$18,IF(AS47&lt;Bewertung_Stammdaten!F$19,Bewertung_Stammdaten!E$19,Bewertung_Stammdaten!E$20)))))))))</f>
        <v>5</v>
      </c>
      <c r="AW47" s="44"/>
      <c r="AX47" s="12">
        <f>VLOOKUP(A47,Aktien_im_Umlauf_splitbereinigt!A3:Z68,26,FALSE)</f>
        <v>-3.9173482565647899E-2</v>
      </c>
      <c r="AY47" s="12">
        <f>VLOOKUP(A47,Aktien_im_Umlauf_splitbereinigt!A3:Y68,24,FALSE)</f>
        <v>-1.5368565623002706E-2</v>
      </c>
      <c r="AZ47" s="12">
        <f>VLOOKUP(A47,Aktien_im_Umlauf_splitbereinigt!A3:Y68,25,FALSE)</f>
        <v>1.5489355042357036</v>
      </c>
      <c r="BA47" s="42">
        <f>IF(AX47&lt;Bewertung_Stammdaten!J$24,Bewertung_Stammdaten!I$24,IF(AX47&lt;Bewertung_Stammdaten!J$25,Bewertung_Stammdaten!I$25,IF(AX47&lt;Bewertung_Stammdaten!J$26,Bewertung_Stammdaten!I$26,IF(AX47&lt;Bewertung_Stammdaten!J$27,Bewertung_Stammdaten!I$27,IF(AX47&lt;Bewertung_Stammdaten!J$28,Bewertung_Stammdaten!I$28,IF(AX47&lt;Bewertung_Stammdaten!J$29,Bewertung_Stammdaten!I$29,IF(AX47&lt;Bewertung_Stammdaten!J$30,Bewertung_Stammdaten!I$30,IF(AX47&lt;Bewertung_Stammdaten!J$31,Bewertung_Stammdaten!I$31,IF(AX47&lt;Bewertung_Stammdaten!J$32,Bewertung_Stammdaten!I$32,Bewertung_Stammdaten!I$33)))))))))</f>
        <v>10</v>
      </c>
      <c r="BB47" s="42">
        <f>IF(AY47&lt;Bewertung_Stammdaten!L$24,Bewertung_Stammdaten!K$24,IF(AY47&lt;Bewertung_Stammdaten!L$25,Bewertung_Stammdaten!K$25,IF(AY47&lt;Bewertung_Stammdaten!L$26,Bewertung_Stammdaten!K$26,IF(AY47&lt;Bewertung_Stammdaten!L$27,Bewertung_Stammdaten!K$27,IF(AY47&lt;Bewertung_Stammdaten!L$28,Bewertung_Stammdaten!K$28,IF(AY47&lt;Bewertung_Stammdaten!L$29,Bewertung_Stammdaten!K$29,IF(AY47&lt;Bewertung_Stammdaten!L$30,Bewertung_Stammdaten!K$30,IF(AY47&lt;Bewertung_Stammdaten!L$31,Bewertung_Stammdaten!K$31,IF(AY47&lt;Bewertung_Stammdaten!L$32,Bewertung_Stammdaten!K$32,Bewertung_Stammdaten!K$33)))))))))</f>
        <v>6</v>
      </c>
      <c r="BC47" s="42">
        <f>IF(AZ47&lt;Bewertung_Stammdaten!N$24,Bewertung_Stammdaten!M$24,IF(AZ47&lt;Bewertung_Stammdaten!N$25,Bewertung_Stammdaten!M$25,IF(AZ47&lt;Bewertung_Stammdaten!N$26,Bewertung_Stammdaten!M$26,IF(AZ47&lt;Bewertung_Stammdaten!N$27,Bewertung_Stammdaten!M$27,IF(AZ47&lt;Bewertung_Stammdaten!N$28,Bewertung_Stammdaten!M$28,IF(AZ47&lt;Bewertung_Stammdaten!N$29,Bewertung_Stammdaten!M$29,IF(AZ47&lt;Bewertung_Stammdaten!N$30,Bewertung_Stammdaten!M$30,IF(AZ47&lt;Bewertung_Stammdaten!N$31,Bewertung_Stammdaten!M$31,IF(AZ47&lt;Bewertung_Stammdaten!N$32,Bewertung_Stammdaten!M$32,Bewertung_Stammdaten!M$33)))))))))</f>
        <v>5</v>
      </c>
      <c r="BD47" s="44"/>
      <c r="BE47" s="12">
        <f ca="1">VLOOKUP(A47,Ausschüttungsquote!A3:X68,23,FALSE)</f>
        <v>0.18686652521705199</v>
      </c>
      <c r="BF47" s="12">
        <f>VLOOKUP(A47,Ausschüttungsquote!A3:X68,19,FALSE)</f>
        <v>0.10372052722256181</v>
      </c>
      <c r="BG47" s="12">
        <f ca="1">VLOOKUP(A47,Ausschüttungsquote!A3:X68,24,FALSE)</f>
        <v>0.80163493399987118</v>
      </c>
      <c r="BH47" s="33">
        <f ca="1">IF(BE47&lt;Bewertung_Stammdaten!H$11,Bewertung_Stammdaten!G$11,IF(BE47&lt;Bewertung_Stammdaten!H$12,Bewertung_Stammdaten!G$12,IF(BE47&lt;Bewertung_Stammdaten!H$13,Bewertung_Stammdaten!G$13,IF(BE47&lt;Bewertung_Stammdaten!H$14,Bewertung_Stammdaten!G$14,IF(BE47&lt;Bewertung_Stammdaten!H$15,Bewertung_Stammdaten!G$15,IF(BE47&lt;Bewertung_Stammdaten!H$16,Bewertung_Stammdaten!G$16,IF(BE47&lt;Bewertung_Stammdaten!H$17,Bewertung_Stammdaten!G$17,IF(BE47&lt;Bewertung_Stammdaten!H$18,Bewertung_Stammdaten!G$18,IF(BE47&lt;Bewertung_Stammdaten!H$19,Bewertung_Stammdaten!G$19,Bewertung_Stammdaten!G$20)))))))))</f>
        <v>10</v>
      </c>
      <c r="BI47" s="42">
        <f>IF(BF47&lt;Bewertung_Stammdaten!B$24,Bewertung_Stammdaten!A$24,IF(BF47&lt;Bewertung_Stammdaten!B$25,Bewertung_Stammdaten!A$25,IF(BF47&lt;Bewertung_Stammdaten!B$26,Bewertung_Stammdaten!A$26,IF(BF47&lt;Bewertung_Stammdaten!B$27,Bewertung_Stammdaten!A$27,IF(BF47&lt;Bewertung_Stammdaten!B$28,Bewertung_Stammdaten!A$28,IF(BF47&lt;Bewertung_Stammdaten!B$29,Bewertung_Stammdaten!A$29,IF(BF47&lt;Bewertung_Stammdaten!B$30,Bewertung_Stammdaten!A$30,IF(BF47&lt;Bewertung_Stammdaten!B$31,Bewertung_Stammdaten!A$31,IF(BF47&lt;Bewertung_Stammdaten!B$32,Bewertung_Stammdaten!A$32,Bewertung_Stammdaten!A$33)))))))))</f>
        <v>10</v>
      </c>
      <c r="BJ47" s="33">
        <f ca="1">IF(BG47&lt;Bewertung_Stammdaten!J$11,Bewertung_Stammdaten!I$11,IF(BG47&lt;Bewertung_Stammdaten!J$12,Bewertung_Stammdaten!I$12,IF(BG47&lt;Bewertung_Stammdaten!J$13,Bewertung_Stammdaten!I$13,IF(BG47&lt;Bewertung_Stammdaten!J$14,Bewertung_Stammdaten!I$14,IF(BG47&lt;Bewertung_Stammdaten!J$15,Bewertung_Stammdaten!I$15,IF(BG47&lt;Bewertung_Stammdaten!J$16,Bewertung_Stammdaten!I$16,IF(BG47&lt;Bewertung_Stammdaten!J$17,Bewertung_Stammdaten!I$17,IF(BG47&lt;Bewertung_Stammdaten!J$18,Bewertung_Stammdaten!I$18,IF(BG47&lt;Bewertung_Stammdaten!J$19,Bewertung_Stammdaten!I$19,Bewertung_Stammdaten!I$20)))))))))</f>
        <v>1</v>
      </c>
    </row>
    <row r="48" spans="1:62" x14ac:dyDescent="0.25">
      <c r="A48" s="39" t="s">
        <v>90</v>
      </c>
      <c r="B48" s="39" t="s">
        <v>91</v>
      </c>
      <c r="C48" s="33">
        <f t="shared" ca="1" si="8"/>
        <v>130.5</v>
      </c>
      <c r="D48" s="44"/>
      <c r="E48" s="11">
        <f ca="1">VLOOKUP(A48,KGV!A3:R68,17,FALSE)</f>
        <v>19.894070775720646</v>
      </c>
      <c r="F48" s="11">
        <f>VLOOKUP(A48,KGV!A3:R68,16,FALSE)</f>
        <v>17.766467065868266</v>
      </c>
      <c r="G48" s="12">
        <f ca="1">VLOOKUP(A48,KGV!A3:R68,18,FALSE)</f>
        <v>0.11975389940861048</v>
      </c>
      <c r="H48" s="16">
        <f t="shared" ca="1" si="9"/>
        <v>21.133576743055269</v>
      </c>
      <c r="I48" s="12">
        <f t="shared" ca="1" si="10"/>
        <v>0.18952049750260502</v>
      </c>
      <c r="J48" s="33">
        <f ca="1">IF(G48&lt;Bewertung_Stammdaten!B$11,Bewertung_Stammdaten!A$11,IF(G48&lt;Bewertung_Stammdaten!B$12,Bewertung_Stammdaten!A$12,IF(G48&lt;Bewertung_Stammdaten!B$13,Bewertung_Stammdaten!A$13,IF(G48&lt;Bewertung_Stammdaten!B$14,Bewertung_Stammdaten!A$14,IF(G48&lt;Bewertung_Stammdaten!B$15,Bewertung_Stammdaten!A$15,IF(G48&lt;Bewertung_Stammdaten!B$16,Bewertung_Stammdaten!A$16,IF(G48&lt;Bewertung_Stammdaten!B$17,Bewertung_Stammdaten!A$17,IF(G48&lt;Bewertung_Stammdaten!B$18,Bewertung_Stammdaten!A$18,IF(G48&lt;Bewertung_Stammdaten!B$19,Bewertung_Stammdaten!A$19,Bewertung_Stammdaten!A$20)))))))))</f>
        <v>12</v>
      </c>
      <c r="K48" s="33">
        <f ca="1">IF(I48&lt;Bewertung_Stammdaten!N$11,Bewertung_Stammdaten!M$11,IF(I48&lt;Bewertung_Stammdaten!N$12,Bewertung_Stammdaten!M$12,IF(I48&lt;Bewertung_Stammdaten!N$13,Bewertung_Stammdaten!M$13,IF(I48&lt;Bewertung_Stammdaten!N$14,Bewertung_Stammdaten!M$14,IF(I48&lt;Bewertung_Stammdaten!N$15,Bewertung_Stammdaten!M$15,IF(I48&lt;Bewertung_Stammdaten!N$16,Bewertung_Stammdaten!M$16,IF(I48&lt;Bewertung_Stammdaten!N$17,Bewertung_Stammdaten!M$17,IF(I48&lt;Bewertung_Stammdaten!N$18,Bewertung_Stammdaten!M$18,IF(I48&lt;Bewertung_Stammdaten!N$19,Bewertung_Stammdaten!M$19,Bewertung_Stammdaten!M$20)))))))))</f>
        <v>9</v>
      </c>
      <c r="L48" s="44"/>
      <c r="M48" s="11">
        <f ca="1">VLOOKUP(A48,Buchwert_je_Aktie!A3:AK68,23,FALSE)</f>
        <v>11.540555555555555</v>
      </c>
      <c r="N48" s="11">
        <f>VLOOKUP(A48,Buchwert_je_Aktie!A3:AK68,19,FALSE)</f>
        <v>11.840769230769233</v>
      </c>
      <c r="O48" s="12">
        <f ca="1">VLOOKUP(A48,Buchwert_je_Aktie!A3:AK68,24,FALSE)</f>
        <v>-2.5354237496120424E-2</v>
      </c>
      <c r="P48" s="12">
        <f>VLOOKUP(A48,Buchwert_je_Aktie!A3:AK68,37,FALSE)</f>
        <v>-0.27329192546583858</v>
      </c>
      <c r="Q48" s="16">
        <f t="shared" ca="1" si="11"/>
        <v>8.3866149068322962</v>
      </c>
      <c r="R48" s="12">
        <f t="shared" ca="1" si="12"/>
        <v>-0.29171705457792618</v>
      </c>
      <c r="S48" s="53">
        <f ca="1">IF(O48&lt;Bewertung_Stammdaten!D$24,Bewertung_Stammdaten!C$24,IF(O48&lt;Bewertung_Stammdaten!D$25,Bewertung_Stammdaten!C$25,IF(O48&lt;Bewertung_Stammdaten!D$26,Bewertung_Stammdaten!C$26,IF(O48&lt;Bewertung_Stammdaten!D$27,Bewertung_Stammdaten!C$27,IF(O48&lt;Bewertung_Stammdaten!D$28,Bewertung_Stammdaten!C$28,IF(O48&lt;Bewertung_Stammdaten!D$29,Bewertung_Stammdaten!C$29,IF(O48&lt;Bewertung_Stammdaten!D$30,Bewertung_Stammdaten!C$30,IF(O48&lt;Bewertung_Stammdaten!D$31,Bewertung_Stammdaten!C$31,IF(O48&lt;Bewertung_Stammdaten!D$32,Bewertung_Stammdaten!C$32,Bewertung_Stammdaten!C$33)))))))))</f>
        <v>3</v>
      </c>
      <c r="T48" s="53">
        <f>IF(P48&lt;Bewertung_Stammdaten!F$24,Bewertung_Stammdaten!E$24,IF(P48&lt;Bewertung_Stammdaten!F$25,Bewertung_Stammdaten!E$25,IF(P48&lt;Bewertung_Stammdaten!F$26,Bewertung_Stammdaten!E$26,IF(P48&lt;Bewertung_Stammdaten!F$27,Bewertung_Stammdaten!E$27,IF(P48&lt;Bewertung_Stammdaten!F$28,Bewertung_Stammdaten!E$28,IF(P48&lt;Bewertung_Stammdaten!F$29,Bewertung_Stammdaten!E$29,IF(P48&lt;Bewertung_Stammdaten!F$30,Bewertung_Stammdaten!E$30,IF(P48&lt;Bewertung_Stammdaten!F$31,Bewertung_Stammdaten!E$31,IF(P48&lt;Bewertung_Stammdaten!F$32,Bewertung_Stammdaten!E$32,Bewertung_Stammdaten!E$33)))))))))</f>
        <v>3</v>
      </c>
      <c r="U48" s="53">
        <f ca="1">IF(R48&lt;Bewertung_Stammdaten!H$24,Bewertung_Stammdaten!G$24,IF(R48&lt;Bewertung_Stammdaten!H$25,Bewertung_Stammdaten!G$25,IF(R48&lt;Bewertung_Stammdaten!H$26,Bewertung_Stammdaten!G$26,IF(R48&lt;Bewertung_Stammdaten!H$27,Bewertung_Stammdaten!G$27,IF(R48&lt;Bewertung_Stammdaten!H$28,Bewertung_Stammdaten!G$28,IF(R48&lt;Bewertung_Stammdaten!H$29,Bewertung_Stammdaten!G$29,IF(R48&lt;Bewertung_Stammdaten!H$30,Bewertung_Stammdaten!G$30,IF(R48&lt;Bewertung_Stammdaten!H$31,Bewertung_Stammdaten!G$31,IF(R48&lt;Bewertung_Stammdaten!H$32,Bewertung_Stammdaten!G$32,Bewertung_Stammdaten!G$33)))))))))</f>
        <v>1</v>
      </c>
      <c r="V48" s="44"/>
      <c r="W48" s="14">
        <f ca="1">VLOOKUP(A48,Ergebnis_je_Aktie_verwässert!A3:AK68,23,FALSE)</f>
        <v>4.7411111111111106</v>
      </c>
      <c r="X48" s="14">
        <f>VLOOKUP(A48,Ergebnis_je_Aktie_verwässert!A3:AK68,19,FALSE)</f>
        <v>3.9815384615384621</v>
      </c>
      <c r="Y48" s="12">
        <f ca="1">VLOOKUP(A48,Ergebnis_je_Aktie_verwässert!A3:AK68,24,FALSE)</f>
        <v>0.19077365619096653</v>
      </c>
      <c r="Z48" s="41">
        <f>VLOOKUP(A48,Ergebnis_je_Aktie_verwässert!A3:AK68,37,FALSE)</f>
        <v>-5.8651026392961936E-2</v>
      </c>
      <c r="AA48" s="16">
        <f t="shared" ca="1" si="13"/>
        <v>4.4630400782013675</v>
      </c>
      <c r="AB48" s="12">
        <f t="shared" ca="1" si="14"/>
        <v>0.12093355905366643</v>
      </c>
      <c r="AC48" s="33">
        <f ca="1">IF(Y48&lt;Bewertung_Stammdaten!L$11,Bewertung_Stammdaten!K$11,IF(Y48&lt;Bewertung_Stammdaten!L$12,Bewertung_Stammdaten!K$12,IF(Y48&lt;Bewertung_Stammdaten!L$13,Bewertung_Stammdaten!K$13,IF(Y48&lt;Bewertung_Stammdaten!L$14,Bewertung_Stammdaten!K$14,IF(Y48&lt;Bewertung_Stammdaten!L$15,Bewertung_Stammdaten!K$15,IF(Y48&lt;Bewertung_Stammdaten!L$16,Bewertung_Stammdaten!K$16,IF(Y48&lt;Bewertung_Stammdaten!L$17,Bewertung_Stammdaten!K$17,IF(Y48&lt;Bewertung_Stammdaten!L$18,Bewertung_Stammdaten!K$18,IF(Y48&lt;Bewertung_Stammdaten!L$19,Bewertung_Stammdaten!K$19,Bewertung_Stammdaten!K$20)))))))))</f>
        <v>8</v>
      </c>
      <c r="AD48" s="33">
        <f>IF(Z48&lt;Bewertung_Stammdaten!R$11,Bewertung_Stammdaten!Q$11,IF(Z48&lt;Bewertung_Stammdaten!R$12,Bewertung_Stammdaten!Q$12,IF(Z48&lt;Bewertung_Stammdaten!R$13,Bewertung_Stammdaten!Q$13,IF(Z48&lt;Bewertung_Stammdaten!R$14,Bewertung_Stammdaten!Q$14,IF(Z48&lt;Bewertung_Stammdaten!R$15,Bewertung_Stammdaten!Q$15,IF(Z48&lt;Bewertung_Stammdaten!R$16,Bewertung_Stammdaten!Q$16,IF(Z48&lt;Bewertung_Stammdaten!R$17,Bewertung_Stammdaten!Q$17,IF(Z48&lt;Bewertung_Stammdaten!R$18,Bewertung_Stammdaten!Q$18,IF(Z48&lt;Bewertung_Stammdaten!R$19,Bewertung_Stammdaten!Q$19,Bewertung_Stammdaten!Q$20)))))))))</f>
        <v>7</v>
      </c>
      <c r="AE48" s="33">
        <f ca="1">IF(AB48&lt;Bewertung_Stammdaten!P$11,Bewertung_Stammdaten!O$11,IF(AB48&lt;Bewertung_Stammdaten!P$12,Bewertung_Stammdaten!O$12,IF(AB48&lt;Bewertung_Stammdaten!P$13,Bewertung_Stammdaten!O$13,IF(AB48&lt;Bewertung_Stammdaten!P$14,Bewertung_Stammdaten!O$14,IF(AB48&lt;Bewertung_Stammdaten!P$15,Bewertung_Stammdaten!O$15,IF(AB48&lt;Bewertung_Stammdaten!P$16,Bewertung_Stammdaten!O$16,IF(AB48&lt;Bewertung_Stammdaten!P$17,Bewertung_Stammdaten!O$17,IF(AB48&lt;Bewertung_Stammdaten!P$18,Bewertung_Stammdaten!O$18,IF(AB48&lt;Bewertung_Stammdaten!P$19,Bewertung_Stammdaten!O$19,Bewertung_Stammdaten!O$20)))))))))</f>
        <v>5</v>
      </c>
      <c r="AF48" s="44"/>
      <c r="AG48" s="14">
        <f ca="1">VLOOKUP(A48,Dividende_je_Aktie!A3:AM68,24,FALSE)</f>
        <v>2.8025833333333332</v>
      </c>
      <c r="AH48" s="14">
        <f>VLOOKUP(A48,Dividende_je_Aktie!A3:AM68,20,FALSE)</f>
        <v>1.9764285714285719</v>
      </c>
      <c r="AI48" s="12">
        <f ca="1">VLOOKUP(A48,Dividende_je_Aktie!A3:AM68,25,FALSE)</f>
        <v>0.41800385495723358</v>
      </c>
      <c r="AJ48" s="41">
        <f>VLOOKUP(A48,Dividende_je_Aktie!A3:AM68,39,FALSE)</f>
        <v>4.9261083743842304E-2</v>
      </c>
      <c r="AK48" s="16">
        <f t="shared" ca="1" si="6"/>
        <v>2.8025833333333332</v>
      </c>
      <c r="AL48" s="12">
        <f t="shared" ca="1" si="7"/>
        <v>0.41800385495723358</v>
      </c>
      <c r="AM48" s="33">
        <f ca="1">IF(AI48&lt;Bewertung_Stammdaten!P$24,Bewertung_Stammdaten!O$24,IF(AI48&lt;Bewertung_Stammdaten!P$25,Bewertung_Stammdaten!O$25,IF(AI48&lt;Bewertung_Stammdaten!P$26,Bewertung_Stammdaten!O$26,IF(AI48&lt;Bewertung_Stammdaten!P$27,Bewertung_Stammdaten!O$27,IF(AI48&lt;Bewertung_Stammdaten!P$28,Bewertung_Stammdaten!O$28,IF(AI48&lt;Bewertung_Stammdaten!P$29,Bewertung_Stammdaten!O$29,IF(AI48&lt;Bewertung_Stammdaten!P$30,Bewertung_Stammdaten!O$30,IF(AI48&lt;Bewertung_Stammdaten!P$31,Bewertung_Stammdaten!O$31,IF(AI48&lt;Bewertung_Stammdaten!P$32,Bewertung_Stammdaten!O$32,Bewertung_Stammdaten!O$33)))))))))</f>
        <v>14</v>
      </c>
      <c r="AN48" s="33">
        <f>IF(AJ48&lt;Bewertung_Stammdaten!R$24,Bewertung_Stammdaten!Q$24,IF(AJ48&lt;Bewertung_Stammdaten!R$25,Bewertung_Stammdaten!Q$25,IF(AJ48&lt;Bewertung_Stammdaten!R$26,Bewertung_Stammdaten!Q$26,IF(AJ48&lt;Bewertung_Stammdaten!R$27,Bewertung_Stammdaten!Q$27,IF(AJ48&lt;Bewertung_Stammdaten!R$28,Bewertung_Stammdaten!Q$28,IF(AJ48&lt;Bewertung_Stammdaten!R$29,Bewertung_Stammdaten!Q$29,IF(AJ48&lt;Bewertung_Stammdaten!R$30,Bewertung_Stammdaten!Q$30,IF(AJ48&lt;Bewertung_Stammdaten!R$31,Bewertung_Stammdaten!Q$31,IF(AJ48&lt;Bewertung_Stammdaten!R$32,Bewertung_Stammdaten!Q$32,Bewertung_Stammdaten!Q$33)))))))))</f>
        <v>8</v>
      </c>
      <c r="AO48" s="33">
        <f ca="1">IF(AL48&lt;Bewertung_Stammdaten!T$24,Bewertung_Stammdaten!S$24,IF(AL48&lt;Bewertung_Stammdaten!T$25,Bewertung_Stammdaten!S$25,IF(AL48&lt;Bewertung_Stammdaten!T$26,Bewertung_Stammdaten!S$26,IF(AL48&lt;Bewertung_Stammdaten!T$27,Bewertung_Stammdaten!S$27,IF(AL48&lt;Bewertung_Stammdaten!T$28,Bewertung_Stammdaten!S$28,IF(AL48&lt;Bewertung_Stammdaten!T$29,Bewertung_Stammdaten!S$29,IF(AL48&lt;Bewertung_Stammdaten!T$30,Bewertung_Stammdaten!S$30,IF(AL48&lt;Bewertung_Stammdaten!T$31,Bewertung_Stammdaten!S$31,IF(AL48&lt;Bewertung_Stammdaten!T$32,Bewertung_Stammdaten!S$32,Bewertung_Stammdaten!S$33)))))))))</f>
        <v>8</v>
      </c>
      <c r="AP48" s="44"/>
      <c r="AQ48" s="12">
        <f ca="1">VLOOKUP(A48,Dividendenrendite!A3:R68,17,FALSE)</f>
        <v>2.9713563754594288E-2</v>
      </c>
      <c r="AR48" s="12">
        <f>VLOOKUP(A48,Dividendenrendite!A3:R68,16,FALSE)</f>
        <v>2.5786557972065024E-2</v>
      </c>
      <c r="AS48" s="12">
        <f ca="1">VLOOKUP(A48,Dividendenrendite!A3:R68,18,FALSE)</f>
        <v>0.15228887030147442</v>
      </c>
      <c r="AT48" s="33">
        <f ca="1">IF(AQ48&lt;Bewertung_Stammdaten!D$11,Bewertung_Stammdaten!C$11,IF(AQ48&lt;Bewertung_Stammdaten!D$12,Bewertung_Stammdaten!C$12,IF(AQ48&lt;Bewertung_Stammdaten!D$13,Bewertung_Stammdaten!C$13,IF(AQ48&lt;Bewertung_Stammdaten!D$14,Bewertung_Stammdaten!C$14,IF(AQ48&lt;Bewertung_Stammdaten!D$15,Bewertung_Stammdaten!C$15,IF(AQ48&lt;Bewertung_Stammdaten!D$16,Bewertung_Stammdaten!C$16,IF(AQ48&lt;Bewertung_Stammdaten!D$17,Bewertung_Stammdaten!C$17,IF(AQ48&lt;Bewertung_Stammdaten!D$18,Bewertung_Stammdaten!C$18,IF(AQ48&lt;Bewertung_Stammdaten!D$19,Bewertung_Stammdaten!C$19,Bewertung_Stammdaten!C$20)))))))))</f>
        <v>9</v>
      </c>
      <c r="AU48" s="33">
        <f>IF(AR48&lt;Bewertung_Stammdaten!T$11,Bewertung_Stammdaten!S$11,IF(AR48&lt;Bewertung_Stammdaten!T$12,Bewertung_Stammdaten!S$12,IF(AR48&lt;Bewertung_Stammdaten!T$13,Bewertung_Stammdaten!S$13,IF(AR48&lt;Bewertung_Stammdaten!T$14,Bewertung_Stammdaten!S$14,IF(AR48&lt;Bewertung_Stammdaten!T$15,Bewertung_Stammdaten!S$15,IF(AR48&lt;Bewertung_Stammdaten!T$16,Bewertung_Stammdaten!S$16,IF(AR48&lt;Bewertung_Stammdaten!T$17,Bewertung_Stammdaten!S$17,IF(AR48&lt;Bewertung_Stammdaten!T$18,Bewertung_Stammdaten!S$18,IF(AR48&lt;Bewertung_Stammdaten!T$19,Bewertung_Stammdaten!S$19,Bewertung_Stammdaten!S$20)))))))))</f>
        <v>6</v>
      </c>
      <c r="AV48" s="33">
        <f ca="1">IF(AS48&lt;Bewertung_Stammdaten!F$11,Bewertung_Stammdaten!E$11,IF(AS48&lt;Bewertung_Stammdaten!F$12,Bewertung_Stammdaten!E$12,IF(AS48&lt;Bewertung_Stammdaten!F$13,Bewertung_Stammdaten!E$13,IF(AS48&lt;Bewertung_Stammdaten!F$14,Bewertung_Stammdaten!E$14,IF(AS48&lt;Bewertung_Stammdaten!F$15,Bewertung_Stammdaten!E$15,IF(AS48&lt;Bewertung_Stammdaten!F$16,Bewertung_Stammdaten!E$16,IF(AS48&lt;Bewertung_Stammdaten!F$17,Bewertung_Stammdaten!E$17,IF(AS48&lt;Bewertung_Stammdaten!F$18,Bewertung_Stammdaten!E$18,IF(AS48&lt;Bewertung_Stammdaten!F$19,Bewertung_Stammdaten!E$19,Bewertung_Stammdaten!E$20)))))))))</f>
        <v>4.5</v>
      </c>
      <c r="AW48" s="44"/>
      <c r="AX48" s="12">
        <f>VLOOKUP(A48,Aktien_im_Umlauf_splitbereinigt!A3:Z68,26,FALSE)</f>
        <v>-2.6281208935611033E-2</v>
      </c>
      <c r="AY48" s="12">
        <f>VLOOKUP(A48,Aktien_im_Umlauf_splitbereinigt!A3:Y68,24,FALSE)</f>
        <v>-1.2170563896515571E-2</v>
      </c>
      <c r="AZ48" s="12">
        <f>VLOOKUP(A48,Aktien_im_Umlauf_splitbereinigt!A3:Y68,25,FALSE)</f>
        <v>1.1594076625435026</v>
      </c>
      <c r="BA48" s="42">
        <f>IF(AX48&lt;Bewertung_Stammdaten!J$24,Bewertung_Stammdaten!I$24,IF(AX48&lt;Bewertung_Stammdaten!J$25,Bewertung_Stammdaten!I$25,IF(AX48&lt;Bewertung_Stammdaten!J$26,Bewertung_Stammdaten!I$26,IF(AX48&lt;Bewertung_Stammdaten!J$27,Bewertung_Stammdaten!I$27,IF(AX48&lt;Bewertung_Stammdaten!J$28,Bewertung_Stammdaten!I$28,IF(AX48&lt;Bewertung_Stammdaten!J$29,Bewertung_Stammdaten!I$29,IF(AX48&lt;Bewertung_Stammdaten!J$30,Bewertung_Stammdaten!I$30,IF(AX48&lt;Bewertung_Stammdaten!J$31,Bewertung_Stammdaten!I$31,IF(AX48&lt;Bewertung_Stammdaten!J$32,Bewertung_Stammdaten!I$32,Bewertung_Stammdaten!I$33)))))))))</f>
        <v>8</v>
      </c>
      <c r="BB48" s="42">
        <f>IF(AY48&lt;Bewertung_Stammdaten!L$24,Bewertung_Stammdaten!K$24,IF(AY48&lt;Bewertung_Stammdaten!L$25,Bewertung_Stammdaten!K$25,IF(AY48&lt;Bewertung_Stammdaten!L$26,Bewertung_Stammdaten!K$26,IF(AY48&lt;Bewertung_Stammdaten!L$27,Bewertung_Stammdaten!K$27,IF(AY48&lt;Bewertung_Stammdaten!L$28,Bewertung_Stammdaten!K$28,IF(AY48&lt;Bewertung_Stammdaten!L$29,Bewertung_Stammdaten!K$29,IF(AY48&lt;Bewertung_Stammdaten!L$30,Bewertung_Stammdaten!K$30,IF(AY48&lt;Bewertung_Stammdaten!L$31,Bewertung_Stammdaten!K$31,IF(AY48&lt;Bewertung_Stammdaten!L$32,Bewertung_Stammdaten!K$32,Bewertung_Stammdaten!K$33)))))))))</f>
        <v>5</v>
      </c>
      <c r="BC48" s="42">
        <f>IF(AZ48&lt;Bewertung_Stammdaten!N$24,Bewertung_Stammdaten!M$24,IF(AZ48&lt;Bewertung_Stammdaten!N$25,Bewertung_Stammdaten!M$25,IF(AZ48&lt;Bewertung_Stammdaten!N$26,Bewertung_Stammdaten!M$26,IF(AZ48&lt;Bewertung_Stammdaten!N$27,Bewertung_Stammdaten!M$27,IF(AZ48&lt;Bewertung_Stammdaten!N$28,Bewertung_Stammdaten!M$28,IF(AZ48&lt;Bewertung_Stammdaten!N$29,Bewertung_Stammdaten!M$29,IF(AZ48&lt;Bewertung_Stammdaten!N$30,Bewertung_Stammdaten!M$30,IF(AZ48&lt;Bewertung_Stammdaten!N$31,Bewertung_Stammdaten!M$31,IF(AZ48&lt;Bewertung_Stammdaten!N$32,Bewertung_Stammdaten!M$32,Bewertung_Stammdaten!M$33)))))))))</f>
        <v>5</v>
      </c>
      <c r="BD48" s="44"/>
      <c r="BE48" s="12">
        <f ca="1">VLOOKUP(A48,Ausschüttungsquote!A3:X68,23,FALSE)</f>
        <v>0.59119627418050635</v>
      </c>
      <c r="BF48" s="12">
        <f>VLOOKUP(A48,Ausschüttungsquote!A3:X68,19,FALSE)</f>
        <v>0.50680494780587637</v>
      </c>
      <c r="BG48" s="12">
        <f ca="1">VLOOKUP(A48,Ausschüttungsquote!A3:X68,24,FALSE)</f>
        <v>0.16651638217027576</v>
      </c>
      <c r="BH48" s="33">
        <f ca="1">IF(BE48&lt;Bewertung_Stammdaten!H$11,Bewertung_Stammdaten!G$11,IF(BE48&lt;Bewertung_Stammdaten!H$12,Bewertung_Stammdaten!G$12,IF(BE48&lt;Bewertung_Stammdaten!H$13,Bewertung_Stammdaten!G$13,IF(BE48&lt;Bewertung_Stammdaten!H$14,Bewertung_Stammdaten!G$14,IF(BE48&lt;Bewertung_Stammdaten!H$15,Bewertung_Stammdaten!G$15,IF(BE48&lt;Bewertung_Stammdaten!H$16,Bewertung_Stammdaten!G$16,IF(BE48&lt;Bewertung_Stammdaten!H$17,Bewertung_Stammdaten!G$17,IF(BE48&lt;Bewertung_Stammdaten!H$18,Bewertung_Stammdaten!G$18,IF(BE48&lt;Bewertung_Stammdaten!H$19,Bewertung_Stammdaten!G$19,Bewertung_Stammdaten!G$20)))))))))</f>
        <v>6</v>
      </c>
      <c r="BI48" s="42">
        <f>IF(BF48&lt;Bewertung_Stammdaten!B$24,Bewertung_Stammdaten!A$24,IF(BF48&lt;Bewertung_Stammdaten!B$25,Bewertung_Stammdaten!A$25,IF(BF48&lt;Bewertung_Stammdaten!B$26,Bewertung_Stammdaten!A$26,IF(BF48&lt;Bewertung_Stammdaten!B$27,Bewertung_Stammdaten!A$27,IF(BF48&lt;Bewertung_Stammdaten!B$28,Bewertung_Stammdaten!A$28,IF(BF48&lt;Bewertung_Stammdaten!B$29,Bewertung_Stammdaten!A$29,IF(BF48&lt;Bewertung_Stammdaten!B$30,Bewertung_Stammdaten!A$30,IF(BF48&lt;Bewertung_Stammdaten!B$31,Bewertung_Stammdaten!A$31,IF(BF48&lt;Bewertung_Stammdaten!B$32,Bewertung_Stammdaten!A$32,Bewertung_Stammdaten!A$33)))))))))</f>
        <v>7</v>
      </c>
      <c r="BJ48" s="33">
        <f ca="1">IF(BG48&lt;Bewertung_Stammdaten!J$11,Bewertung_Stammdaten!I$11,IF(BG48&lt;Bewertung_Stammdaten!J$12,Bewertung_Stammdaten!I$12,IF(BG48&lt;Bewertung_Stammdaten!J$13,Bewertung_Stammdaten!I$13,IF(BG48&lt;Bewertung_Stammdaten!J$14,Bewertung_Stammdaten!I$14,IF(BG48&lt;Bewertung_Stammdaten!J$15,Bewertung_Stammdaten!I$15,IF(BG48&lt;Bewertung_Stammdaten!J$16,Bewertung_Stammdaten!I$16,IF(BG48&lt;Bewertung_Stammdaten!J$17,Bewertung_Stammdaten!I$17,IF(BG48&lt;Bewertung_Stammdaten!J$18,Bewertung_Stammdaten!I$18,IF(BG48&lt;Bewertung_Stammdaten!J$19,Bewertung_Stammdaten!I$19,Bewertung_Stammdaten!I$20)))))))))</f>
        <v>2</v>
      </c>
    </row>
    <row r="49" spans="1:62" x14ac:dyDescent="0.25">
      <c r="A49" s="39" t="s">
        <v>92</v>
      </c>
      <c r="B49" s="39" t="s">
        <v>93</v>
      </c>
      <c r="C49" s="33">
        <f t="shared" ca="1" si="8"/>
        <v>121</v>
      </c>
      <c r="D49" s="44"/>
      <c r="E49" s="11">
        <f ca="1">VLOOKUP(A49,KGV!A3:R68,17,FALSE)</f>
        <v>18.49724959197243</v>
      </c>
      <c r="F49" s="11">
        <f>VLOOKUP(A49,KGV!A3:R68,16,FALSE)</f>
        <v>17.258883248730964</v>
      </c>
      <c r="G49" s="12">
        <f ca="1">VLOOKUP(A49,KGV!A3:R68,18,FALSE)</f>
        <v>7.1752402828990869E-2</v>
      </c>
      <c r="H49" s="16">
        <f t="shared" ca="1" si="9"/>
        <v>24.030614854528288</v>
      </c>
      <c r="I49" s="12">
        <f t="shared" ca="1" si="10"/>
        <v>0.39236209598296257</v>
      </c>
      <c r="J49" s="33">
        <f ca="1">IF(G49&lt;Bewertung_Stammdaten!B$11,Bewertung_Stammdaten!A$11,IF(G49&lt;Bewertung_Stammdaten!B$12,Bewertung_Stammdaten!A$12,IF(G49&lt;Bewertung_Stammdaten!B$13,Bewertung_Stammdaten!A$13,IF(G49&lt;Bewertung_Stammdaten!B$14,Bewertung_Stammdaten!A$14,IF(G49&lt;Bewertung_Stammdaten!B$15,Bewertung_Stammdaten!A$15,IF(G49&lt;Bewertung_Stammdaten!B$16,Bewertung_Stammdaten!A$16,IF(G49&lt;Bewertung_Stammdaten!B$17,Bewertung_Stammdaten!A$17,IF(G49&lt;Bewertung_Stammdaten!B$18,Bewertung_Stammdaten!A$18,IF(G49&lt;Bewertung_Stammdaten!B$19,Bewertung_Stammdaten!A$19,Bewertung_Stammdaten!A$20)))))))))</f>
        <v>15</v>
      </c>
      <c r="K49" s="33">
        <f ca="1">IF(I49&lt;Bewertung_Stammdaten!N$11,Bewertung_Stammdaten!M$11,IF(I49&lt;Bewertung_Stammdaten!N$12,Bewertung_Stammdaten!M$12,IF(I49&lt;Bewertung_Stammdaten!N$13,Bewertung_Stammdaten!M$13,IF(I49&lt;Bewertung_Stammdaten!N$14,Bewertung_Stammdaten!M$14,IF(I49&lt;Bewertung_Stammdaten!N$15,Bewertung_Stammdaten!M$15,IF(I49&lt;Bewertung_Stammdaten!N$16,Bewertung_Stammdaten!M$16,IF(I49&lt;Bewertung_Stammdaten!N$17,Bewertung_Stammdaten!M$17,IF(I49&lt;Bewertung_Stammdaten!N$18,Bewertung_Stammdaten!M$18,IF(I49&lt;Bewertung_Stammdaten!N$19,Bewertung_Stammdaten!M$19,Bewertung_Stammdaten!M$20)))))))))</f>
        <v>3</v>
      </c>
      <c r="L49" s="44"/>
      <c r="M49" s="11">
        <f ca="1">VLOOKUP(A49,Buchwert_je_Aktie!A3:AK68,23,FALSE)</f>
        <v>11.479722222222222</v>
      </c>
      <c r="N49" s="11">
        <f>VLOOKUP(A49,Buchwert_je_Aktie!A3:AK68,19,FALSE)</f>
        <v>11.32</v>
      </c>
      <c r="O49" s="12">
        <f ca="1">VLOOKUP(A49,Buchwert_je_Aktie!A3:AK68,24,FALSE)</f>
        <v>1.4109736945425944E-2</v>
      </c>
      <c r="P49" s="12">
        <f>VLOOKUP(A49,Buchwert_je_Aktie!A3:AK68,37,FALSE)</f>
        <v>-4.9496644295301984E-2</v>
      </c>
      <c r="Q49" s="16">
        <f t="shared" ca="1" si="11"/>
        <v>10.911514494780015</v>
      </c>
      <c r="R49" s="12">
        <f t="shared" ca="1" si="12"/>
        <v>-3.6085291980564094E-2</v>
      </c>
      <c r="S49" s="53">
        <f ca="1">IF(O49&lt;Bewertung_Stammdaten!D$24,Bewertung_Stammdaten!C$24,IF(O49&lt;Bewertung_Stammdaten!D$25,Bewertung_Stammdaten!C$25,IF(O49&lt;Bewertung_Stammdaten!D$26,Bewertung_Stammdaten!C$26,IF(O49&lt;Bewertung_Stammdaten!D$27,Bewertung_Stammdaten!C$27,IF(O49&lt;Bewertung_Stammdaten!D$28,Bewertung_Stammdaten!C$28,IF(O49&lt;Bewertung_Stammdaten!D$29,Bewertung_Stammdaten!C$29,IF(O49&lt;Bewertung_Stammdaten!D$30,Bewertung_Stammdaten!C$30,IF(O49&lt;Bewertung_Stammdaten!D$31,Bewertung_Stammdaten!C$31,IF(O49&lt;Bewertung_Stammdaten!D$32,Bewertung_Stammdaten!C$32,Bewertung_Stammdaten!C$33)))))))))</f>
        <v>4.5</v>
      </c>
      <c r="T49" s="53">
        <f>IF(P49&lt;Bewertung_Stammdaten!F$24,Bewertung_Stammdaten!E$24,IF(P49&lt;Bewertung_Stammdaten!F$25,Bewertung_Stammdaten!E$25,IF(P49&lt;Bewertung_Stammdaten!F$26,Bewertung_Stammdaten!E$26,IF(P49&lt;Bewertung_Stammdaten!F$27,Bewertung_Stammdaten!E$27,IF(P49&lt;Bewertung_Stammdaten!F$28,Bewertung_Stammdaten!E$28,IF(P49&lt;Bewertung_Stammdaten!F$29,Bewertung_Stammdaten!E$29,IF(P49&lt;Bewertung_Stammdaten!F$30,Bewertung_Stammdaten!E$30,IF(P49&lt;Bewertung_Stammdaten!F$31,Bewertung_Stammdaten!E$31,IF(P49&lt;Bewertung_Stammdaten!F$32,Bewertung_Stammdaten!E$32,Bewertung_Stammdaten!E$33)))))))))</f>
        <v>10.5</v>
      </c>
      <c r="U49" s="53">
        <f ca="1">IF(R49&lt;Bewertung_Stammdaten!H$24,Bewertung_Stammdaten!G$24,IF(R49&lt;Bewertung_Stammdaten!H$25,Bewertung_Stammdaten!G$25,IF(R49&lt;Bewertung_Stammdaten!H$26,Bewertung_Stammdaten!G$26,IF(R49&lt;Bewertung_Stammdaten!H$27,Bewertung_Stammdaten!G$27,IF(R49&lt;Bewertung_Stammdaten!H$28,Bewertung_Stammdaten!G$28,IF(R49&lt;Bewertung_Stammdaten!H$29,Bewertung_Stammdaten!G$29,IF(R49&lt;Bewertung_Stammdaten!H$30,Bewertung_Stammdaten!G$30,IF(R49&lt;Bewertung_Stammdaten!H$31,Bewertung_Stammdaten!G$31,IF(R49&lt;Bewertung_Stammdaten!H$32,Bewertung_Stammdaten!G$32,Bewertung_Stammdaten!G$33)))))))))</f>
        <v>2</v>
      </c>
      <c r="V49" s="44"/>
      <c r="W49" s="14">
        <f ca="1">VLOOKUP(A49,Ergebnis_je_Aktie_verwässert!A3:AK68,23,FALSE)</f>
        <v>1.8381111111111115</v>
      </c>
      <c r="X49" s="14">
        <f>VLOOKUP(A49,Ergebnis_je_Aktie_verwässert!A3:AK68,19,FALSE)</f>
        <v>1.4753846153846153</v>
      </c>
      <c r="Y49" s="12">
        <f ca="1">VLOOKUP(A49,Ergebnis_je_Aktie_verwässert!A3:AK68,24,FALSE)</f>
        <v>0.24585216081566474</v>
      </c>
      <c r="Z49" s="41">
        <f>VLOOKUP(A49,Ergebnis_je_Aktie_verwässert!A3:AK68,37,FALSE)</f>
        <v>-0.23026315789473695</v>
      </c>
      <c r="AA49" s="16">
        <f t="shared" ca="1" si="13"/>
        <v>1.4148618421052632</v>
      </c>
      <c r="AB49" s="12">
        <f t="shared" ca="1" si="14"/>
        <v>-4.1021692003731847E-2</v>
      </c>
      <c r="AC49" s="33">
        <f ca="1">IF(Y49&lt;Bewertung_Stammdaten!L$11,Bewertung_Stammdaten!K$11,IF(Y49&lt;Bewertung_Stammdaten!L$12,Bewertung_Stammdaten!K$12,IF(Y49&lt;Bewertung_Stammdaten!L$13,Bewertung_Stammdaten!K$13,IF(Y49&lt;Bewertung_Stammdaten!L$14,Bewertung_Stammdaten!K$14,IF(Y49&lt;Bewertung_Stammdaten!L$15,Bewertung_Stammdaten!K$15,IF(Y49&lt;Bewertung_Stammdaten!L$16,Bewertung_Stammdaten!K$16,IF(Y49&lt;Bewertung_Stammdaten!L$17,Bewertung_Stammdaten!K$17,IF(Y49&lt;Bewertung_Stammdaten!L$18,Bewertung_Stammdaten!K$18,IF(Y49&lt;Bewertung_Stammdaten!L$19,Bewertung_Stammdaten!K$19,Bewertung_Stammdaten!K$20)))))))))</f>
        <v>10</v>
      </c>
      <c r="AD49" s="33">
        <f>IF(Z49&lt;Bewertung_Stammdaten!R$11,Bewertung_Stammdaten!Q$11,IF(Z49&lt;Bewertung_Stammdaten!R$12,Bewertung_Stammdaten!Q$12,IF(Z49&lt;Bewertung_Stammdaten!R$13,Bewertung_Stammdaten!Q$13,IF(Z49&lt;Bewertung_Stammdaten!R$14,Bewertung_Stammdaten!Q$14,IF(Z49&lt;Bewertung_Stammdaten!R$15,Bewertung_Stammdaten!Q$15,IF(Z49&lt;Bewertung_Stammdaten!R$16,Bewertung_Stammdaten!Q$16,IF(Z49&lt;Bewertung_Stammdaten!R$17,Bewertung_Stammdaten!Q$17,IF(Z49&lt;Bewertung_Stammdaten!R$18,Bewertung_Stammdaten!Q$18,IF(Z49&lt;Bewertung_Stammdaten!R$19,Bewertung_Stammdaten!Q$19,Bewertung_Stammdaten!Q$20)))))))))</f>
        <v>5</v>
      </c>
      <c r="AE49" s="33">
        <f ca="1">IF(AB49&lt;Bewertung_Stammdaten!P$11,Bewertung_Stammdaten!O$11,IF(AB49&lt;Bewertung_Stammdaten!P$12,Bewertung_Stammdaten!O$12,IF(AB49&lt;Bewertung_Stammdaten!P$13,Bewertung_Stammdaten!O$13,IF(AB49&lt;Bewertung_Stammdaten!P$14,Bewertung_Stammdaten!O$14,IF(AB49&lt;Bewertung_Stammdaten!P$15,Bewertung_Stammdaten!O$15,IF(AB49&lt;Bewertung_Stammdaten!P$16,Bewertung_Stammdaten!O$16,IF(AB49&lt;Bewertung_Stammdaten!P$17,Bewertung_Stammdaten!O$17,IF(AB49&lt;Bewertung_Stammdaten!P$18,Bewertung_Stammdaten!O$18,IF(AB49&lt;Bewertung_Stammdaten!P$19,Bewertung_Stammdaten!O$19,Bewertung_Stammdaten!O$20)))))))))</f>
        <v>4</v>
      </c>
      <c r="AF49" s="44"/>
      <c r="AG49" s="14">
        <f ca="1">VLOOKUP(A49,Dividende_je_Aktie!A3:AM68,24,FALSE)</f>
        <v>1.110138888888889</v>
      </c>
      <c r="AH49" s="14">
        <f>VLOOKUP(A49,Dividende_je_Aktie!A3:AM68,20,FALSE)</f>
        <v>0.96571428571428553</v>
      </c>
      <c r="AI49" s="12">
        <f ca="1">VLOOKUP(A49,Dividende_je_Aktie!A3:AM68,25,FALSE)</f>
        <v>0.14955210387902729</v>
      </c>
      <c r="AJ49" s="41">
        <f>VLOOKUP(A49,Dividende_je_Aktie!A3:AM68,39,FALSE)</f>
        <v>-0.375</v>
      </c>
      <c r="AK49" s="16">
        <f t="shared" ca="1" si="6"/>
        <v>0.6938368055555556</v>
      </c>
      <c r="AL49" s="12">
        <f t="shared" ca="1" si="7"/>
        <v>-0.28152993507560797</v>
      </c>
      <c r="AM49" s="33">
        <f ca="1">IF(AI49&lt;Bewertung_Stammdaten!P$24,Bewertung_Stammdaten!O$24,IF(AI49&lt;Bewertung_Stammdaten!P$25,Bewertung_Stammdaten!O$25,IF(AI49&lt;Bewertung_Stammdaten!P$26,Bewertung_Stammdaten!O$26,IF(AI49&lt;Bewertung_Stammdaten!P$27,Bewertung_Stammdaten!O$27,IF(AI49&lt;Bewertung_Stammdaten!P$28,Bewertung_Stammdaten!O$28,IF(AI49&lt;Bewertung_Stammdaten!P$29,Bewertung_Stammdaten!O$29,IF(AI49&lt;Bewertung_Stammdaten!P$30,Bewertung_Stammdaten!O$30,IF(AI49&lt;Bewertung_Stammdaten!P$31,Bewertung_Stammdaten!O$31,IF(AI49&lt;Bewertung_Stammdaten!P$32,Bewertung_Stammdaten!O$32,Bewertung_Stammdaten!O$33)))))))))</f>
        <v>8</v>
      </c>
      <c r="AN49" s="33">
        <f>IF(AJ49&lt;Bewertung_Stammdaten!R$24,Bewertung_Stammdaten!Q$24,IF(AJ49&lt;Bewertung_Stammdaten!R$25,Bewertung_Stammdaten!Q$25,IF(AJ49&lt;Bewertung_Stammdaten!R$26,Bewertung_Stammdaten!Q$26,IF(AJ49&lt;Bewertung_Stammdaten!R$27,Bewertung_Stammdaten!Q$27,IF(AJ49&lt;Bewertung_Stammdaten!R$28,Bewertung_Stammdaten!Q$28,IF(AJ49&lt;Bewertung_Stammdaten!R$29,Bewertung_Stammdaten!Q$29,IF(AJ49&lt;Bewertung_Stammdaten!R$30,Bewertung_Stammdaten!Q$30,IF(AJ49&lt;Bewertung_Stammdaten!R$31,Bewertung_Stammdaten!Q$31,IF(AJ49&lt;Bewertung_Stammdaten!R$32,Bewertung_Stammdaten!Q$32,Bewertung_Stammdaten!Q$33)))))))))</f>
        <v>4</v>
      </c>
      <c r="AO49" s="33">
        <f ca="1">IF(AL49&lt;Bewertung_Stammdaten!T$24,Bewertung_Stammdaten!S$24,IF(AL49&lt;Bewertung_Stammdaten!T$25,Bewertung_Stammdaten!S$25,IF(AL49&lt;Bewertung_Stammdaten!T$26,Bewertung_Stammdaten!S$26,IF(AL49&lt;Bewertung_Stammdaten!T$27,Bewertung_Stammdaten!S$27,IF(AL49&lt;Bewertung_Stammdaten!T$28,Bewertung_Stammdaten!S$28,IF(AL49&lt;Bewertung_Stammdaten!T$29,Bewertung_Stammdaten!S$29,IF(AL49&lt;Bewertung_Stammdaten!T$30,Bewertung_Stammdaten!S$30,IF(AL49&lt;Bewertung_Stammdaten!T$31,Bewertung_Stammdaten!S$31,IF(AL49&lt;Bewertung_Stammdaten!T$32,Bewertung_Stammdaten!S$32,Bewertung_Stammdaten!S$33)))))))))</f>
        <v>1</v>
      </c>
      <c r="AP49" s="44"/>
      <c r="AQ49" s="12">
        <f ca="1">VLOOKUP(A49,Dividendenrendite!A3:R68,17,FALSE)</f>
        <v>3.2651143790849678E-2</v>
      </c>
      <c r="AR49" s="12">
        <f>VLOOKUP(A49,Dividendenrendite!A3:R68,16,FALSE)</f>
        <v>3.8939645668488745E-2</v>
      </c>
      <c r="AS49" s="12">
        <f ca="1">VLOOKUP(A49,Dividendenrendite!A3:R68,18,FALSE)</f>
        <v>-0.16149355675128629</v>
      </c>
      <c r="AT49" s="33">
        <f ca="1">IF(AQ49&lt;Bewertung_Stammdaten!D$11,Bewertung_Stammdaten!C$11,IF(AQ49&lt;Bewertung_Stammdaten!D$12,Bewertung_Stammdaten!C$12,IF(AQ49&lt;Bewertung_Stammdaten!D$13,Bewertung_Stammdaten!C$13,IF(AQ49&lt;Bewertung_Stammdaten!D$14,Bewertung_Stammdaten!C$14,IF(AQ49&lt;Bewertung_Stammdaten!D$15,Bewertung_Stammdaten!C$15,IF(AQ49&lt;Bewertung_Stammdaten!D$16,Bewertung_Stammdaten!C$16,IF(AQ49&lt;Bewertung_Stammdaten!D$17,Bewertung_Stammdaten!C$17,IF(AQ49&lt;Bewertung_Stammdaten!D$18,Bewertung_Stammdaten!C$18,IF(AQ49&lt;Bewertung_Stammdaten!D$19,Bewertung_Stammdaten!C$19,Bewertung_Stammdaten!C$20)))))))))</f>
        <v>10.5</v>
      </c>
      <c r="AU49" s="33">
        <f>IF(AR49&lt;Bewertung_Stammdaten!T$11,Bewertung_Stammdaten!S$11,IF(AR49&lt;Bewertung_Stammdaten!T$12,Bewertung_Stammdaten!S$12,IF(AR49&lt;Bewertung_Stammdaten!T$13,Bewertung_Stammdaten!S$13,IF(AR49&lt;Bewertung_Stammdaten!T$14,Bewertung_Stammdaten!S$14,IF(AR49&lt;Bewertung_Stammdaten!T$15,Bewertung_Stammdaten!S$15,IF(AR49&lt;Bewertung_Stammdaten!T$16,Bewertung_Stammdaten!S$16,IF(AR49&lt;Bewertung_Stammdaten!T$17,Bewertung_Stammdaten!S$17,IF(AR49&lt;Bewertung_Stammdaten!T$18,Bewertung_Stammdaten!S$18,IF(AR49&lt;Bewertung_Stammdaten!T$19,Bewertung_Stammdaten!S$19,Bewertung_Stammdaten!S$20)))))))))</f>
        <v>8</v>
      </c>
      <c r="AV49" s="33">
        <f ca="1">IF(AS49&lt;Bewertung_Stammdaten!F$11,Bewertung_Stammdaten!E$11,IF(AS49&lt;Bewertung_Stammdaten!F$12,Bewertung_Stammdaten!E$12,IF(AS49&lt;Bewertung_Stammdaten!F$13,Bewertung_Stammdaten!E$13,IF(AS49&lt;Bewertung_Stammdaten!F$14,Bewertung_Stammdaten!E$14,IF(AS49&lt;Bewertung_Stammdaten!F$15,Bewertung_Stammdaten!E$15,IF(AS49&lt;Bewertung_Stammdaten!F$16,Bewertung_Stammdaten!E$16,IF(AS49&lt;Bewertung_Stammdaten!F$17,Bewertung_Stammdaten!E$17,IF(AS49&lt;Bewertung_Stammdaten!F$18,Bewertung_Stammdaten!E$18,IF(AS49&lt;Bewertung_Stammdaten!F$19,Bewertung_Stammdaten!E$19,Bewertung_Stammdaten!E$20)))))))))</f>
        <v>1</v>
      </c>
      <c r="AW49" s="44"/>
      <c r="AX49" s="12">
        <f>VLOOKUP(A49,Aktien_im_Umlauf_splitbereinigt!A3:Z68,26,FALSE)</f>
        <v>-1.6877637130801704E-2</v>
      </c>
      <c r="AY49" s="12">
        <f>VLOOKUP(A49,Aktien_im_Umlauf_splitbereinigt!A3:Y68,24,FALSE)</f>
        <v>-4.7722628468798801E-2</v>
      </c>
      <c r="AZ49" s="12">
        <f>VLOOKUP(A49,Aktien_im_Umlauf_splitbereinigt!A3:Y68,25,FALSE)</f>
        <v>-0.64633890310890241</v>
      </c>
      <c r="BA49" s="42">
        <f>IF(AX49&lt;Bewertung_Stammdaten!J$24,Bewertung_Stammdaten!I$24,IF(AX49&lt;Bewertung_Stammdaten!J$25,Bewertung_Stammdaten!I$25,IF(AX49&lt;Bewertung_Stammdaten!J$26,Bewertung_Stammdaten!I$26,IF(AX49&lt;Bewertung_Stammdaten!J$27,Bewertung_Stammdaten!I$27,IF(AX49&lt;Bewertung_Stammdaten!J$28,Bewertung_Stammdaten!I$28,IF(AX49&lt;Bewertung_Stammdaten!J$29,Bewertung_Stammdaten!I$29,IF(AX49&lt;Bewertung_Stammdaten!J$30,Bewertung_Stammdaten!I$30,IF(AX49&lt;Bewertung_Stammdaten!J$31,Bewertung_Stammdaten!I$31,IF(AX49&lt;Bewertung_Stammdaten!J$32,Bewertung_Stammdaten!I$32,Bewertung_Stammdaten!I$33)))))))))</f>
        <v>6</v>
      </c>
      <c r="BB49" s="42">
        <f>IF(AY49&lt;Bewertung_Stammdaten!L$24,Bewertung_Stammdaten!K$24,IF(AY49&lt;Bewertung_Stammdaten!L$25,Bewertung_Stammdaten!K$25,IF(AY49&lt;Bewertung_Stammdaten!L$26,Bewertung_Stammdaten!K$26,IF(AY49&lt;Bewertung_Stammdaten!L$27,Bewertung_Stammdaten!K$27,IF(AY49&lt;Bewertung_Stammdaten!L$28,Bewertung_Stammdaten!K$28,IF(AY49&lt;Bewertung_Stammdaten!L$29,Bewertung_Stammdaten!K$29,IF(AY49&lt;Bewertung_Stammdaten!L$30,Bewertung_Stammdaten!K$30,IF(AY49&lt;Bewertung_Stammdaten!L$31,Bewertung_Stammdaten!K$31,IF(AY49&lt;Bewertung_Stammdaten!L$32,Bewertung_Stammdaten!K$32,Bewertung_Stammdaten!K$33)))))))))</f>
        <v>10</v>
      </c>
      <c r="BC49" s="42">
        <f>IF(AZ49&lt;Bewertung_Stammdaten!N$24,Bewertung_Stammdaten!M$24,IF(AZ49&lt;Bewertung_Stammdaten!N$25,Bewertung_Stammdaten!M$25,IF(AZ49&lt;Bewertung_Stammdaten!N$26,Bewertung_Stammdaten!M$26,IF(AZ49&lt;Bewertung_Stammdaten!N$27,Bewertung_Stammdaten!M$27,IF(AZ49&lt;Bewertung_Stammdaten!N$28,Bewertung_Stammdaten!M$28,IF(AZ49&lt;Bewertung_Stammdaten!N$29,Bewertung_Stammdaten!M$29,IF(AZ49&lt;Bewertung_Stammdaten!N$30,Bewertung_Stammdaten!M$30,IF(AZ49&lt;Bewertung_Stammdaten!N$31,Bewertung_Stammdaten!M$31,IF(AZ49&lt;Bewertung_Stammdaten!N$32,Bewertung_Stammdaten!M$32,Bewertung_Stammdaten!M$33)))))))))</f>
        <v>1.5</v>
      </c>
      <c r="BD49" s="44"/>
      <c r="BE49" s="12">
        <f ca="1">VLOOKUP(A49,Ausschüttungsquote!A3:X68,23,FALSE)</f>
        <v>0.60390752591813346</v>
      </c>
      <c r="BF49" s="12">
        <f>VLOOKUP(A49,Ausschüttungsquote!A3:X68,19,FALSE)</f>
        <v>0.69087760497210238</v>
      </c>
      <c r="BG49" s="12">
        <f ca="1">VLOOKUP(A49,Ausschüttungsquote!A3:X68,24,FALSE)</f>
        <v>-0.12588348272988348</v>
      </c>
      <c r="BH49" s="33">
        <f ca="1">IF(BE49&lt;Bewertung_Stammdaten!H$11,Bewertung_Stammdaten!G$11,IF(BE49&lt;Bewertung_Stammdaten!H$12,Bewertung_Stammdaten!G$12,IF(BE49&lt;Bewertung_Stammdaten!H$13,Bewertung_Stammdaten!G$13,IF(BE49&lt;Bewertung_Stammdaten!H$14,Bewertung_Stammdaten!G$14,IF(BE49&lt;Bewertung_Stammdaten!H$15,Bewertung_Stammdaten!G$15,IF(BE49&lt;Bewertung_Stammdaten!H$16,Bewertung_Stammdaten!G$16,IF(BE49&lt;Bewertung_Stammdaten!H$17,Bewertung_Stammdaten!G$17,IF(BE49&lt;Bewertung_Stammdaten!H$18,Bewertung_Stammdaten!G$18,IF(BE49&lt;Bewertung_Stammdaten!H$19,Bewertung_Stammdaten!G$19,Bewertung_Stammdaten!G$20)))))))))</f>
        <v>5</v>
      </c>
      <c r="BI49" s="42">
        <f>IF(BF49&lt;Bewertung_Stammdaten!B$24,Bewertung_Stammdaten!A$24,IF(BF49&lt;Bewertung_Stammdaten!B$25,Bewertung_Stammdaten!A$25,IF(BF49&lt;Bewertung_Stammdaten!B$26,Bewertung_Stammdaten!A$26,IF(BF49&lt;Bewertung_Stammdaten!B$27,Bewertung_Stammdaten!A$27,IF(BF49&lt;Bewertung_Stammdaten!B$28,Bewertung_Stammdaten!A$28,IF(BF49&lt;Bewertung_Stammdaten!B$29,Bewertung_Stammdaten!A$29,IF(BF49&lt;Bewertung_Stammdaten!B$30,Bewertung_Stammdaten!A$30,IF(BF49&lt;Bewertung_Stammdaten!B$31,Bewertung_Stammdaten!A$31,IF(BF49&lt;Bewertung_Stammdaten!B$32,Bewertung_Stammdaten!A$32,Bewertung_Stammdaten!A$33)))))))))</f>
        <v>4</v>
      </c>
      <c r="BJ49" s="33">
        <f ca="1">IF(BG49&lt;Bewertung_Stammdaten!J$11,Bewertung_Stammdaten!I$11,IF(BG49&lt;Bewertung_Stammdaten!J$12,Bewertung_Stammdaten!I$12,IF(BG49&lt;Bewertung_Stammdaten!J$13,Bewertung_Stammdaten!I$13,IF(BG49&lt;Bewertung_Stammdaten!J$14,Bewertung_Stammdaten!I$14,IF(BG49&lt;Bewertung_Stammdaten!J$15,Bewertung_Stammdaten!I$15,IF(BG49&lt;Bewertung_Stammdaten!J$16,Bewertung_Stammdaten!I$16,IF(BG49&lt;Bewertung_Stammdaten!J$17,Bewertung_Stammdaten!I$17,IF(BG49&lt;Bewertung_Stammdaten!J$18,Bewertung_Stammdaten!I$18,IF(BG49&lt;Bewertung_Stammdaten!J$19,Bewertung_Stammdaten!I$19,Bewertung_Stammdaten!I$20)))))))))</f>
        <v>8</v>
      </c>
    </row>
    <row r="50" spans="1:62" x14ac:dyDescent="0.25">
      <c r="A50" s="39" t="s">
        <v>94</v>
      </c>
      <c r="B50" s="39" t="s">
        <v>95</v>
      </c>
      <c r="C50" s="33">
        <f t="shared" ca="1" si="8"/>
        <v>109.5</v>
      </c>
      <c r="D50" s="44"/>
      <c r="E50" s="11">
        <f ca="1">VLOOKUP(A50,KGV!A3:R68,17,FALSE)</f>
        <v>18.05347455437872</v>
      </c>
      <c r="F50" s="11">
        <f>VLOOKUP(A50,KGV!A3:R68,16,FALSE)</f>
        <v>15.655241935483872</v>
      </c>
      <c r="G50" s="12">
        <f ca="1">VLOOKUP(A50,KGV!A3:R68,18,FALSE)</f>
        <v>0.15319039008008306</v>
      </c>
      <c r="H50" s="16">
        <f t="shared" ca="1" si="9"/>
        <v>20.363634805412964</v>
      </c>
      <c r="I50" s="12">
        <f t="shared" ca="1" si="10"/>
        <v>0.30075503715194207</v>
      </c>
      <c r="J50" s="33">
        <f ca="1">IF(G50&lt;Bewertung_Stammdaten!B$11,Bewertung_Stammdaten!A$11,IF(G50&lt;Bewertung_Stammdaten!B$12,Bewertung_Stammdaten!A$12,IF(G50&lt;Bewertung_Stammdaten!B$13,Bewertung_Stammdaten!A$13,IF(G50&lt;Bewertung_Stammdaten!B$14,Bewertung_Stammdaten!A$14,IF(G50&lt;Bewertung_Stammdaten!B$15,Bewertung_Stammdaten!A$15,IF(G50&lt;Bewertung_Stammdaten!B$16,Bewertung_Stammdaten!A$16,IF(G50&lt;Bewertung_Stammdaten!B$17,Bewertung_Stammdaten!A$17,IF(G50&lt;Bewertung_Stammdaten!B$18,Bewertung_Stammdaten!A$18,IF(G50&lt;Bewertung_Stammdaten!B$19,Bewertung_Stammdaten!A$19,Bewertung_Stammdaten!A$20)))))))))</f>
        <v>9</v>
      </c>
      <c r="K50" s="33">
        <f ca="1">IF(I50&lt;Bewertung_Stammdaten!N$11,Bewertung_Stammdaten!M$11,IF(I50&lt;Bewertung_Stammdaten!N$12,Bewertung_Stammdaten!M$12,IF(I50&lt;Bewertung_Stammdaten!N$13,Bewertung_Stammdaten!M$13,IF(I50&lt;Bewertung_Stammdaten!N$14,Bewertung_Stammdaten!M$14,IF(I50&lt;Bewertung_Stammdaten!N$15,Bewertung_Stammdaten!M$15,IF(I50&lt;Bewertung_Stammdaten!N$16,Bewertung_Stammdaten!M$16,IF(I50&lt;Bewertung_Stammdaten!N$17,Bewertung_Stammdaten!M$17,IF(I50&lt;Bewertung_Stammdaten!N$18,Bewertung_Stammdaten!M$18,IF(I50&lt;Bewertung_Stammdaten!N$19,Bewertung_Stammdaten!M$19,Bewertung_Stammdaten!M$20)))))))))</f>
        <v>4.5</v>
      </c>
      <c r="L50" s="44"/>
      <c r="M50" s="11">
        <f ca="1">VLOOKUP(A50,Buchwert_je_Aktie!A3:AK68,23,FALSE)</f>
        <v>-2.5001388888888889</v>
      </c>
      <c r="N50" s="11">
        <f>VLOOKUP(A50,Buchwert_je_Aktie!A3:AK68,19,FALSE)</f>
        <v>-2.0222222222222221</v>
      </c>
      <c r="O50" s="12">
        <f ca="1">VLOOKUP(A50,Buchwert_je_Aktie!A3:AK68,24,FALSE)</f>
        <v>-0.23633241758241774</v>
      </c>
      <c r="P50" s="12">
        <f>VLOOKUP(A50,Buchwert_je_Aktie!A3:AK68,37,FALSE)</f>
        <v>-18.076923076923077</v>
      </c>
      <c r="Q50" s="16">
        <f t="shared" ca="1" si="11"/>
        <v>-42.694679487179485</v>
      </c>
      <c r="R50" s="12">
        <f t="shared" si="12"/>
        <v>-99.999989999999997</v>
      </c>
      <c r="S50" s="53">
        <f ca="1">IF(O50&lt;Bewertung_Stammdaten!D$24,Bewertung_Stammdaten!C$24,IF(O50&lt;Bewertung_Stammdaten!D$25,Bewertung_Stammdaten!C$25,IF(O50&lt;Bewertung_Stammdaten!D$26,Bewertung_Stammdaten!C$26,IF(O50&lt;Bewertung_Stammdaten!D$27,Bewertung_Stammdaten!C$27,IF(O50&lt;Bewertung_Stammdaten!D$28,Bewertung_Stammdaten!C$28,IF(O50&lt;Bewertung_Stammdaten!D$29,Bewertung_Stammdaten!C$29,IF(O50&lt;Bewertung_Stammdaten!D$30,Bewertung_Stammdaten!C$30,IF(O50&lt;Bewertung_Stammdaten!D$31,Bewertung_Stammdaten!C$31,IF(O50&lt;Bewertung_Stammdaten!D$32,Bewertung_Stammdaten!C$32,Bewertung_Stammdaten!C$33)))))))))</f>
        <v>1.5</v>
      </c>
      <c r="T50" s="53">
        <f>IF(P50&lt;Bewertung_Stammdaten!F$24,Bewertung_Stammdaten!E$24,IF(P50&lt;Bewertung_Stammdaten!F$25,Bewertung_Stammdaten!E$25,IF(P50&lt;Bewertung_Stammdaten!F$26,Bewertung_Stammdaten!E$26,IF(P50&lt;Bewertung_Stammdaten!F$27,Bewertung_Stammdaten!E$27,IF(P50&lt;Bewertung_Stammdaten!F$28,Bewertung_Stammdaten!E$28,IF(P50&lt;Bewertung_Stammdaten!F$29,Bewertung_Stammdaten!E$29,IF(P50&lt;Bewertung_Stammdaten!F$30,Bewertung_Stammdaten!E$30,IF(P50&lt;Bewertung_Stammdaten!F$31,Bewertung_Stammdaten!E$31,IF(P50&lt;Bewertung_Stammdaten!F$32,Bewertung_Stammdaten!E$32,Bewertung_Stammdaten!E$33)))))))))</f>
        <v>1.5</v>
      </c>
      <c r="U50" s="53">
        <f>IF(R50&lt;Bewertung_Stammdaten!H$24,Bewertung_Stammdaten!G$24,IF(R50&lt;Bewertung_Stammdaten!H$25,Bewertung_Stammdaten!G$25,IF(R50&lt;Bewertung_Stammdaten!H$26,Bewertung_Stammdaten!G$26,IF(R50&lt;Bewertung_Stammdaten!H$27,Bewertung_Stammdaten!G$27,IF(R50&lt;Bewertung_Stammdaten!H$28,Bewertung_Stammdaten!G$28,IF(R50&lt;Bewertung_Stammdaten!H$29,Bewertung_Stammdaten!G$29,IF(R50&lt;Bewertung_Stammdaten!H$30,Bewertung_Stammdaten!G$30,IF(R50&lt;Bewertung_Stammdaten!H$31,Bewertung_Stammdaten!G$31,IF(R50&lt;Bewertung_Stammdaten!H$32,Bewertung_Stammdaten!G$32,Bewertung_Stammdaten!G$33)))))))))</f>
        <v>1</v>
      </c>
      <c r="V50" s="44"/>
      <c r="W50" s="14">
        <f ca="1">VLOOKUP(A50,Ergebnis_je_Aktie_verwässert!A3:AK68,23,FALSE)</f>
        <v>4.3011111111111102</v>
      </c>
      <c r="X50" s="14">
        <f>VLOOKUP(A50,Ergebnis_je_Aktie_verwässert!A3:AK68,19,FALSE)</f>
        <v>4.4310000000000009</v>
      </c>
      <c r="Y50" s="12">
        <f ca="1">VLOOKUP(A50,Ergebnis_je_Aktie_verwässert!A3:AK68,24,FALSE)</f>
        <v>-2.9313673863437306E-2</v>
      </c>
      <c r="Z50" s="41">
        <f>VLOOKUP(A50,Ergebnis_je_Aktie_verwässert!A3:AK68,37,FALSE)</f>
        <v>-0.11344537815126055</v>
      </c>
      <c r="AA50" s="16">
        <f t="shared" ca="1" si="13"/>
        <v>3.8131699346405221</v>
      </c>
      <c r="AB50" s="12">
        <f t="shared" ca="1" si="14"/>
        <v>-0.1394335511982574</v>
      </c>
      <c r="AC50" s="33">
        <f ca="1">IF(Y50&lt;Bewertung_Stammdaten!L$11,Bewertung_Stammdaten!K$11,IF(Y50&lt;Bewertung_Stammdaten!L$12,Bewertung_Stammdaten!K$12,IF(Y50&lt;Bewertung_Stammdaten!L$13,Bewertung_Stammdaten!K$13,IF(Y50&lt;Bewertung_Stammdaten!L$14,Bewertung_Stammdaten!K$14,IF(Y50&lt;Bewertung_Stammdaten!L$15,Bewertung_Stammdaten!K$15,IF(Y50&lt;Bewertung_Stammdaten!L$16,Bewertung_Stammdaten!K$16,IF(Y50&lt;Bewertung_Stammdaten!L$17,Bewertung_Stammdaten!K$17,IF(Y50&lt;Bewertung_Stammdaten!L$18,Bewertung_Stammdaten!K$18,IF(Y50&lt;Bewertung_Stammdaten!L$19,Bewertung_Stammdaten!K$19,Bewertung_Stammdaten!K$20)))))))))</f>
        <v>4</v>
      </c>
      <c r="AD50" s="33">
        <f>IF(Z50&lt;Bewertung_Stammdaten!R$11,Bewertung_Stammdaten!Q$11,IF(Z50&lt;Bewertung_Stammdaten!R$12,Bewertung_Stammdaten!Q$12,IF(Z50&lt;Bewertung_Stammdaten!R$13,Bewertung_Stammdaten!Q$13,IF(Z50&lt;Bewertung_Stammdaten!R$14,Bewertung_Stammdaten!Q$14,IF(Z50&lt;Bewertung_Stammdaten!R$15,Bewertung_Stammdaten!Q$15,IF(Z50&lt;Bewertung_Stammdaten!R$16,Bewertung_Stammdaten!Q$16,IF(Z50&lt;Bewertung_Stammdaten!R$17,Bewertung_Stammdaten!Q$17,IF(Z50&lt;Bewertung_Stammdaten!R$18,Bewertung_Stammdaten!Q$18,IF(Z50&lt;Bewertung_Stammdaten!R$19,Bewertung_Stammdaten!Q$19,Bewertung_Stammdaten!Q$20)))))))))</f>
        <v>6</v>
      </c>
      <c r="AE50" s="33">
        <f ca="1">IF(AB50&lt;Bewertung_Stammdaten!P$11,Bewertung_Stammdaten!O$11,IF(AB50&lt;Bewertung_Stammdaten!P$12,Bewertung_Stammdaten!O$12,IF(AB50&lt;Bewertung_Stammdaten!P$13,Bewertung_Stammdaten!O$13,IF(AB50&lt;Bewertung_Stammdaten!P$14,Bewertung_Stammdaten!O$14,IF(AB50&lt;Bewertung_Stammdaten!P$15,Bewertung_Stammdaten!O$15,IF(AB50&lt;Bewertung_Stammdaten!P$16,Bewertung_Stammdaten!O$16,IF(AB50&lt;Bewertung_Stammdaten!P$17,Bewertung_Stammdaten!O$17,IF(AB50&lt;Bewertung_Stammdaten!P$18,Bewertung_Stammdaten!O$18,IF(AB50&lt;Bewertung_Stammdaten!P$19,Bewertung_Stammdaten!O$19,Bewertung_Stammdaten!O$20)))))))))</f>
        <v>3</v>
      </c>
      <c r="AF50" s="44"/>
      <c r="AG50" s="14">
        <f ca="1">VLOOKUP(A50,Dividende_je_Aktie!A3:AM68,24,FALSE)</f>
        <v>4.0844722222222218</v>
      </c>
      <c r="AH50" s="14">
        <f>VLOOKUP(A50,Dividende_je_Aktie!A3:AM68,20,FALSE)</f>
        <v>3.2399999999999998</v>
      </c>
      <c r="AI50" s="12">
        <f ca="1">VLOOKUP(A50,Dividende_je_Aktie!A3:AM68,25,FALSE)</f>
        <v>0.26063957475994504</v>
      </c>
      <c r="AJ50" s="41">
        <f>VLOOKUP(A50,Dividende_je_Aktie!A3:AM68,39,FALSE)</f>
        <v>4.0284360189573487E-2</v>
      </c>
      <c r="AK50" s="16">
        <f t="shared" ca="1" si="6"/>
        <v>4.0844722222222218</v>
      </c>
      <c r="AL50" s="12">
        <f t="shared" ca="1" si="7"/>
        <v>0.26063957475994504</v>
      </c>
      <c r="AM50" s="33">
        <f ca="1">IF(AI50&lt;Bewertung_Stammdaten!P$24,Bewertung_Stammdaten!O$24,IF(AI50&lt;Bewertung_Stammdaten!P$25,Bewertung_Stammdaten!O$25,IF(AI50&lt;Bewertung_Stammdaten!P$26,Bewertung_Stammdaten!O$26,IF(AI50&lt;Bewertung_Stammdaten!P$27,Bewertung_Stammdaten!O$27,IF(AI50&lt;Bewertung_Stammdaten!P$28,Bewertung_Stammdaten!O$28,IF(AI50&lt;Bewertung_Stammdaten!P$29,Bewertung_Stammdaten!O$29,IF(AI50&lt;Bewertung_Stammdaten!P$30,Bewertung_Stammdaten!O$30,IF(AI50&lt;Bewertung_Stammdaten!P$31,Bewertung_Stammdaten!O$31,IF(AI50&lt;Bewertung_Stammdaten!P$32,Bewertung_Stammdaten!O$32,Bewertung_Stammdaten!O$33)))))))))</f>
        <v>10</v>
      </c>
      <c r="AN50" s="33">
        <f>IF(AJ50&lt;Bewertung_Stammdaten!R$24,Bewertung_Stammdaten!Q$24,IF(AJ50&lt;Bewertung_Stammdaten!R$25,Bewertung_Stammdaten!Q$25,IF(AJ50&lt;Bewertung_Stammdaten!R$26,Bewertung_Stammdaten!Q$26,IF(AJ50&lt;Bewertung_Stammdaten!R$27,Bewertung_Stammdaten!Q$27,IF(AJ50&lt;Bewertung_Stammdaten!R$28,Bewertung_Stammdaten!Q$28,IF(AJ50&lt;Bewertung_Stammdaten!R$29,Bewertung_Stammdaten!Q$29,IF(AJ50&lt;Bewertung_Stammdaten!R$30,Bewertung_Stammdaten!Q$30,IF(AJ50&lt;Bewertung_Stammdaten!R$31,Bewertung_Stammdaten!Q$31,IF(AJ50&lt;Bewertung_Stammdaten!R$32,Bewertung_Stammdaten!Q$32,Bewertung_Stammdaten!Q$33)))))))))</f>
        <v>8</v>
      </c>
      <c r="AO50" s="33">
        <f ca="1">IF(AL50&lt;Bewertung_Stammdaten!T$24,Bewertung_Stammdaten!S$24,IF(AL50&lt;Bewertung_Stammdaten!T$25,Bewertung_Stammdaten!S$25,IF(AL50&lt;Bewertung_Stammdaten!T$26,Bewertung_Stammdaten!S$26,IF(AL50&lt;Bewertung_Stammdaten!T$27,Bewertung_Stammdaten!S$27,IF(AL50&lt;Bewertung_Stammdaten!T$28,Bewertung_Stammdaten!S$28,IF(AL50&lt;Bewertung_Stammdaten!T$29,Bewertung_Stammdaten!S$29,IF(AL50&lt;Bewertung_Stammdaten!T$30,Bewertung_Stammdaten!S$30,IF(AL50&lt;Bewertung_Stammdaten!T$31,Bewertung_Stammdaten!S$31,IF(AL50&lt;Bewertung_Stammdaten!T$32,Bewertung_Stammdaten!S$32,Bewertung_Stammdaten!S$33)))))))))</f>
        <v>7</v>
      </c>
      <c r="AP50" s="44"/>
      <c r="AQ50" s="12">
        <f ca="1">VLOOKUP(A50,Dividendenrendite!A3:R68,17,FALSE)</f>
        <v>5.260105888244973E-2</v>
      </c>
      <c r="AR50" s="12">
        <f>VLOOKUP(A50,Dividendenrendite!A3:R68,16,FALSE)</f>
        <v>4.3718131548746389E-2</v>
      </c>
      <c r="AS50" s="12">
        <f ca="1">VLOOKUP(A50,Dividendenrendite!A3:R68,18,FALSE)</f>
        <v>0.20318634440721106</v>
      </c>
      <c r="AT50" s="33">
        <f ca="1">IF(AQ50&lt;Bewertung_Stammdaten!D$11,Bewertung_Stammdaten!C$11,IF(AQ50&lt;Bewertung_Stammdaten!D$12,Bewertung_Stammdaten!C$12,IF(AQ50&lt;Bewertung_Stammdaten!D$13,Bewertung_Stammdaten!C$13,IF(AQ50&lt;Bewertung_Stammdaten!D$14,Bewertung_Stammdaten!C$14,IF(AQ50&lt;Bewertung_Stammdaten!D$15,Bewertung_Stammdaten!C$15,IF(AQ50&lt;Bewertung_Stammdaten!D$16,Bewertung_Stammdaten!C$16,IF(AQ50&lt;Bewertung_Stammdaten!D$17,Bewertung_Stammdaten!C$17,IF(AQ50&lt;Bewertung_Stammdaten!D$18,Bewertung_Stammdaten!C$18,IF(AQ50&lt;Bewertung_Stammdaten!D$19,Bewertung_Stammdaten!C$19,Bewertung_Stammdaten!C$20)))))))))</f>
        <v>15</v>
      </c>
      <c r="AU50" s="33">
        <f>IF(AR50&lt;Bewertung_Stammdaten!T$11,Bewertung_Stammdaten!S$11,IF(AR50&lt;Bewertung_Stammdaten!T$12,Bewertung_Stammdaten!S$12,IF(AR50&lt;Bewertung_Stammdaten!T$13,Bewertung_Stammdaten!S$13,IF(AR50&lt;Bewertung_Stammdaten!T$14,Bewertung_Stammdaten!S$14,IF(AR50&lt;Bewertung_Stammdaten!T$15,Bewertung_Stammdaten!S$15,IF(AR50&lt;Bewertung_Stammdaten!T$16,Bewertung_Stammdaten!S$16,IF(AR50&lt;Bewertung_Stammdaten!T$17,Bewertung_Stammdaten!S$17,IF(AR50&lt;Bewertung_Stammdaten!T$18,Bewertung_Stammdaten!S$18,IF(AR50&lt;Bewertung_Stammdaten!T$19,Bewertung_Stammdaten!S$19,Bewertung_Stammdaten!S$20)))))))))</f>
        <v>9</v>
      </c>
      <c r="AV50" s="33">
        <f ca="1">IF(AS50&lt;Bewertung_Stammdaten!F$11,Bewertung_Stammdaten!E$11,IF(AS50&lt;Bewertung_Stammdaten!F$12,Bewertung_Stammdaten!E$12,IF(AS50&lt;Bewertung_Stammdaten!F$13,Bewertung_Stammdaten!E$13,IF(AS50&lt;Bewertung_Stammdaten!F$14,Bewertung_Stammdaten!E$14,IF(AS50&lt;Bewertung_Stammdaten!F$15,Bewertung_Stammdaten!E$15,IF(AS50&lt;Bewertung_Stammdaten!F$16,Bewertung_Stammdaten!E$16,IF(AS50&lt;Bewertung_Stammdaten!F$17,Bewertung_Stammdaten!E$17,IF(AS50&lt;Bewertung_Stammdaten!F$18,Bewertung_Stammdaten!E$18,IF(AS50&lt;Bewertung_Stammdaten!F$19,Bewertung_Stammdaten!E$19,Bewertung_Stammdaten!E$20)))))))))</f>
        <v>5</v>
      </c>
      <c r="AW50" s="44"/>
      <c r="AX50" s="12">
        <f>VLOOKUP(A50,Aktien_im_Umlauf_splitbereinigt!A3:Z68,26,FALSE)</f>
        <v>-2.6431718061673992E-2</v>
      </c>
      <c r="AY50" s="12">
        <f>VLOOKUP(A50,Aktien_im_Umlauf_splitbereinigt!A3:Y68,24,FALSE)</f>
        <v>-4.1886139033127455E-2</v>
      </c>
      <c r="AZ50" s="12">
        <f>VLOOKUP(A50,Aktien_im_Umlauf_splitbereinigt!A3:Y68,25,FALSE)</f>
        <v>-0.36896265275800832</v>
      </c>
      <c r="BA50" s="42">
        <f>IF(AX50&lt;Bewertung_Stammdaten!J$24,Bewertung_Stammdaten!I$24,IF(AX50&lt;Bewertung_Stammdaten!J$25,Bewertung_Stammdaten!I$25,IF(AX50&lt;Bewertung_Stammdaten!J$26,Bewertung_Stammdaten!I$26,IF(AX50&lt;Bewertung_Stammdaten!J$27,Bewertung_Stammdaten!I$27,IF(AX50&lt;Bewertung_Stammdaten!J$28,Bewertung_Stammdaten!I$28,IF(AX50&lt;Bewertung_Stammdaten!J$29,Bewertung_Stammdaten!I$29,IF(AX50&lt;Bewertung_Stammdaten!J$30,Bewertung_Stammdaten!I$30,IF(AX50&lt;Bewertung_Stammdaten!J$31,Bewertung_Stammdaten!I$31,IF(AX50&lt;Bewertung_Stammdaten!J$32,Bewertung_Stammdaten!I$32,Bewertung_Stammdaten!I$33)))))))))</f>
        <v>8</v>
      </c>
      <c r="BB50" s="42">
        <f>IF(AY50&lt;Bewertung_Stammdaten!L$24,Bewertung_Stammdaten!K$24,IF(AY50&lt;Bewertung_Stammdaten!L$25,Bewertung_Stammdaten!K$25,IF(AY50&lt;Bewertung_Stammdaten!L$26,Bewertung_Stammdaten!K$26,IF(AY50&lt;Bewertung_Stammdaten!L$27,Bewertung_Stammdaten!K$27,IF(AY50&lt;Bewertung_Stammdaten!L$28,Bewertung_Stammdaten!K$28,IF(AY50&lt;Bewertung_Stammdaten!L$29,Bewertung_Stammdaten!K$29,IF(AY50&lt;Bewertung_Stammdaten!L$30,Bewertung_Stammdaten!K$30,IF(AY50&lt;Bewertung_Stammdaten!L$31,Bewertung_Stammdaten!K$31,IF(AY50&lt;Bewertung_Stammdaten!L$32,Bewertung_Stammdaten!K$32,Bewertung_Stammdaten!K$33)))))))))</f>
        <v>10</v>
      </c>
      <c r="BC50" s="42">
        <f>IF(AZ50&lt;Bewertung_Stammdaten!N$24,Bewertung_Stammdaten!M$24,IF(AZ50&lt;Bewertung_Stammdaten!N$25,Bewertung_Stammdaten!M$25,IF(AZ50&lt;Bewertung_Stammdaten!N$26,Bewertung_Stammdaten!M$26,IF(AZ50&lt;Bewertung_Stammdaten!N$27,Bewertung_Stammdaten!M$27,IF(AZ50&lt;Bewertung_Stammdaten!N$28,Bewertung_Stammdaten!M$28,IF(AZ50&lt;Bewertung_Stammdaten!N$29,Bewertung_Stammdaten!M$29,IF(AZ50&lt;Bewertung_Stammdaten!N$30,Bewertung_Stammdaten!M$30,IF(AZ50&lt;Bewertung_Stammdaten!N$31,Bewertung_Stammdaten!M$31,IF(AZ50&lt;Bewertung_Stammdaten!N$32,Bewertung_Stammdaten!M$32,Bewertung_Stammdaten!M$33)))))))))</f>
        <v>2</v>
      </c>
      <c r="BD50" s="44"/>
      <c r="BE50" s="12">
        <f ca="1">VLOOKUP(A50,Ausschüttungsquote!A3:X68,23,FALSE)</f>
        <v>0.95032789529235018</v>
      </c>
      <c r="BF50" s="12">
        <f>VLOOKUP(A50,Ausschüttungsquote!A3:X68,19,FALSE)</f>
        <v>0.72411501711458492</v>
      </c>
      <c r="BG50" s="12">
        <f ca="1">VLOOKUP(A50,Ausschüttungsquote!A3:X68,24,FALSE)</f>
        <v>0.31239909797640486</v>
      </c>
      <c r="BH50" s="33">
        <f ca="1">IF(BE50&lt;Bewertung_Stammdaten!H$11,Bewertung_Stammdaten!G$11,IF(BE50&lt;Bewertung_Stammdaten!H$12,Bewertung_Stammdaten!G$12,IF(BE50&lt;Bewertung_Stammdaten!H$13,Bewertung_Stammdaten!G$13,IF(BE50&lt;Bewertung_Stammdaten!H$14,Bewertung_Stammdaten!G$14,IF(BE50&lt;Bewertung_Stammdaten!H$15,Bewertung_Stammdaten!G$15,IF(BE50&lt;Bewertung_Stammdaten!H$16,Bewertung_Stammdaten!G$16,IF(BE50&lt;Bewertung_Stammdaten!H$17,Bewertung_Stammdaten!G$17,IF(BE50&lt;Bewertung_Stammdaten!H$18,Bewertung_Stammdaten!G$18,IF(BE50&lt;Bewertung_Stammdaten!H$19,Bewertung_Stammdaten!G$19,Bewertung_Stammdaten!G$20)))))))))</f>
        <v>1</v>
      </c>
      <c r="BI50" s="42">
        <f>IF(BF50&lt;Bewertung_Stammdaten!B$24,Bewertung_Stammdaten!A$24,IF(BF50&lt;Bewertung_Stammdaten!B$25,Bewertung_Stammdaten!A$25,IF(BF50&lt;Bewertung_Stammdaten!B$26,Bewertung_Stammdaten!A$26,IF(BF50&lt;Bewertung_Stammdaten!B$27,Bewertung_Stammdaten!A$27,IF(BF50&lt;Bewertung_Stammdaten!B$28,Bewertung_Stammdaten!A$28,IF(BF50&lt;Bewertung_Stammdaten!B$29,Bewertung_Stammdaten!A$29,IF(BF50&lt;Bewertung_Stammdaten!B$30,Bewertung_Stammdaten!A$30,IF(BF50&lt;Bewertung_Stammdaten!B$31,Bewertung_Stammdaten!A$31,IF(BF50&lt;Bewertung_Stammdaten!B$32,Bewertung_Stammdaten!A$32,Bewertung_Stammdaten!A$33)))))))))</f>
        <v>3</v>
      </c>
      <c r="BJ50" s="33">
        <f ca="1">IF(BG50&lt;Bewertung_Stammdaten!J$11,Bewertung_Stammdaten!I$11,IF(BG50&lt;Bewertung_Stammdaten!J$12,Bewertung_Stammdaten!I$12,IF(BG50&lt;Bewertung_Stammdaten!J$13,Bewertung_Stammdaten!I$13,IF(BG50&lt;Bewertung_Stammdaten!J$14,Bewertung_Stammdaten!I$14,IF(BG50&lt;Bewertung_Stammdaten!J$15,Bewertung_Stammdaten!I$15,IF(BG50&lt;Bewertung_Stammdaten!J$16,Bewertung_Stammdaten!I$16,IF(BG50&lt;Bewertung_Stammdaten!J$17,Bewertung_Stammdaten!I$17,IF(BG50&lt;Bewertung_Stammdaten!J$18,Bewertung_Stammdaten!I$18,IF(BG50&lt;Bewertung_Stammdaten!J$19,Bewertung_Stammdaten!I$19,Bewertung_Stammdaten!I$20)))))))))</f>
        <v>1</v>
      </c>
    </row>
    <row r="51" spans="1:62" x14ac:dyDescent="0.25">
      <c r="A51" s="39" t="s">
        <v>96</v>
      </c>
      <c r="B51" s="39" t="s">
        <v>97</v>
      </c>
      <c r="C51" s="33">
        <f t="shared" ca="1" si="8"/>
        <v>133</v>
      </c>
      <c r="D51" s="44"/>
      <c r="E51" s="11">
        <f ca="1">VLOOKUP(A51,KGV!A3:R68,17,FALSE)</f>
        <v>19.859775911119506</v>
      </c>
      <c r="F51" s="11">
        <f>VLOOKUP(A51,KGV!A3:R68,16,FALSE)</f>
        <v>17.997058823529411</v>
      </c>
      <c r="G51" s="12">
        <f ca="1">VLOOKUP(A51,KGV!A3:R68,18,FALSE)</f>
        <v>0.1035011946037967</v>
      </c>
      <c r="H51" s="16">
        <f t="shared" ca="1" si="9"/>
        <v>21.582032900701684</v>
      </c>
      <c r="I51" s="12">
        <f t="shared" ca="1" si="10"/>
        <v>0.19919777516564352</v>
      </c>
      <c r="J51" s="33">
        <f ca="1">IF(G51&lt;Bewertung_Stammdaten!B$11,Bewertung_Stammdaten!A$11,IF(G51&lt;Bewertung_Stammdaten!B$12,Bewertung_Stammdaten!A$12,IF(G51&lt;Bewertung_Stammdaten!B$13,Bewertung_Stammdaten!A$13,IF(G51&lt;Bewertung_Stammdaten!B$14,Bewertung_Stammdaten!A$14,IF(G51&lt;Bewertung_Stammdaten!B$15,Bewertung_Stammdaten!A$15,IF(G51&lt;Bewertung_Stammdaten!B$16,Bewertung_Stammdaten!A$16,IF(G51&lt;Bewertung_Stammdaten!B$17,Bewertung_Stammdaten!A$17,IF(G51&lt;Bewertung_Stammdaten!B$18,Bewertung_Stammdaten!A$18,IF(G51&lt;Bewertung_Stammdaten!B$19,Bewertung_Stammdaten!A$19,Bewertung_Stammdaten!A$20)))))))))</f>
        <v>12</v>
      </c>
      <c r="K51" s="33">
        <f ca="1">IF(I51&lt;Bewertung_Stammdaten!N$11,Bewertung_Stammdaten!M$11,IF(I51&lt;Bewertung_Stammdaten!N$12,Bewertung_Stammdaten!M$12,IF(I51&lt;Bewertung_Stammdaten!N$13,Bewertung_Stammdaten!M$13,IF(I51&lt;Bewertung_Stammdaten!N$14,Bewertung_Stammdaten!M$14,IF(I51&lt;Bewertung_Stammdaten!N$15,Bewertung_Stammdaten!M$15,IF(I51&lt;Bewertung_Stammdaten!N$16,Bewertung_Stammdaten!M$16,IF(I51&lt;Bewertung_Stammdaten!N$17,Bewertung_Stammdaten!M$17,IF(I51&lt;Bewertung_Stammdaten!N$18,Bewertung_Stammdaten!M$18,IF(I51&lt;Bewertung_Stammdaten!N$19,Bewertung_Stammdaten!M$19,Bewertung_Stammdaten!M$20)))))))))</f>
        <v>9</v>
      </c>
      <c r="L51" s="44"/>
      <c r="M51" s="11">
        <f ca="1">VLOOKUP(A51,Buchwert_je_Aktie!A3:AK68,23,FALSE)</f>
        <v>23.25888888888889</v>
      </c>
      <c r="N51" s="11">
        <f>VLOOKUP(A51,Buchwert_je_Aktie!A3:AK68,19,FALSE)</f>
        <v>23.019166666666667</v>
      </c>
      <c r="O51" s="12">
        <f ca="1">VLOOKUP(A51,Buchwert_je_Aktie!A3:AK68,24,FALSE)</f>
        <v>1.0414026958211142E-2</v>
      </c>
      <c r="P51" s="12">
        <f>VLOOKUP(A51,Buchwert_je_Aktie!A3:AK68,37,FALSE)</f>
        <v>-8.2352941176470629E-2</v>
      </c>
      <c r="Q51" s="16">
        <f t="shared" ca="1" si="11"/>
        <v>21.343450980392156</v>
      </c>
      <c r="R51" s="12">
        <f t="shared" ca="1" si="12"/>
        <v>-7.2796539967759255E-2</v>
      </c>
      <c r="S51" s="53">
        <f ca="1">IF(O51&lt;Bewertung_Stammdaten!D$24,Bewertung_Stammdaten!C$24,IF(O51&lt;Bewertung_Stammdaten!D$25,Bewertung_Stammdaten!C$25,IF(O51&lt;Bewertung_Stammdaten!D$26,Bewertung_Stammdaten!C$26,IF(O51&lt;Bewertung_Stammdaten!D$27,Bewertung_Stammdaten!C$27,IF(O51&lt;Bewertung_Stammdaten!D$28,Bewertung_Stammdaten!C$28,IF(O51&lt;Bewertung_Stammdaten!D$29,Bewertung_Stammdaten!C$29,IF(O51&lt;Bewertung_Stammdaten!D$30,Bewertung_Stammdaten!C$30,IF(O51&lt;Bewertung_Stammdaten!D$31,Bewertung_Stammdaten!C$31,IF(O51&lt;Bewertung_Stammdaten!D$32,Bewertung_Stammdaten!C$32,Bewertung_Stammdaten!C$33)))))))))</f>
        <v>4.5</v>
      </c>
      <c r="T51" s="53">
        <f>IF(P51&lt;Bewertung_Stammdaten!F$24,Bewertung_Stammdaten!E$24,IF(P51&lt;Bewertung_Stammdaten!F$25,Bewertung_Stammdaten!E$25,IF(P51&lt;Bewertung_Stammdaten!F$26,Bewertung_Stammdaten!E$26,IF(P51&lt;Bewertung_Stammdaten!F$27,Bewertung_Stammdaten!E$27,IF(P51&lt;Bewertung_Stammdaten!F$28,Bewertung_Stammdaten!E$28,IF(P51&lt;Bewertung_Stammdaten!F$29,Bewertung_Stammdaten!E$29,IF(P51&lt;Bewertung_Stammdaten!F$30,Bewertung_Stammdaten!E$30,IF(P51&lt;Bewertung_Stammdaten!F$31,Bewertung_Stammdaten!E$31,IF(P51&lt;Bewertung_Stammdaten!F$32,Bewertung_Stammdaten!E$32,Bewertung_Stammdaten!E$33)))))))))</f>
        <v>9</v>
      </c>
      <c r="U51" s="53">
        <f ca="1">IF(R51&lt;Bewertung_Stammdaten!H$24,Bewertung_Stammdaten!G$24,IF(R51&lt;Bewertung_Stammdaten!H$25,Bewertung_Stammdaten!G$25,IF(R51&lt;Bewertung_Stammdaten!H$26,Bewertung_Stammdaten!G$26,IF(R51&lt;Bewertung_Stammdaten!H$27,Bewertung_Stammdaten!G$27,IF(R51&lt;Bewertung_Stammdaten!H$28,Bewertung_Stammdaten!G$28,IF(R51&lt;Bewertung_Stammdaten!H$29,Bewertung_Stammdaten!G$29,IF(R51&lt;Bewertung_Stammdaten!H$30,Bewertung_Stammdaten!G$30,IF(R51&lt;Bewertung_Stammdaten!H$31,Bewertung_Stammdaten!G$31,IF(R51&lt;Bewertung_Stammdaten!H$32,Bewertung_Stammdaten!G$32,Bewertung_Stammdaten!G$33)))))))))</f>
        <v>2</v>
      </c>
      <c r="V51" s="44"/>
      <c r="W51" s="14">
        <f ca="1">VLOOKUP(A51,Ergebnis_je_Aktie_verwässert!A3:AK68,23,FALSE)</f>
        <v>4.120388888888888</v>
      </c>
      <c r="X51" s="14">
        <f>VLOOKUP(A51,Ergebnis_je_Aktie_verwässert!A3:AK68,19,FALSE)</f>
        <v>3.6023076923076922</v>
      </c>
      <c r="Y51" s="12">
        <f ca="1">VLOOKUP(A51,Ergebnis_je_Aktie_verwässert!A3:AK68,24,FALSE)</f>
        <v>0.14381925166678511</v>
      </c>
      <c r="Z51" s="41">
        <f>VLOOKUP(A51,Ergebnis_je_Aktie_verwässert!A3:AK68,37,FALSE)</f>
        <v>-7.9800498753117122E-2</v>
      </c>
      <c r="AA51" s="16">
        <f t="shared" ca="1" si="13"/>
        <v>3.7915798004987527</v>
      </c>
      <c r="AB51" s="12">
        <f t="shared" ca="1" si="14"/>
        <v>5.2541904900358372E-2</v>
      </c>
      <c r="AC51" s="33">
        <f ca="1">IF(Y51&lt;Bewertung_Stammdaten!L$11,Bewertung_Stammdaten!K$11,IF(Y51&lt;Bewertung_Stammdaten!L$12,Bewertung_Stammdaten!K$12,IF(Y51&lt;Bewertung_Stammdaten!L$13,Bewertung_Stammdaten!K$13,IF(Y51&lt;Bewertung_Stammdaten!L$14,Bewertung_Stammdaten!K$14,IF(Y51&lt;Bewertung_Stammdaten!L$15,Bewertung_Stammdaten!K$15,IF(Y51&lt;Bewertung_Stammdaten!L$16,Bewertung_Stammdaten!K$16,IF(Y51&lt;Bewertung_Stammdaten!L$17,Bewertung_Stammdaten!K$17,IF(Y51&lt;Bewertung_Stammdaten!L$18,Bewertung_Stammdaten!K$18,IF(Y51&lt;Bewertung_Stammdaten!L$19,Bewertung_Stammdaten!K$19,Bewertung_Stammdaten!K$20)))))))))</f>
        <v>8</v>
      </c>
      <c r="AD51" s="33">
        <f>IF(Z51&lt;Bewertung_Stammdaten!R$11,Bewertung_Stammdaten!Q$11,IF(Z51&lt;Bewertung_Stammdaten!R$12,Bewertung_Stammdaten!Q$12,IF(Z51&lt;Bewertung_Stammdaten!R$13,Bewertung_Stammdaten!Q$13,IF(Z51&lt;Bewertung_Stammdaten!R$14,Bewertung_Stammdaten!Q$14,IF(Z51&lt;Bewertung_Stammdaten!R$15,Bewertung_Stammdaten!Q$15,IF(Z51&lt;Bewertung_Stammdaten!R$16,Bewertung_Stammdaten!Q$16,IF(Z51&lt;Bewertung_Stammdaten!R$17,Bewertung_Stammdaten!Q$17,IF(Z51&lt;Bewertung_Stammdaten!R$18,Bewertung_Stammdaten!Q$18,IF(Z51&lt;Bewertung_Stammdaten!R$19,Bewertung_Stammdaten!Q$19,Bewertung_Stammdaten!Q$20)))))))))</f>
        <v>7</v>
      </c>
      <c r="AE51" s="33">
        <f ca="1">IF(AB51&lt;Bewertung_Stammdaten!P$11,Bewertung_Stammdaten!O$11,IF(AB51&lt;Bewertung_Stammdaten!P$12,Bewertung_Stammdaten!O$12,IF(AB51&lt;Bewertung_Stammdaten!P$13,Bewertung_Stammdaten!O$13,IF(AB51&lt;Bewertung_Stammdaten!P$14,Bewertung_Stammdaten!O$14,IF(AB51&lt;Bewertung_Stammdaten!P$15,Bewertung_Stammdaten!O$15,IF(AB51&lt;Bewertung_Stammdaten!P$16,Bewertung_Stammdaten!O$16,IF(AB51&lt;Bewertung_Stammdaten!P$17,Bewertung_Stammdaten!O$17,IF(AB51&lt;Bewertung_Stammdaten!P$18,Bewertung_Stammdaten!O$18,IF(AB51&lt;Bewertung_Stammdaten!P$19,Bewertung_Stammdaten!O$19,Bewertung_Stammdaten!O$20)))))))))</f>
        <v>5</v>
      </c>
      <c r="AF51" s="44"/>
      <c r="AG51" s="14">
        <f ca="1">VLOOKUP(A51,Dividende_je_Aktie!A3:AM68,24,FALSE)</f>
        <v>2.7411111111111111</v>
      </c>
      <c r="AH51" s="14">
        <f>VLOOKUP(A51,Dividende_je_Aktie!A3:AM68,20,FALSE)</f>
        <v>1.8957142857142857</v>
      </c>
      <c r="AI51" s="12">
        <f ca="1">VLOOKUP(A51,Dividende_je_Aktie!A3:AM68,25,FALSE)</f>
        <v>0.44595160344971951</v>
      </c>
      <c r="AJ51" s="41">
        <f>VLOOKUP(A51,Dividende_je_Aktie!A3:AM68,39,FALSE)</f>
        <v>6.1224489795918435E-2</v>
      </c>
      <c r="AK51" s="16">
        <f t="shared" ca="1" si="6"/>
        <v>2.7411111111111111</v>
      </c>
      <c r="AL51" s="12">
        <f t="shared" ca="1" si="7"/>
        <v>0.44595160344971951</v>
      </c>
      <c r="AM51" s="33">
        <f ca="1">IF(AI51&lt;Bewertung_Stammdaten!P$24,Bewertung_Stammdaten!O$24,IF(AI51&lt;Bewertung_Stammdaten!P$25,Bewertung_Stammdaten!O$25,IF(AI51&lt;Bewertung_Stammdaten!P$26,Bewertung_Stammdaten!O$26,IF(AI51&lt;Bewertung_Stammdaten!P$27,Bewertung_Stammdaten!O$27,IF(AI51&lt;Bewertung_Stammdaten!P$28,Bewertung_Stammdaten!O$28,IF(AI51&lt;Bewertung_Stammdaten!P$29,Bewertung_Stammdaten!O$29,IF(AI51&lt;Bewertung_Stammdaten!P$30,Bewertung_Stammdaten!O$30,IF(AI51&lt;Bewertung_Stammdaten!P$31,Bewertung_Stammdaten!O$31,IF(AI51&lt;Bewertung_Stammdaten!P$32,Bewertung_Stammdaten!O$32,Bewertung_Stammdaten!O$33)))))))))</f>
        <v>14</v>
      </c>
      <c r="AN51" s="33">
        <f>IF(AJ51&lt;Bewertung_Stammdaten!R$24,Bewertung_Stammdaten!Q$24,IF(AJ51&lt;Bewertung_Stammdaten!R$25,Bewertung_Stammdaten!Q$25,IF(AJ51&lt;Bewertung_Stammdaten!R$26,Bewertung_Stammdaten!Q$26,IF(AJ51&lt;Bewertung_Stammdaten!R$27,Bewertung_Stammdaten!Q$27,IF(AJ51&lt;Bewertung_Stammdaten!R$28,Bewertung_Stammdaten!Q$28,IF(AJ51&lt;Bewertung_Stammdaten!R$29,Bewertung_Stammdaten!Q$29,IF(AJ51&lt;Bewertung_Stammdaten!R$30,Bewertung_Stammdaten!Q$30,IF(AJ51&lt;Bewertung_Stammdaten!R$31,Bewertung_Stammdaten!Q$31,IF(AJ51&lt;Bewertung_Stammdaten!R$32,Bewertung_Stammdaten!Q$32,Bewertung_Stammdaten!Q$33)))))))))</f>
        <v>8</v>
      </c>
      <c r="AO51" s="33">
        <f ca="1">IF(AL51&lt;Bewertung_Stammdaten!T$24,Bewertung_Stammdaten!S$24,IF(AL51&lt;Bewertung_Stammdaten!T$25,Bewertung_Stammdaten!S$25,IF(AL51&lt;Bewertung_Stammdaten!T$26,Bewertung_Stammdaten!S$26,IF(AL51&lt;Bewertung_Stammdaten!T$27,Bewertung_Stammdaten!S$27,IF(AL51&lt;Bewertung_Stammdaten!T$28,Bewertung_Stammdaten!S$28,IF(AL51&lt;Bewertung_Stammdaten!T$29,Bewertung_Stammdaten!S$29,IF(AL51&lt;Bewertung_Stammdaten!T$30,Bewertung_Stammdaten!S$30,IF(AL51&lt;Bewertung_Stammdaten!T$31,Bewertung_Stammdaten!S$31,IF(AL51&lt;Bewertung_Stammdaten!T$32,Bewertung_Stammdaten!S$32,Bewertung_Stammdaten!S$33)))))))))</f>
        <v>8</v>
      </c>
      <c r="AP51" s="44"/>
      <c r="AQ51" s="12">
        <f ca="1">VLOOKUP(A51,Dividendenrendite!A3:R68,17,FALSE)</f>
        <v>3.349763058916181E-2</v>
      </c>
      <c r="AR51" s="12">
        <f>VLOOKUP(A51,Dividendenrendite!A3:R68,16,FALSE)</f>
        <v>2.7431815998294643E-2</v>
      </c>
      <c r="AS51" s="12">
        <f ca="1">VLOOKUP(A51,Dividendenrendite!A3:R68,18,FALSE)</f>
        <v>0.22112333325815037</v>
      </c>
      <c r="AT51" s="33">
        <f ca="1">IF(AQ51&lt;Bewertung_Stammdaten!D$11,Bewertung_Stammdaten!C$11,IF(AQ51&lt;Bewertung_Stammdaten!D$12,Bewertung_Stammdaten!C$12,IF(AQ51&lt;Bewertung_Stammdaten!D$13,Bewertung_Stammdaten!C$13,IF(AQ51&lt;Bewertung_Stammdaten!D$14,Bewertung_Stammdaten!C$14,IF(AQ51&lt;Bewertung_Stammdaten!D$15,Bewertung_Stammdaten!C$15,IF(AQ51&lt;Bewertung_Stammdaten!D$16,Bewertung_Stammdaten!C$16,IF(AQ51&lt;Bewertung_Stammdaten!D$17,Bewertung_Stammdaten!C$17,IF(AQ51&lt;Bewertung_Stammdaten!D$18,Bewertung_Stammdaten!C$18,IF(AQ51&lt;Bewertung_Stammdaten!D$19,Bewertung_Stammdaten!C$19,Bewertung_Stammdaten!C$20)))))))))</f>
        <v>10.5</v>
      </c>
      <c r="AU51" s="33">
        <f>IF(AR51&lt;Bewertung_Stammdaten!T$11,Bewertung_Stammdaten!S$11,IF(AR51&lt;Bewertung_Stammdaten!T$12,Bewertung_Stammdaten!S$12,IF(AR51&lt;Bewertung_Stammdaten!T$13,Bewertung_Stammdaten!S$13,IF(AR51&lt;Bewertung_Stammdaten!T$14,Bewertung_Stammdaten!S$14,IF(AR51&lt;Bewertung_Stammdaten!T$15,Bewertung_Stammdaten!S$15,IF(AR51&lt;Bewertung_Stammdaten!T$16,Bewertung_Stammdaten!S$16,IF(AR51&lt;Bewertung_Stammdaten!T$17,Bewertung_Stammdaten!S$17,IF(AR51&lt;Bewertung_Stammdaten!T$18,Bewertung_Stammdaten!S$18,IF(AR51&lt;Bewertung_Stammdaten!T$19,Bewertung_Stammdaten!S$19,Bewertung_Stammdaten!S$20)))))))))</f>
        <v>6</v>
      </c>
      <c r="AV51" s="33">
        <f ca="1">IF(AS51&lt;Bewertung_Stammdaten!F$11,Bewertung_Stammdaten!E$11,IF(AS51&lt;Bewertung_Stammdaten!F$12,Bewertung_Stammdaten!E$12,IF(AS51&lt;Bewertung_Stammdaten!F$13,Bewertung_Stammdaten!E$13,IF(AS51&lt;Bewertung_Stammdaten!F$14,Bewertung_Stammdaten!E$14,IF(AS51&lt;Bewertung_Stammdaten!F$15,Bewertung_Stammdaten!E$15,IF(AS51&lt;Bewertung_Stammdaten!F$16,Bewertung_Stammdaten!E$16,IF(AS51&lt;Bewertung_Stammdaten!F$17,Bewertung_Stammdaten!E$17,IF(AS51&lt;Bewertung_Stammdaten!F$18,Bewertung_Stammdaten!E$18,IF(AS51&lt;Bewertung_Stammdaten!F$19,Bewertung_Stammdaten!E$19,Bewertung_Stammdaten!E$20)))))))))</f>
        <v>5</v>
      </c>
      <c r="AW51" s="44"/>
      <c r="AX51" s="12">
        <f>VLOOKUP(A51,Aktien_im_Umlauf_splitbereinigt!A3:Z68,26,FALSE)</f>
        <v>-1.1305616338439073E-2</v>
      </c>
      <c r="AY51" s="12">
        <f>VLOOKUP(A51,Aktien_im_Umlauf_splitbereinigt!A3:Y68,24,FALSE)</f>
        <v>-1.9634830416859761E-2</v>
      </c>
      <c r="AZ51" s="12">
        <f>VLOOKUP(A51,Aktien_im_Umlauf_splitbereinigt!A3:Y68,25,FALSE)</f>
        <v>-0.42420606145234008</v>
      </c>
      <c r="BA51" s="42">
        <f>IF(AX51&lt;Bewertung_Stammdaten!J$24,Bewertung_Stammdaten!I$24,IF(AX51&lt;Bewertung_Stammdaten!J$25,Bewertung_Stammdaten!I$25,IF(AX51&lt;Bewertung_Stammdaten!J$26,Bewertung_Stammdaten!I$26,IF(AX51&lt;Bewertung_Stammdaten!J$27,Bewertung_Stammdaten!I$27,IF(AX51&lt;Bewertung_Stammdaten!J$28,Bewertung_Stammdaten!I$28,IF(AX51&lt;Bewertung_Stammdaten!J$29,Bewertung_Stammdaten!I$29,IF(AX51&lt;Bewertung_Stammdaten!J$30,Bewertung_Stammdaten!I$30,IF(AX51&lt;Bewertung_Stammdaten!J$31,Bewertung_Stammdaten!I$31,IF(AX51&lt;Bewertung_Stammdaten!J$32,Bewertung_Stammdaten!I$32,Bewertung_Stammdaten!I$33)))))))))</f>
        <v>5</v>
      </c>
      <c r="BB51" s="42">
        <f>IF(AY51&lt;Bewertung_Stammdaten!L$24,Bewertung_Stammdaten!K$24,IF(AY51&lt;Bewertung_Stammdaten!L$25,Bewertung_Stammdaten!K$25,IF(AY51&lt;Bewertung_Stammdaten!L$26,Bewertung_Stammdaten!K$26,IF(AY51&lt;Bewertung_Stammdaten!L$27,Bewertung_Stammdaten!K$27,IF(AY51&lt;Bewertung_Stammdaten!L$28,Bewertung_Stammdaten!K$28,IF(AY51&lt;Bewertung_Stammdaten!L$29,Bewertung_Stammdaten!K$29,IF(AY51&lt;Bewertung_Stammdaten!L$30,Bewertung_Stammdaten!K$30,IF(AY51&lt;Bewertung_Stammdaten!L$31,Bewertung_Stammdaten!K$31,IF(AY51&lt;Bewertung_Stammdaten!L$32,Bewertung_Stammdaten!K$32,Bewertung_Stammdaten!K$33)))))))))</f>
        <v>6</v>
      </c>
      <c r="BC51" s="42">
        <f>IF(AZ51&lt;Bewertung_Stammdaten!N$24,Bewertung_Stammdaten!M$24,IF(AZ51&lt;Bewertung_Stammdaten!N$25,Bewertung_Stammdaten!M$25,IF(AZ51&lt;Bewertung_Stammdaten!N$26,Bewertung_Stammdaten!M$26,IF(AZ51&lt;Bewertung_Stammdaten!N$27,Bewertung_Stammdaten!M$27,IF(AZ51&lt;Bewertung_Stammdaten!N$28,Bewertung_Stammdaten!M$28,IF(AZ51&lt;Bewertung_Stammdaten!N$29,Bewertung_Stammdaten!M$29,IF(AZ51&lt;Bewertung_Stammdaten!N$30,Bewertung_Stammdaten!M$30,IF(AZ51&lt;Bewertung_Stammdaten!N$31,Bewertung_Stammdaten!M$31,IF(AZ51&lt;Bewertung_Stammdaten!N$32,Bewertung_Stammdaten!M$32,Bewertung_Stammdaten!M$33)))))))))</f>
        <v>2</v>
      </c>
      <c r="BD51" s="44"/>
      <c r="BE51" s="12">
        <f ca="1">VLOOKUP(A51,Ausschüttungsquote!A3:X68,23,FALSE)</f>
        <v>0.66689915477966155</v>
      </c>
      <c r="BF51" s="12">
        <f>VLOOKUP(A51,Ausschüttungsquote!A3:X68,19,FALSE)</f>
        <v>0.53444064519599366</v>
      </c>
      <c r="BG51" s="12">
        <f ca="1">VLOOKUP(A51,Ausschüttungsquote!A3:X68,24,FALSE)</f>
        <v>0.2478451270020674</v>
      </c>
      <c r="BH51" s="33">
        <f ca="1">IF(BE51&lt;Bewertung_Stammdaten!H$11,Bewertung_Stammdaten!G$11,IF(BE51&lt;Bewertung_Stammdaten!H$12,Bewertung_Stammdaten!G$12,IF(BE51&lt;Bewertung_Stammdaten!H$13,Bewertung_Stammdaten!G$13,IF(BE51&lt;Bewertung_Stammdaten!H$14,Bewertung_Stammdaten!G$14,IF(BE51&lt;Bewertung_Stammdaten!H$15,Bewertung_Stammdaten!G$15,IF(BE51&lt;Bewertung_Stammdaten!H$16,Bewertung_Stammdaten!G$16,IF(BE51&lt;Bewertung_Stammdaten!H$17,Bewertung_Stammdaten!G$17,IF(BE51&lt;Bewertung_Stammdaten!H$18,Bewertung_Stammdaten!G$18,IF(BE51&lt;Bewertung_Stammdaten!H$19,Bewertung_Stammdaten!G$19,Bewertung_Stammdaten!G$20)))))))))</f>
        <v>4</v>
      </c>
      <c r="BI51" s="42">
        <f>IF(BF51&lt;Bewertung_Stammdaten!B$24,Bewertung_Stammdaten!A$24,IF(BF51&lt;Bewertung_Stammdaten!B$25,Bewertung_Stammdaten!A$25,IF(BF51&lt;Bewertung_Stammdaten!B$26,Bewertung_Stammdaten!A$26,IF(BF51&lt;Bewertung_Stammdaten!B$27,Bewertung_Stammdaten!A$27,IF(BF51&lt;Bewertung_Stammdaten!B$28,Bewertung_Stammdaten!A$28,IF(BF51&lt;Bewertung_Stammdaten!B$29,Bewertung_Stammdaten!A$29,IF(BF51&lt;Bewertung_Stammdaten!B$30,Bewertung_Stammdaten!A$30,IF(BF51&lt;Bewertung_Stammdaten!B$31,Bewertung_Stammdaten!A$31,IF(BF51&lt;Bewertung_Stammdaten!B$32,Bewertung_Stammdaten!A$32,Bewertung_Stammdaten!A$33)))))))))</f>
        <v>7</v>
      </c>
      <c r="BJ51" s="33">
        <f ca="1">IF(BG51&lt;Bewertung_Stammdaten!J$11,Bewertung_Stammdaten!I$11,IF(BG51&lt;Bewertung_Stammdaten!J$12,Bewertung_Stammdaten!I$12,IF(BG51&lt;Bewertung_Stammdaten!J$13,Bewertung_Stammdaten!I$13,IF(BG51&lt;Bewertung_Stammdaten!J$14,Bewertung_Stammdaten!I$14,IF(BG51&lt;Bewertung_Stammdaten!J$15,Bewertung_Stammdaten!I$15,IF(BG51&lt;Bewertung_Stammdaten!J$16,Bewertung_Stammdaten!I$16,IF(BG51&lt;Bewertung_Stammdaten!J$17,Bewertung_Stammdaten!I$17,IF(BG51&lt;Bewertung_Stammdaten!J$18,Bewertung_Stammdaten!I$18,IF(BG51&lt;Bewertung_Stammdaten!J$19,Bewertung_Stammdaten!I$19,Bewertung_Stammdaten!I$20)))))))))</f>
        <v>1</v>
      </c>
    </row>
    <row r="52" spans="1:62" x14ac:dyDescent="0.25">
      <c r="A52" s="39" t="s">
        <v>98</v>
      </c>
      <c r="B52" s="39" t="s">
        <v>99</v>
      </c>
      <c r="C52" s="33">
        <f t="shared" ca="1" si="8"/>
        <v>136.5</v>
      </c>
      <c r="D52" s="44"/>
      <c r="E52" s="11">
        <f ca="1">VLOOKUP(A52,KGV!A3:R68,17,FALSE)</f>
        <v>13.015034087628523</v>
      </c>
      <c r="F52" s="11">
        <f>VLOOKUP(A52,KGV!A3:R68,16,FALSE)</f>
        <v>15.059090909090909</v>
      </c>
      <c r="G52" s="12">
        <f ca="1">VLOOKUP(A52,KGV!A3:R68,18,FALSE)</f>
        <v>-0.13573573821965734</v>
      </c>
      <c r="H52" s="16">
        <f t="shared" ca="1" si="9"/>
        <v>21.512453037402519</v>
      </c>
      <c r="I52" s="12">
        <f t="shared" ca="1" si="10"/>
        <v>0.42853596988486387</v>
      </c>
      <c r="J52" s="33">
        <f ca="1">IF(G52&lt;Bewertung_Stammdaten!B$11,Bewertung_Stammdaten!A$11,IF(G52&lt;Bewertung_Stammdaten!B$12,Bewertung_Stammdaten!A$12,IF(G52&lt;Bewertung_Stammdaten!B$13,Bewertung_Stammdaten!A$13,IF(G52&lt;Bewertung_Stammdaten!B$14,Bewertung_Stammdaten!A$14,IF(G52&lt;Bewertung_Stammdaten!B$15,Bewertung_Stammdaten!A$15,IF(G52&lt;Bewertung_Stammdaten!B$16,Bewertung_Stammdaten!A$16,IF(G52&lt;Bewertung_Stammdaten!B$17,Bewertung_Stammdaten!A$17,IF(G52&lt;Bewertung_Stammdaten!B$18,Bewertung_Stammdaten!A$18,IF(G52&lt;Bewertung_Stammdaten!B$19,Bewertung_Stammdaten!A$19,Bewertung_Stammdaten!A$20)))))))))</f>
        <v>27</v>
      </c>
      <c r="K52" s="33">
        <f ca="1">IF(I52&lt;Bewertung_Stammdaten!N$11,Bewertung_Stammdaten!M$11,IF(I52&lt;Bewertung_Stammdaten!N$12,Bewertung_Stammdaten!M$12,IF(I52&lt;Bewertung_Stammdaten!N$13,Bewertung_Stammdaten!M$13,IF(I52&lt;Bewertung_Stammdaten!N$14,Bewertung_Stammdaten!M$14,IF(I52&lt;Bewertung_Stammdaten!N$15,Bewertung_Stammdaten!M$15,IF(I52&lt;Bewertung_Stammdaten!N$16,Bewertung_Stammdaten!M$16,IF(I52&lt;Bewertung_Stammdaten!N$17,Bewertung_Stammdaten!M$17,IF(I52&lt;Bewertung_Stammdaten!N$18,Bewertung_Stammdaten!M$18,IF(I52&lt;Bewertung_Stammdaten!N$19,Bewertung_Stammdaten!M$19,Bewertung_Stammdaten!M$20)))))))))</f>
        <v>1.5</v>
      </c>
      <c r="L52" s="44"/>
      <c r="M52" s="11">
        <f ca="1">VLOOKUP(A52,Buchwert_je_Aktie!A3:AK68,23,FALSE)</f>
        <v>4.3970277777777778</v>
      </c>
      <c r="N52" s="11">
        <f>VLOOKUP(A52,Buchwert_je_Aktie!A3:AK68,19,FALSE)</f>
        <v>4.625</v>
      </c>
      <c r="O52" s="12">
        <f ca="1">VLOOKUP(A52,Buchwert_je_Aktie!A3:AK68,24,FALSE)</f>
        <v>-4.9291291291291284E-2</v>
      </c>
      <c r="P52" s="12">
        <f>VLOOKUP(A52,Buchwert_je_Aktie!A3:AK68,37,FALSE)</f>
        <v>-2.910958904109584E-2</v>
      </c>
      <c r="Q52" s="16">
        <f t="shared" ca="1" si="11"/>
        <v>4.2690321061643841</v>
      </c>
      <c r="R52" s="12">
        <f t="shared" ca="1" si="12"/>
        <v>-7.6966031099592658E-2</v>
      </c>
      <c r="S52" s="53">
        <f ca="1">IF(O52&lt;Bewertung_Stammdaten!D$24,Bewertung_Stammdaten!C$24,IF(O52&lt;Bewertung_Stammdaten!D$25,Bewertung_Stammdaten!C$25,IF(O52&lt;Bewertung_Stammdaten!D$26,Bewertung_Stammdaten!C$26,IF(O52&lt;Bewertung_Stammdaten!D$27,Bewertung_Stammdaten!C$27,IF(O52&lt;Bewertung_Stammdaten!D$28,Bewertung_Stammdaten!C$28,IF(O52&lt;Bewertung_Stammdaten!D$29,Bewertung_Stammdaten!C$29,IF(O52&lt;Bewertung_Stammdaten!D$30,Bewertung_Stammdaten!C$30,IF(O52&lt;Bewertung_Stammdaten!D$31,Bewertung_Stammdaten!C$31,IF(O52&lt;Bewertung_Stammdaten!D$32,Bewertung_Stammdaten!C$32,Bewertung_Stammdaten!C$33)))))))))</f>
        <v>3</v>
      </c>
      <c r="T52" s="53">
        <f>IF(P52&lt;Bewertung_Stammdaten!F$24,Bewertung_Stammdaten!E$24,IF(P52&lt;Bewertung_Stammdaten!F$25,Bewertung_Stammdaten!E$25,IF(P52&lt;Bewertung_Stammdaten!F$26,Bewertung_Stammdaten!E$26,IF(P52&lt;Bewertung_Stammdaten!F$27,Bewertung_Stammdaten!E$27,IF(P52&lt;Bewertung_Stammdaten!F$28,Bewertung_Stammdaten!E$28,IF(P52&lt;Bewertung_Stammdaten!F$29,Bewertung_Stammdaten!E$29,IF(P52&lt;Bewertung_Stammdaten!F$30,Bewertung_Stammdaten!E$30,IF(P52&lt;Bewertung_Stammdaten!F$31,Bewertung_Stammdaten!E$31,IF(P52&lt;Bewertung_Stammdaten!F$32,Bewertung_Stammdaten!E$32,Bewertung_Stammdaten!E$33)))))))))</f>
        <v>10.5</v>
      </c>
      <c r="U52" s="53">
        <f ca="1">IF(R52&lt;Bewertung_Stammdaten!H$24,Bewertung_Stammdaten!G$24,IF(R52&lt;Bewertung_Stammdaten!H$25,Bewertung_Stammdaten!G$25,IF(R52&lt;Bewertung_Stammdaten!H$26,Bewertung_Stammdaten!G$26,IF(R52&lt;Bewertung_Stammdaten!H$27,Bewertung_Stammdaten!G$27,IF(R52&lt;Bewertung_Stammdaten!H$28,Bewertung_Stammdaten!G$28,IF(R52&lt;Bewertung_Stammdaten!H$29,Bewertung_Stammdaten!G$29,IF(R52&lt;Bewertung_Stammdaten!H$30,Bewertung_Stammdaten!G$30,IF(R52&lt;Bewertung_Stammdaten!H$31,Bewertung_Stammdaten!G$31,IF(R52&lt;Bewertung_Stammdaten!H$32,Bewertung_Stammdaten!G$32,Bewertung_Stammdaten!G$33)))))))))</f>
        <v>2</v>
      </c>
      <c r="V52" s="44"/>
      <c r="W52" s="14">
        <f ca="1">VLOOKUP(A52,Ergebnis_je_Aktie_verwässert!A3:AK68,23,FALSE)</f>
        <v>3.7525833333333334</v>
      </c>
      <c r="X52" s="14">
        <f>VLOOKUP(A52,Ergebnis_je_Aktie_verwässert!A3:AK68,19,FALSE)</f>
        <v>2.773076923076923</v>
      </c>
      <c r="Y52" s="12">
        <f ca="1">VLOOKUP(A52,Ergebnis_je_Aktie_verwässert!A3:AK68,24,FALSE)</f>
        <v>0.35322006472491907</v>
      </c>
      <c r="Z52" s="41">
        <f>VLOOKUP(A52,Ergebnis_je_Aktie_verwässert!A3:AK68,37,FALSE)</f>
        <v>-0.39500000000000002</v>
      </c>
      <c r="AA52" s="16">
        <f t="shared" ca="1" si="13"/>
        <v>2.2703129166666667</v>
      </c>
      <c r="AB52" s="12">
        <f t="shared" ca="1" si="14"/>
        <v>-0.18130186084142397</v>
      </c>
      <c r="AC52" s="33">
        <f ca="1">IF(Y52&lt;Bewertung_Stammdaten!L$11,Bewertung_Stammdaten!K$11,IF(Y52&lt;Bewertung_Stammdaten!L$12,Bewertung_Stammdaten!K$12,IF(Y52&lt;Bewertung_Stammdaten!L$13,Bewertung_Stammdaten!K$13,IF(Y52&lt;Bewertung_Stammdaten!L$14,Bewertung_Stammdaten!K$14,IF(Y52&lt;Bewertung_Stammdaten!L$15,Bewertung_Stammdaten!K$15,IF(Y52&lt;Bewertung_Stammdaten!L$16,Bewertung_Stammdaten!K$16,IF(Y52&lt;Bewertung_Stammdaten!L$17,Bewertung_Stammdaten!K$17,IF(Y52&lt;Bewertung_Stammdaten!L$18,Bewertung_Stammdaten!K$18,IF(Y52&lt;Bewertung_Stammdaten!L$19,Bewertung_Stammdaten!K$19,Bewertung_Stammdaten!K$20)))))))))</f>
        <v>12</v>
      </c>
      <c r="AD52" s="33">
        <f>IF(Z52&lt;Bewertung_Stammdaten!R$11,Bewertung_Stammdaten!Q$11,IF(Z52&lt;Bewertung_Stammdaten!R$12,Bewertung_Stammdaten!Q$12,IF(Z52&lt;Bewertung_Stammdaten!R$13,Bewertung_Stammdaten!Q$13,IF(Z52&lt;Bewertung_Stammdaten!R$14,Bewertung_Stammdaten!Q$14,IF(Z52&lt;Bewertung_Stammdaten!R$15,Bewertung_Stammdaten!Q$15,IF(Z52&lt;Bewertung_Stammdaten!R$16,Bewertung_Stammdaten!Q$16,IF(Z52&lt;Bewertung_Stammdaten!R$17,Bewertung_Stammdaten!Q$17,IF(Z52&lt;Bewertung_Stammdaten!R$18,Bewertung_Stammdaten!Q$18,IF(Z52&lt;Bewertung_Stammdaten!R$19,Bewertung_Stammdaten!Q$19,Bewertung_Stammdaten!Q$20)))))))))</f>
        <v>4</v>
      </c>
      <c r="AE52" s="33">
        <f ca="1">IF(AB52&lt;Bewertung_Stammdaten!P$11,Bewertung_Stammdaten!O$11,IF(AB52&lt;Bewertung_Stammdaten!P$12,Bewertung_Stammdaten!O$12,IF(AB52&lt;Bewertung_Stammdaten!P$13,Bewertung_Stammdaten!O$13,IF(AB52&lt;Bewertung_Stammdaten!P$14,Bewertung_Stammdaten!O$14,IF(AB52&lt;Bewertung_Stammdaten!P$15,Bewertung_Stammdaten!O$15,IF(AB52&lt;Bewertung_Stammdaten!P$16,Bewertung_Stammdaten!O$16,IF(AB52&lt;Bewertung_Stammdaten!P$17,Bewertung_Stammdaten!O$17,IF(AB52&lt;Bewertung_Stammdaten!P$18,Bewertung_Stammdaten!O$18,IF(AB52&lt;Bewertung_Stammdaten!P$19,Bewertung_Stammdaten!O$19,Bewertung_Stammdaten!O$20)))))))))</f>
        <v>2</v>
      </c>
      <c r="AF52" s="44"/>
      <c r="AG52" s="14">
        <f ca="1">VLOOKUP(A52,Dividende_je_Aktie!A3:AM68,24,FALSE)</f>
        <v>2.2101388888888893</v>
      </c>
      <c r="AH52" s="14">
        <f>VLOOKUP(A52,Dividende_je_Aktie!A3:AM68,20,FALSE)</f>
        <v>1.9335714285714292</v>
      </c>
      <c r="AI52" s="12">
        <f ca="1">VLOOKUP(A52,Dividende_je_Aktie!A3:AM68,25,FALSE)</f>
        <v>0.14303451955834645</v>
      </c>
      <c r="AJ52" s="41">
        <f>VLOOKUP(A52,Dividende_je_Aktie!A3:AM68,39,FALSE)</f>
        <v>0</v>
      </c>
      <c r="AK52" s="16">
        <f t="shared" ca="1" si="6"/>
        <v>2.2101388888888893</v>
      </c>
      <c r="AL52" s="12">
        <f t="shared" ca="1" si="7"/>
        <v>0.14303451955834645</v>
      </c>
      <c r="AM52" s="33">
        <f ca="1">IF(AI52&lt;Bewertung_Stammdaten!P$24,Bewertung_Stammdaten!O$24,IF(AI52&lt;Bewertung_Stammdaten!P$25,Bewertung_Stammdaten!O$25,IF(AI52&lt;Bewertung_Stammdaten!P$26,Bewertung_Stammdaten!O$26,IF(AI52&lt;Bewertung_Stammdaten!P$27,Bewertung_Stammdaten!O$27,IF(AI52&lt;Bewertung_Stammdaten!P$28,Bewertung_Stammdaten!O$28,IF(AI52&lt;Bewertung_Stammdaten!P$29,Bewertung_Stammdaten!O$29,IF(AI52&lt;Bewertung_Stammdaten!P$30,Bewertung_Stammdaten!O$30,IF(AI52&lt;Bewertung_Stammdaten!P$31,Bewertung_Stammdaten!O$31,IF(AI52&lt;Bewertung_Stammdaten!P$32,Bewertung_Stammdaten!O$32,Bewertung_Stammdaten!O$33)))))))))</f>
        <v>8</v>
      </c>
      <c r="AN52" s="33">
        <f>IF(AJ52&lt;Bewertung_Stammdaten!R$24,Bewertung_Stammdaten!Q$24,IF(AJ52&lt;Bewertung_Stammdaten!R$25,Bewertung_Stammdaten!Q$25,IF(AJ52&lt;Bewertung_Stammdaten!R$26,Bewertung_Stammdaten!Q$26,IF(AJ52&lt;Bewertung_Stammdaten!R$27,Bewertung_Stammdaten!Q$27,IF(AJ52&lt;Bewertung_Stammdaten!R$28,Bewertung_Stammdaten!Q$28,IF(AJ52&lt;Bewertung_Stammdaten!R$29,Bewertung_Stammdaten!Q$29,IF(AJ52&lt;Bewertung_Stammdaten!R$30,Bewertung_Stammdaten!Q$30,IF(AJ52&lt;Bewertung_Stammdaten!R$31,Bewertung_Stammdaten!Q$31,IF(AJ52&lt;Bewertung_Stammdaten!R$32,Bewertung_Stammdaten!Q$32,Bewertung_Stammdaten!Q$33)))))))))</f>
        <v>8</v>
      </c>
      <c r="AO52" s="33">
        <f ca="1">IF(AL52&lt;Bewertung_Stammdaten!T$24,Bewertung_Stammdaten!S$24,IF(AL52&lt;Bewertung_Stammdaten!T$25,Bewertung_Stammdaten!S$25,IF(AL52&lt;Bewertung_Stammdaten!T$26,Bewertung_Stammdaten!S$26,IF(AL52&lt;Bewertung_Stammdaten!T$27,Bewertung_Stammdaten!S$27,IF(AL52&lt;Bewertung_Stammdaten!T$28,Bewertung_Stammdaten!S$28,IF(AL52&lt;Bewertung_Stammdaten!T$29,Bewertung_Stammdaten!S$29,IF(AL52&lt;Bewertung_Stammdaten!T$30,Bewertung_Stammdaten!S$30,IF(AL52&lt;Bewertung_Stammdaten!T$31,Bewertung_Stammdaten!S$31,IF(AL52&lt;Bewertung_Stammdaten!T$32,Bewertung_Stammdaten!S$32,Bewertung_Stammdaten!S$33)))))))))</f>
        <v>5</v>
      </c>
      <c r="AP52" s="44"/>
      <c r="AQ52" s="12">
        <f ca="1">VLOOKUP(A52,Dividendenrendite!A3:R68,17,FALSE)</f>
        <v>4.5252639002639011E-2</v>
      </c>
      <c r="AR52" s="12">
        <f>VLOOKUP(A52,Dividendenrendite!A3:R68,16,FALSE)</f>
        <v>4.7110285568296738E-2</v>
      </c>
      <c r="AS52" s="12">
        <f ca="1">VLOOKUP(A52,Dividendenrendite!A3:R68,18,FALSE)</f>
        <v>-3.9431868078249277E-2</v>
      </c>
      <c r="AT52" s="33">
        <f ca="1">IF(AQ52&lt;Bewertung_Stammdaten!D$11,Bewertung_Stammdaten!C$11,IF(AQ52&lt;Bewertung_Stammdaten!D$12,Bewertung_Stammdaten!C$12,IF(AQ52&lt;Bewertung_Stammdaten!D$13,Bewertung_Stammdaten!C$13,IF(AQ52&lt;Bewertung_Stammdaten!D$14,Bewertung_Stammdaten!C$14,IF(AQ52&lt;Bewertung_Stammdaten!D$15,Bewertung_Stammdaten!C$15,IF(AQ52&lt;Bewertung_Stammdaten!D$16,Bewertung_Stammdaten!C$16,IF(AQ52&lt;Bewertung_Stammdaten!D$17,Bewertung_Stammdaten!C$17,IF(AQ52&lt;Bewertung_Stammdaten!D$18,Bewertung_Stammdaten!C$18,IF(AQ52&lt;Bewertung_Stammdaten!D$19,Bewertung_Stammdaten!C$19,Bewertung_Stammdaten!C$20)))))))))</f>
        <v>15</v>
      </c>
      <c r="AU52" s="33">
        <f>IF(AR52&lt;Bewertung_Stammdaten!T$11,Bewertung_Stammdaten!S$11,IF(AR52&lt;Bewertung_Stammdaten!T$12,Bewertung_Stammdaten!S$12,IF(AR52&lt;Bewertung_Stammdaten!T$13,Bewertung_Stammdaten!S$13,IF(AR52&lt;Bewertung_Stammdaten!T$14,Bewertung_Stammdaten!S$14,IF(AR52&lt;Bewertung_Stammdaten!T$15,Bewertung_Stammdaten!S$15,IF(AR52&lt;Bewertung_Stammdaten!T$16,Bewertung_Stammdaten!S$16,IF(AR52&lt;Bewertung_Stammdaten!T$17,Bewertung_Stammdaten!S$17,IF(AR52&lt;Bewertung_Stammdaten!T$18,Bewertung_Stammdaten!S$18,IF(AR52&lt;Bewertung_Stammdaten!T$19,Bewertung_Stammdaten!S$19,Bewertung_Stammdaten!S$20)))))))))</f>
        <v>10</v>
      </c>
      <c r="AV52" s="33">
        <f ca="1">IF(AS52&lt;Bewertung_Stammdaten!F$11,Bewertung_Stammdaten!E$11,IF(AS52&lt;Bewertung_Stammdaten!F$12,Bewertung_Stammdaten!E$12,IF(AS52&lt;Bewertung_Stammdaten!F$13,Bewertung_Stammdaten!E$13,IF(AS52&lt;Bewertung_Stammdaten!F$14,Bewertung_Stammdaten!E$14,IF(AS52&lt;Bewertung_Stammdaten!F$15,Bewertung_Stammdaten!E$15,IF(AS52&lt;Bewertung_Stammdaten!F$16,Bewertung_Stammdaten!E$16,IF(AS52&lt;Bewertung_Stammdaten!F$17,Bewertung_Stammdaten!E$17,IF(AS52&lt;Bewertung_Stammdaten!F$18,Bewertung_Stammdaten!E$18,IF(AS52&lt;Bewertung_Stammdaten!F$19,Bewertung_Stammdaten!E$19,Bewertung_Stammdaten!E$20)))))))))</f>
        <v>2.5</v>
      </c>
      <c r="AW52" s="44"/>
      <c r="AX52" s="12">
        <f>VLOOKUP(A52,Aktien_im_Umlauf_splitbereinigt!A3:Z68,26,FALSE)</f>
        <v>0</v>
      </c>
      <c r="AY52" s="12">
        <f>VLOOKUP(A52,Aktien_im_Umlauf_splitbereinigt!A3:Y68,24,FALSE)</f>
        <v>0</v>
      </c>
      <c r="AZ52" s="12">
        <f>VLOOKUP(A52,Aktien_im_Umlauf_splitbereinigt!A3:Y68,25,FALSE)</f>
        <v>0</v>
      </c>
      <c r="BA52" s="42">
        <f>IF(AX52&lt;Bewertung_Stammdaten!J$24,Bewertung_Stammdaten!I$24,IF(AX52&lt;Bewertung_Stammdaten!J$25,Bewertung_Stammdaten!I$25,IF(AX52&lt;Bewertung_Stammdaten!J$26,Bewertung_Stammdaten!I$26,IF(AX52&lt;Bewertung_Stammdaten!J$27,Bewertung_Stammdaten!I$27,IF(AX52&lt;Bewertung_Stammdaten!J$28,Bewertung_Stammdaten!I$28,IF(AX52&lt;Bewertung_Stammdaten!J$29,Bewertung_Stammdaten!I$29,IF(AX52&lt;Bewertung_Stammdaten!J$30,Bewertung_Stammdaten!I$30,IF(AX52&lt;Bewertung_Stammdaten!J$31,Bewertung_Stammdaten!I$31,IF(AX52&lt;Bewertung_Stammdaten!J$32,Bewertung_Stammdaten!I$32,Bewertung_Stammdaten!I$33)))))))))</f>
        <v>2</v>
      </c>
      <c r="BB52" s="42">
        <f>IF(AY52&lt;Bewertung_Stammdaten!L$24,Bewertung_Stammdaten!K$24,IF(AY52&lt;Bewertung_Stammdaten!L$25,Bewertung_Stammdaten!K$25,IF(AY52&lt;Bewertung_Stammdaten!L$26,Bewertung_Stammdaten!K$26,IF(AY52&lt;Bewertung_Stammdaten!L$27,Bewertung_Stammdaten!K$27,IF(AY52&lt;Bewertung_Stammdaten!L$28,Bewertung_Stammdaten!K$28,IF(AY52&lt;Bewertung_Stammdaten!L$29,Bewertung_Stammdaten!K$29,IF(AY52&lt;Bewertung_Stammdaten!L$30,Bewertung_Stammdaten!K$30,IF(AY52&lt;Bewertung_Stammdaten!L$31,Bewertung_Stammdaten!K$31,IF(AY52&lt;Bewertung_Stammdaten!L$32,Bewertung_Stammdaten!K$32,Bewertung_Stammdaten!K$33)))))))))</f>
        <v>2</v>
      </c>
      <c r="BC52" s="42">
        <f>IF(AZ52&lt;Bewertung_Stammdaten!N$24,Bewertung_Stammdaten!M$24,IF(AZ52&lt;Bewertung_Stammdaten!N$25,Bewertung_Stammdaten!M$25,IF(AZ52&lt;Bewertung_Stammdaten!N$26,Bewertung_Stammdaten!M$26,IF(AZ52&lt;Bewertung_Stammdaten!N$27,Bewertung_Stammdaten!M$27,IF(AZ52&lt;Bewertung_Stammdaten!N$28,Bewertung_Stammdaten!M$28,IF(AZ52&lt;Bewertung_Stammdaten!N$29,Bewertung_Stammdaten!M$29,IF(AZ52&lt;Bewertung_Stammdaten!N$30,Bewertung_Stammdaten!M$30,IF(AZ52&lt;Bewertung_Stammdaten!N$31,Bewertung_Stammdaten!M$31,IF(AZ52&lt;Bewertung_Stammdaten!N$32,Bewertung_Stammdaten!M$32,Bewertung_Stammdaten!M$33)))))))))</f>
        <v>3</v>
      </c>
      <c r="BD52" s="44"/>
      <c r="BE52" s="12">
        <f ca="1">VLOOKUP(A52,Ausschüttungsquote!A3:X68,23,FALSE)</f>
        <v>0.58913663735934629</v>
      </c>
      <c r="BF52" s="12">
        <f>VLOOKUP(A52,Ausschüttungsquote!A3:X68,19,FALSE)</f>
        <v>0.74402529786364358</v>
      </c>
      <c r="BG52" s="12">
        <f ca="1">VLOOKUP(A52,Ausschüttungsquote!A3:X68,24,FALSE)</f>
        <v>-0.20817660494748857</v>
      </c>
      <c r="BH52" s="33">
        <f ca="1">IF(BE52&lt;Bewertung_Stammdaten!H$11,Bewertung_Stammdaten!G$11,IF(BE52&lt;Bewertung_Stammdaten!H$12,Bewertung_Stammdaten!G$12,IF(BE52&lt;Bewertung_Stammdaten!H$13,Bewertung_Stammdaten!G$13,IF(BE52&lt;Bewertung_Stammdaten!H$14,Bewertung_Stammdaten!G$14,IF(BE52&lt;Bewertung_Stammdaten!H$15,Bewertung_Stammdaten!G$15,IF(BE52&lt;Bewertung_Stammdaten!H$16,Bewertung_Stammdaten!G$16,IF(BE52&lt;Bewertung_Stammdaten!H$17,Bewertung_Stammdaten!G$17,IF(BE52&lt;Bewertung_Stammdaten!H$18,Bewertung_Stammdaten!G$18,IF(BE52&lt;Bewertung_Stammdaten!H$19,Bewertung_Stammdaten!G$19,Bewertung_Stammdaten!G$20)))))))))</f>
        <v>6</v>
      </c>
      <c r="BI52" s="42">
        <f>IF(BF52&lt;Bewertung_Stammdaten!B$24,Bewertung_Stammdaten!A$24,IF(BF52&lt;Bewertung_Stammdaten!B$25,Bewertung_Stammdaten!A$25,IF(BF52&lt;Bewertung_Stammdaten!B$26,Bewertung_Stammdaten!A$26,IF(BF52&lt;Bewertung_Stammdaten!B$27,Bewertung_Stammdaten!A$27,IF(BF52&lt;Bewertung_Stammdaten!B$28,Bewertung_Stammdaten!A$28,IF(BF52&lt;Bewertung_Stammdaten!B$29,Bewertung_Stammdaten!A$29,IF(BF52&lt;Bewertung_Stammdaten!B$30,Bewertung_Stammdaten!A$30,IF(BF52&lt;Bewertung_Stammdaten!B$31,Bewertung_Stammdaten!A$31,IF(BF52&lt;Bewertung_Stammdaten!B$32,Bewertung_Stammdaten!A$32,Bewertung_Stammdaten!A$33)))))))))</f>
        <v>3</v>
      </c>
      <c r="BJ52" s="33">
        <f ca="1">IF(BG52&lt;Bewertung_Stammdaten!J$11,Bewertung_Stammdaten!I$11,IF(BG52&lt;Bewertung_Stammdaten!J$12,Bewertung_Stammdaten!I$12,IF(BG52&lt;Bewertung_Stammdaten!J$13,Bewertung_Stammdaten!I$13,IF(BG52&lt;Bewertung_Stammdaten!J$14,Bewertung_Stammdaten!I$14,IF(BG52&lt;Bewertung_Stammdaten!J$15,Bewertung_Stammdaten!I$15,IF(BG52&lt;Bewertung_Stammdaten!J$16,Bewertung_Stammdaten!I$16,IF(BG52&lt;Bewertung_Stammdaten!J$17,Bewertung_Stammdaten!I$17,IF(BG52&lt;Bewertung_Stammdaten!J$18,Bewertung_Stammdaten!I$18,IF(BG52&lt;Bewertung_Stammdaten!J$19,Bewertung_Stammdaten!I$19,Bewertung_Stammdaten!I$20)))))))))</f>
        <v>10</v>
      </c>
    </row>
    <row r="53" spans="1:62" x14ac:dyDescent="0.25">
      <c r="A53" s="39" t="s">
        <v>100</v>
      </c>
      <c r="B53" s="39" t="s">
        <v>101</v>
      </c>
      <c r="C53" s="33">
        <f t="shared" ca="1" si="8"/>
        <v>162.5</v>
      </c>
      <c r="D53" s="44"/>
      <c r="E53" s="11">
        <f ca="1">VLOOKUP(A53,KGV!A3:R68,17,FALSE)</f>
        <v>16.626628320081206</v>
      </c>
      <c r="F53" s="11">
        <f>VLOOKUP(A53,KGV!A3:R68,16,FALSE)</f>
        <v>14.976401179941004</v>
      </c>
      <c r="G53" s="12">
        <f ca="1">VLOOKUP(A53,KGV!A3:R68,18,FALSE)</f>
        <v>0.11018849724394886</v>
      </c>
      <c r="H53" s="16">
        <f t="shared" ca="1" si="9"/>
        <v>17.17064887861147</v>
      </c>
      <c r="I53" s="12">
        <f t="shared" ca="1" si="10"/>
        <v>0.14651368324784086</v>
      </c>
      <c r="J53" s="33">
        <f ca="1">IF(G53&lt;Bewertung_Stammdaten!B$11,Bewertung_Stammdaten!A$11,IF(G53&lt;Bewertung_Stammdaten!B$12,Bewertung_Stammdaten!A$12,IF(G53&lt;Bewertung_Stammdaten!B$13,Bewertung_Stammdaten!A$13,IF(G53&lt;Bewertung_Stammdaten!B$14,Bewertung_Stammdaten!A$14,IF(G53&lt;Bewertung_Stammdaten!B$15,Bewertung_Stammdaten!A$15,IF(G53&lt;Bewertung_Stammdaten!B$16,Bewertung_Stammdaten!A$16,IF(G53&lt;Bewertung_Stammdaten!B$17,Bewertung_Stammdaten!A$17,IF(G53&lt;Bewertung_Stammdaten!B$18,Bewertung_Stammdaten!A$18,IF(G53&lt;Bewertung_Stammdaten!B$19,Bewertung_Stammdaten!A$19,Bewertung_Stammdaten!A$20)))))))))</f>
        <v>12</v>
      </c>
      <c r="K53" s="33">
        <f ca="1">IF(I53&lt;Bewertung_Stammdaten!N$11,Bewertung_Stammdaten!M$11,IF(I53&lt;Bewertung_Stammdaten!N$12,Bewertung_Stammdaten!M$12,IF(I53&lt;Bewertung_Stammdaten!N$13,Bewertung_Stammdaten!M$13,IF(I53&lt;Bewertung_Stammdaten!N$14,Bewertung_Stammdaten!M$14,IF(I53&lt;Bewertung_Stammdaten!N$15,Bewertung_Stammdaten!M$15,IF(I53&lt;Bewertung_Stammdaten!N$16,Bewertung_Stammdaten!M$16,IF(I53&lt;Bewertung_Stammdaten!N$17,Bewertung_Stammdaten!M$17,IF(I53&lt;Bewertung_Stammdaten!N$18,Bewertung_Stammdaten!M$18,IF(I53&lt;Bewertung_Stammdaten!N$19,Bewertung_Stammdaten!M$19,Bewertung_Stammdaten!M$20)))))))))</f>
        <v>10.5</v>
      </c>
      <c r="L53" s="44"/>
      <c r="M53" s="11">
        <f ca="1">VLOOKUP(A53,Buchwert_je_Aktie!A3:AK68,23,FALSE)</f>
        <v>28.003055555555555</v>
      </c>
      <c r="N53" s="11">
        <f>VLOOKUP(A53,Buchwert_je_Aktie!A3:AK68,19,FALSE)</f>
        <v>20.157692307692308</v>
      </c>
      <c r="O53" s="12">
        <f ca="1">VLOOKUP(A53,Buchwert_je_Aktie!A3:AK68,24,FALSE)</f>
        <v>0.3891994742309568</v>
      </c>
      <c r="P53" s="12">
        <f>VLOOKUP(A53,Buchwert_je_Aktie!A3:AK68,37,FALSE)</f>
        <v>3.9840637450199168E-3</v>
      </c>
      <c r="Q53" s="16">
        <f t="shared" ca="1" si="11"/>
        <v>28.003055555555555</v>
      </c>
      <c r="R53" s="12">
        <f t="shared" ca="1" si="12"/>
        <v>0.3891994742309568</v>
      </c>
      <c r="S53" s="53">
        <f ca="1">IF(O53&lt;Bewertung_Stammdaten!D$24,Bewertung_Stammdaten!C$24,IF(O53&lt;Bewertung_Stammdaten!D$25,Bewertung_Stammdaten!C$25,IF(O53&lt;Bewertung_Stammdaten!D$26,Bewertung_Stammdaten!C$26,IF(O53&lt;Bewertung_Stammdaten!D$27,Bewertung_Stammdaten!C$27,IF(O53&lt;Bewertung_Stammdaten!D$28,Bewertung_Stammdaten!C$28,IF(O53&lt;Bewertung_Stammdaten!D$29,Bewertung_Stammdaten!C$29,IF(O53&lt;Bewertung_Stammdaten!D$30,Bewertung_Stammdaten!C$30,IF(O53&lt;Bewertung_Stammdaten!D$31,Bewertung_Stammdaten!C$31,IF(O53&lt;Bewertung_Stammdaten!D$32,Bewertung_Stammdaten!C$32,Bewertung_Stammdaten!C$33)))))))))</f>
        <v>9</v>
      </c>
      <c r="T53" s="53">
        <f>IF(P53&lt;Bewertung_Stammdaten!F$24,Bewertung_Stammdaten!E$24,IF(P53&lt;Bewertung_Stammdaten!F$25,Bewertung_Stammdaten!E$25,IF(P53&lt;Bewertung_Stammdaten!F$26,Bewertung_Stammdaten!E$26,IF(P53&lt;Bewertung_Stammdaten!F$27,Bewertung_Stammdaten!E$27,IF(P53&lt;Bewertung_Stammdaten!F$28,Bewertung_Stammdaten!E$28,IF(P53&lt;Bewertung_Stammdaten!F$29,Bewertung_Stammdaten!E$29,IF(P53&lt;Bewertung_Stammdaten!F$30,Bewertung_Stammdaten!E$30,IF(P53&lt;Bewertung_Stammdaten!F$31,Bewertung_Stammdaten!E$31,IF(P53&lt;Bewertung_Stammdaten!F$32,Bewertung_Stammdaten!E$32,Bewertung_Stammdaten!E$33)))))))))</f>
        <v>12</v>
      </c>
      <c r="U53" s="53">
        <f ca="1">IF(R53&lt;Bewertung_Stammdaten!H$24,Bewertung_Stammdaten!G$24,IF(R53&lt;Bewertung_Stammdaten!H$25,Bewertung_Stammdaten!G$25,IF(R53&lt;Bewertung_Stammdaten!H$26,Bewertung_Stammdaten!G$26,IF(R53&lt;Bewertung_Stammdaten!H$27,Bewertung_Stammdaten!G$27,IF(R53&lt;Bewertung_Stammdaten!H$28,Bewertung_Stammdaten!G$28,IF(R53&lt;Bewertung_Stammdaten!H$29,Bewertung_Stammdaten!G$29,IF(R53&lt;Bewertung_Stammdaten!H$30,Bewertung_Stammdaten!G$30,IF(R53&lt;Bewertung_Stammdaten!H$31,Bewertung_Stammdaten!G$31,IF(R53&lt;Bewertung_Stammdaten!H$32,Bewertung_Stammdaten!G$32,Bewertung_Stammdaten!G$33)))))))))</f>
        <v>6</v>
      </c>
      <c r="V53" s="44"/>
      <c r="W53" s="14">
        <f ca="1">VLOOKUP(A53,Ergebnis_je_Aktie_verwässert!A3:AK68,23,FALSE)</f>
        <v>4.9258333333333333</v>
      </c>
      <c r="X53" s="14">
        <f>VLOOKUP(A53,Ergebnis_je_Aktie_verwässert!A3:AK68,19,FALSE)</f>
        <v>4.0030769230769234</v>
      </c>
      <c r="Y53" s="12">
        <f ca="1">VLOOKUP(A53,Ergebnis_je_Aktie_verwässert!A3:AK68,24,FALSE)</f>
        <v>0.23051178580579035</v>
      </c>
      <c r="Z53" s="41">
        <f>VLOOKUP(A53,Ergebnis_je_Aktie_verwässert!A3:AK68,37,FALSE)</f>
        <v>-3.1683168316831711E-2</v>
      </c>
      <c r="AA53" s="16">
        <f t="shared" ca="1" si="13"/>
        <v>4.7697673267326728</v>
      </c>
      <c r="AB53" s="12">
        <f t="shared" ca="1" si="14"/>
        <v>0.19152527378026019</v>
      </c>
      <c r="AC53" s="33">
        <f ca="1">IF(Y53&lt;Bewertung_Stammdaten!L$11,Bewertung_Stammdaten!K$11,IF(Y53&lt;Bewertung_Stammdaten!L$12,Bewertung_Stammdaten!K$12,IF(Y53&lt;Bewertung_Stammdaten!L$13,Bewertung_Stammdaten!K$13,IF(Y53&lt;Bewertung_Stammdaten!L$14,Bewertung_Stammdaten!K$14,IF(Y53&lt;Bewertung_Stammdaten!L$15,Bewertung_Stammdaten!K$15,IF(Y53&lt;Bewertung_Stammdaten!L$16,Bewertung_Stammdaten!K$16,IF(Y53&lt;Bewertung_Stammdaten!L$17,Bewertung_Stammdaten!K$17,IF(Y53&lt;Bewertung_Stammdaten!L$18,Bewertung_Stammdaten!K$18,IF(Y53&lt;Bewertung_Stammdaten!L$19,Bewertung_Stammdaten!K$19,Bewertung_Stammdaten!K$20)))))))))</f>
        <v>10</v>
      </c>
      <c r="AD53" s="33">
        <f>IF(Z53&lt;Bewertung_Stammdaten!R$11,Bewertung_Stammdaten!Q$11,IF(Z53&lt;Bewertung_Stammdaten!R$12,Bewertung_Stammdaten!Q$12,IF(Z53&lt;Bewertung_Stammdaten!R$13,Bewertung_Stammdaten!Q$13,IF(Z53&lt;Bewertung_Stammdaten!R$14,Bewertung_Stammdaten!Q$14,IF(Z53&lt;Bewertung_Stammdaten!R$15,Bewertung_Stammdaten!Q$15,IF(Z53&lt;Bewertung_Stammdaten!R$16,Bewertung_Stammdaten!Q$16,IF(Z53&lt;Bewertung_Stammdaten!R$17,Bewertung_Stammdaten!Q$17,IF(Z53&lt;Bewertung_Stammdaten!R$18,Bewertung_Stammdaten!Q$18,IF(Z53&lt;Bewertung_Stammdaten!R$19,Bewertung_Stammdaten!Q$19,Bewertung_Stammdaten!Q$20)))))))))</f>
        <v>7</v>
      </c>
      <c r="AE53" s="33">
        <f ca="1">IF(AB53&lt;Bewertung_Stammdaten!P$11,Bewertung_Stammdaten!O$11,IF(AB53&lt;Bewertung_Stammdaten!P$12,Bewertung_Stammdaten!O$12,IF(AB53&lt;Bewertung_Stammdaten!P$13,Bewertung_Stammdaten!O$13,IF(AB53&lt;Bewertung_Stammdaten!P$14,Bewertung_Stammdaten!O$14,IF(AB53&lt;Bewertung_Stammdaten!P$15,Bewertung_Stammdaten!O$15,IF(AB53&lt;Bewertung_Stammdaten!P$16,Bewertung_Stammdaten!O$16,IF(AB53&lt;Bewertung_Stammdaten!P$17,Bewertung_Stammdaten!O$17,IF(AB53&lt;Bewertung_Stammdaten!P$18,Bewertung_Stammdaten!O$18,IF(AB53&lt;Bewertung_Stammdaten!P$19,Bewertung_Stammdaten!O$19,Bewertung_Stammdaten!O$20)))))))))</f>
        <v>6</v>
      </c>
      <c r="AF53" s="44"/>
      <c r="AG53" s="14">
        <f ca="1">VLOOKUP(A53,Dividende_je_Aktie!A3:AM68,24,FALSE)</f>
        <v>1.9895555555555553</v>
      </c>
      <c r="AH53" s="14">
        <f>VLOOKUP(A53,Dividende_je_Aktie!A3:AM68,20,FALSE)</f>
        <v>1.2264285714285716</v>
      </c>
      <c r="AI53" s="12">
        <f ca="1">VLOOKUP(A53,Dividende_je_Aktie!A3:AM68,25,FALSE)</f>
        <v>0.62223516469293938</v>
      </c>
      <c r="AJ53" s="41">
        <f>VLOOKUP(A53,Dividende_je_Aktie!A3:AM68,39,FALSE)</f>
        <v>2.1276595744680771E-2</v>
      </c>
      <c r="AK53" s="16">
        <f t="shared" ca="1" si="6"/>
        <v>1.9895555555555553</v>
      </c>
      <c r="AL53" s="12">
        <f t="shared" ca="1" si="7"/>
        <v>0.62223516469293938</v>
      </c>
      <c r="AM53" s="33">
        <f ca="1">IF(AI53&lt;Bewertung_Stammdaten!P$24,Bewertung_Stammdaten!O$24,IF(AI53&lt;Bewertung_Stammdaten!P$25,Bewertung_Stammdaten!O$25,IF(AI53&lt;Bewertung_Stammdaten!P$26,Bewertung_Stammdaten!O$26,IF(AI53&lt;Bewertung_Stammdaten!P$27,Bewertung_Stammdaten!O$27,IF(AI53&lt;Bewertung_Stammdaten!P$28,Bewertung_Stammdaten!O$28,IF(AI53&lt;Bewertung_Stammdaten!P$29,Bewertung_Stammdaten!O$29,IF(AI53&lt;Bewertung_Stammdaten!P$30,Bewertung_Stammdaten!O$30,IF(AI53&lt;Bewertung_Stammdaten!P$31,Bewertung_Stammdaten!O$31,IF(AI53&lt;Bewertung_Stammdaten!P$32,Bewertung_Stammdaten!O$32,Bewertung_Stammdaten!O$33)))))))))</f>
        <v>18</v>
      </c>
      <c r="AN53" s="33">
        <f>IF(AJ53&lt;Bewertung_Stammdaten!R$24,Bewertung_Stammdaten!Q$24,IF(AJ53&lt;Bewertung_Stammdaten!R$25,Bewertung_Stammdaten!Q$25,IF(AJ53&lt;Bewertung_Stammdaten!R$26,Bewertung_Stammdaten!Q$26,IF(AJ53&lt;Bewertung_Stammdaten!R$27,Bewertung_Stammdaten!Q$27,IF(AJ53&lt;Bewertung_Stammdaten!R$28,Bewertung_Stammdaten!Q$28,IF(AJ53&lt;Bewertung_Stammdaten!R$29,Bewertung_Stammdaten!Q$29,IF(AJ53&lt;Bewertung_Stammdaten!R$30,Bewertung_Stammdaten!Q$30,IF(AJ53&lt;Bewertung_Stammdaten!R$31,Bewertung_Stammdaten!Q$31,IF(AJ53&lt;Bewertung_Stammdaten!R$32,Bewertung_Stammdaten!Q$32,Bewertung_Stammdaten!Q$33)))))))))</f>
        <v>8</v>
      </c>
      <c r="AO53" s="33">
        <f ca="1">IF(AL53&lt;Bewertung_Stammdaten!T$24,Bewertung_Stammdaten!S$24,IF(AL53&lt;Bewertung_Stammdaten!T$25,Bewertung_Stammdaten!S$25,IF(AL53&lt;Bewertung_Stammdaten!T$26,Bewertung_Stammdaten!S$26,IF(AL53&lt;Bewertung_Stammdaten!T$27,Bewertung_Stammdaten!S$27,IF(AL53&lt;Bewertung_Stammdaten!T$28,Bewertung_Stammdaten!S$28,IF(AL53&lt;Bewertung_Stammdaten!T$29,Bewertung_Stammdaten!S$29,IF(AL53&lt;Bewertung_Stammdaten!T$30,Bewertung_Stammdaten!S$30,IF(AL53&lt;Bewertung_Stammdaten!T$31,Bewertung_Stammdaten!S$31,IF(AL53&lt;Bewertung_Stammdaten!T$32,Bewertung_Stammdaten!S$32,Bewertung_Stammdaten!S$33)))))))))</f>
        <v>10</v>
      </c>
      <c r="AP53" s="44"/>
      <c r="AQ53" s="12">
        <f ca="1">VLOOKUP(A53,Dividendenrendite!A3:R68,17,FALSE)</f>
        <v>2.4292497625830953E-2</v>
      </c>
      <c r="AR53" s="12">
        <f>VLOOKUP(A53,Dividendenrendite!A3:R68,16,FALSE)</f>
        <v>1.8586096355682934E-2</v>
      </c>
      <c r="AS53" s="12">
        <f ca="1">VLOOKUP(A53,Dividendenrendite!A3:R68,18,FALSE)</f>
        <v>0.30702527098452359</v>
      </c>
      <c r="AT53" s="33">
        <f ca="1">IF(AQ53&lt;Bewertung_Stammdaten!D$11,Bewertung_Stammdaten!C$11,IF(AQ53&lt;Bewertung_Stammdaten!D$12,Bewertung_Stammdaten!C$12,IF(AQ53&lt;Bewertung_Stammdaten!D$13,Bewertung_Stammdaten!C$13,IF(AQ53&lt;Bewertung_Stammdaten!D$14,Bewertung_Stammdaten!C$14,IF(AQ53&lt;Bewertung_Stammdaten!D$15,Bewertung_Stammdaten!C$15,IF(AQ53&lt;Bewertung_Stammdaten!D$16,Bewertung_Stammdaten!C$16,IF(AQ53&lt;Bewertung_Stammdaten!D$17,Bewertung_Stammdaten!C$17,IF(AQ53&lt;Bewertung_Stammdaten!D$18,Bewertung_Stammdaten!C$18,IF(AQ53&lt;Bewertung_Stammdaten!D$19,Bewertung_Stammdaten!C$19,Bewertung_Stammdaten!C$20)))))))))</f>
        <v>7.5</v>
      </c>
      <c r="AU53" s="33">
        <f>IF(AR53&lt;Bewertung_Stammdaten!T$11,Bewertung_Stammdaten!S$11,IF(AR53&lt;Bewertung_Stammdaten!T$12,Bewertung_Stammdaten!S$12,IF(AR53&lt;Bewertung_Stammdaten!T$13,Bewertung_Stammdaten!S$13,IF(AR53&lt;Bewertung_Stammdaten!T$14,Bewertung_Stammdaten!S$14,IF(AR53&lt;Bewertung_Stammdaten!T$15,Bewertung_Stammdaten!S$15,IF(AR53&lt;Bewertung_Stammdaten!T$16,Bewertung_Stammdaten!S$16,IF(AR53&lt;Bewertung_Stammdaten!T$17,Bewertung_Stammdaten!S$17,IF(AR53&lt;Bewertung_Stammdaten!T$18,Bewertung_Stammdaten!S$18,IF(AR53&lt;Bewertung_Stammdaten!T$19,Bewertung_Stammdaten!S$19,Bewertung_Stammdaten!S$20)))))))))</f>
        <v>4</v>
      </c>
      <c r="AV53" s="33">
        <f ca="1">IF(AS53&lt;Bewertung_Stammdaten!F$11,Bewertung_Stammdaten!E$11,IF(AS53&lt;Bewertung_Stammdaten!F$12,Bewertung_Stammdaten!E$12,IF(AS53&lt;Bewertung_Stammdaten!F$13,Bewertung_Stammdaten!E$13,IF(AS53&lt;Bewertung_Stammdaten!F$14,Bewertung_Stammdaten!E$14,IF(AS53&lt;Bewertung_Stammdaten!F$15,Bewertung_Stammdaten!E$15,IF(AS53&lt;Bewertung_Stammdaten!F$16,Bewertung_Stammdaten!E$16,IF(AS53&lt;Bewertung_Stammdaten!F$17,Bewertung_Stammdaten!E$17,IF(AS53&lt;Bewertung_Stammdaten!F$18,Bewertung_Stammdaten!E$18,IF(AS53&lt;Bewertung_Stammdaten!F$19,Bewertung_Stammdaten!E$19,Bewertung_Stammdaten!E$20)))))))))</f>
        <v>5</v>
      </c>
      <c r="AW53" s="44"/>
      <c r="AX53" s="12">
        <f>VLOOKUP(A53,Aktien_im_Umlauf_splitbereinigt!A3:Z68,26,FALSE)</f>
        <v>-2.4441762220881125E-2</v>
      </c>
      <c r="AY53" s="12">
        <f>VLOOKUP(A53,Aktien_im_Umlauf_splitbereinigt!A3:Y68,24,FALSE)</f>
        <v>-2.938535563999678E-2</v>
      </c>
      <c r="AZ53" s="12">
        <f>VLOOKUP(A53,Aktien_im_Umlauf_splitbereinigt!A3:Y68,25,FALSE)</f>
        <v>-0.16823323425723213</v>
      </c>
      <c r="BA53" s="42">
        <f>IF(AX53&lt;Bewertung_Stammdaten!J$24,Bewertung_Stammdaten!I$24,IF(AX53&lt;Bewertung_Stammdaten!J$25,Bewertung_Stammdaten!I$25,IF(AX53&lt;Bewertung_Stammdaten!J$26,Bewertung_Stammdaten!I$26,IF(AX53&lt;Bewertung_Stammdaten!J$27,Bewertung_Stammdaten!I$27,IF(AX53&lt;Bewertung_Stammdaten!J$28,Bewertung_Stammdaten!I$28,IF(AX53&lt;Bewertung_Stammdaten!J$29,Bewertung_Stammdaten!I$29,IF(AX53&lt;Bewertung_Stammdaten!J$30,Bewertung_Stammdaten!I$30,IF(AX53&lt;Bewertung_Stammdaten!J$31,Bewertung_Stammdaten!I$31,IF(AX53&lt;Bewertung_Stammdaten!J$32,Bewertung_Stammdaten!I$32,Bewertung_Stammdaten!I$33)))))))))</f>
        <v>7</v>
      </c>
      <c r="BB53" s="42">
        <f>IF(AY53&lt;Bewertung_Stammdaten!L$24,Bewertung_Stammdaten!K$24,IF(AY53&lt;Bewertung_Stammdaten!L$25,Bewertung_Stammdaten!K$25,IF(AY53&lt;Bewertung_Stammdaten!L$26,Bewertung_Stammdaten!K$26,IF(AY53&lt;Bewertung_Stammdaten!L$27,Bewertung_Stammdaten!K$27,IF(AY53&lt;Bewertung_Stammdaten!L$28,Bewertung_Stammdaten!K$28,IF(AY53&lt;Bewertung_Stammdaten!L$29,Bewertung_Stammdaten!K$29,IF(AY53&lt;Bewertung_Stammdaten!L$30,Bewertung_Stammdaten!K$30,IF(AY53&lt;Bewertung_Stammdaten!L$31,Bewertung_Stammdaten!K$31,IF(AY53&lt;Bewertung_Stammdaten!L$32,Bewertung_Stammdaten!K$32,Bewertung_Stammdaten!K$33)))))))))</f>
        <v>8</v>
      </c>
      <c r="BC53" s="42">
        <f>IF(AZ53&lt;Bewertung_Stammdaten!N$24,Bewertung_Stammdaten!M$24,IF(AZ53&lt;Bewertung_Stammdaten!N$25,Bewertung_Stammdaten!M$25,IF(AZ53&lt;Bewertung_Stammdaten!N$26,Bewertung_Stammdaten!M$26,IF(AZ53&lt;Bewertung_Stammdaten!N$27,Bewertung_Stammdaten!M$27,IF(AZ53&lt;Bewertung_Stammdaten!N$28,Bewertung_Stammdaten!M$28,IF(AZ53&lt;Bewertung_Stammdaten!N$29,Bewertung_Stammdaten!M$29,IF(AZ53&lt;Bewertung_Stammdaten!N$30,Bewertung_Stammdaten!M$30,IF(AZ53&lt;Bewertung_Stammdaten!N$31,Bewertung_Stammdaten!M$31,IF(AZ53&lt;Bewertung_Stammdaten!N$32,Bewertung_Stammdaten!M$32,Bewertung_Stammdaten!M$33)))))))))</f>
        <v>2.5</v>
      </c>
      <c r="BD53" s="44"/>
      <c r="BE53" s="12">
        <f ca="1">VLOOKUP(A53,Ausschüttungsquote!A3:X68,23,FALSE)</f>
        <v>0.40395351555676395</v>
      </c>
      <c r="BF53" s="12">
        <f>VLOOKUP(A53,Ausschüttungsquote!A3:X68,19,FALSE)</f>
        <v>0.30927430166065789</v>
      </c>
      <c r="BG53" s="12">
        <f ca="1">VLOOKUP(A53,Ausschüttungsquote!A3:X68,24,FALSE)</f>
        <v>0.30613346594826374</v>
      </c>
      <c r="BH53" s="33">
        <f ca="1">IF(BE53&lt;Bewertung_Stammdaten!H$11,Bewertung_Stammdaten!G$11,IF(BE53&lt;Bewertung_Stammdaten!H$12,Bewertung_Stammdaten!G$12,IF(BE53&lt;Bewertung_Stammdaten!H$13,Bewertung_Stammdaten!G$13,IF(BE53&lt;Bewertung_Stammdaten!H$14,Bewertung_Stammdaten!G$14,IF(BE53&lt;Bewertung_Stammdaten!H$15,Bewertung_Stammdaten!G$15,IF(BE53&lt;Bewertung_Stammdaten!H$16,Bewertung_Stammdaten!G$16,IF(BE53&lt;Bewertung_Stammdaten!H$17,Bewertung_Stammdaten!G$17,IF(BE53&lt;Bewertung_Stammdaten!H$18,Bewertung_Stammdaten!G$18,IF(BE53&lt;Bewertung_Stammdaten!H$19,Bewertung_Stammdaten!G$19,Bewertung_Stammdaten!G$20)))))))))</f>
        <v>9</v>
      </c>
      <c r="BI53" s="42">
        <f>IF(BF53&lt;Bewertung_Stammdaten!B$24,Bewertung_Stammdaten!A$24,IF(BF53&lt;Bewertung_Stammdaten!B$25,Bewertung_Stammdaten!A$25,IF(BF53&lt;Bewertung_Stammdaten!B$26,Bewertung_Stammdaten!A$26,IF(BF53&lt;Bewertung_Stammdaten!B$27,Bewertung_Stammdaten!A$27,IF(BF53&lt;Bewertung_Stammdaten!B$28,Bewertung_Stammdaten!A$28,IF(BF53&lt;Bewertung_Stammdaten!B$29,Bewertung_Stammdaten!A$29,IF(BF53&lt;Bewertung_Stammdaten!B$30,Bewertung_Stammdaten!A$30,IF(BF53&lt;Bewertung_Stammdaten!B$31,Bewertung_Stammdaten!A$31,IF(BF53&lt;Bewertung_Stammdaten!B$32,Bewertung_Stammdaten!A$32,Bewertung_Stammdaten!A$33)))))))))</f>
        <v>10</v>
      </c>
      <c r="BJ53" s="33">
        <f ca="1">IF(BG53&lt;Bewertung_Stammdaten!J$11,Bewertung_Stammdaten!I$11,IF(BG53&lt;Bewertung_Stammdaten!J$12,Bewertung_Stammdaten!I$12,IF(BG53&lt;Bewertung_Stammdaten!J$13,Bewertung_Stammdaten!I$13,IF(BG53&lt;Bewertung_Stammdaten!J$14,Bewertung_Stammdaten!I$14,IF(BG53&lt;Bewertung_Stammdaten!J$15,Bewertung_Stammdaten!I$15,IF(BG53&lt;Bewertung_Stammdaten!J$16,Bewertung_Stammdaten!I$16,IF(BG53&lt;Bewertung_Stammdaten!J$17,Bewertung_Stammdaten!I$17,IF(BG53&lt;Bewertung_Stammdaten!J$18,Bewertung_Stammdaten!I$18,IF(BG53&lt;Bewertung_Stammdaten!J$19,Bewertung_Stammdaten!I$19,Bewertung_Stammdaten!I$20)))))))))</f>
        <v>1</v>
      </c>
    </row>
    <row r="54" spans="1:62" x14ac:dyDescent="0.25">
      <c r="A54" s="39" t="s">
        <v>102</v>
      </c>
      <c r="B54" s="39" t="s">
        <v>103</v>
      </c>
      <c r="C54" s="33">
        <f t="shared" ca="1" si="8"/>
        <v>131.5</v>
      </c>
      <c r="D54" s="44"/>
      <c r="E54" s="11">
        <f ca="1">VLOOKUP(A54,KGV!A3:R68,17,FALSE)</f>
        <v>21.401766077324684</v>
      </c>
      <c r="F54" s="11">
        <f>VLOOKUP(A54,KGV!A3:R68,16,FALSE)</f>
        <v>19.23782866242038</v>
      </c>
      <c r="G54" s="12">
        <f ca="1">VLOOKUP(A54,KGV!A3:R68,18,FALSE)</f>
        <v>0.1124834539737527</v>
      </c>
      <c r="H54" s="16">
        <f t="shared" ca="1" si="9"/>
        <v>24.826048649696631</v>
      </c>
      <c r="I54" s="12">
        <f t="shared" ca="1" si="10"/>
        <v>0.290480806609553</v>
      </c>
      <c r="J54" s="33">
        <f ca="1">IF(G54&lt;Bewertung_Stammdaten!B$11,Bewertung_Stammdaten!A$11,IF(G54&lt;Bewertung_Stammdaten!B$12,Bewertung_Stammdaten!A$12,IF(G54&lt;Bewertung_Stammdaten!B$13,Bewertung_Stammdaten!A$13,IF(G54&lt;Bewertung_Stammdaten!B$14,Bewertung_Stammdaten!A$14,IF(G54&lt;Bewertung_Stammdaten!B$15,Bewertung_Stammdaten!A$15,IF(G54&lt;Bewertung_Stammdaten!B$16,Bewertung_Stammdaten!A$16,IF(G54&lt;Bewertung_Stammdaten!B$17,Bewertung_Stammdaten!A$17,IF(G54&lt;Bewertung_Stammdaten!B$18,Bewertung_Stammdaten!A$18,IF(G54&lt;Bewertung_Stammdaten!B$19,Bewertung_Stammdaten!A$19,Bewertung_Stammdaten!A$20)))))))))</f>
        <v>12</v>
      </c>
      <c r="K54" s="33">
        <f ca="1">IF(I54&lt;Bewertung_Stammdaten!N$11,Bewertung_Stammdaten!M$11,IF(I54&lt;Bewertung_Stammdaten!N$12,Bewertung_Stammdaten!M$12,IF(I54&lt;Bewertung_Stammdaten!N$13,Bewertung_Stammdaten!M$13,IF(I54&lt;Bewertung_Stammdaten!N$14,Bewertung_Stammdaten!M$14,IF(I54&lt;Bewertung_Stammdaten!N$15,Bewertung_Stammdaten!M$15,IF(I54&lt;Bewertung_Stammdaten!N$16,Bewertung_Stammdaten!M$16,IF(I54&lt;Bewertung_Stammdaten!N$17,Bewertung_Stammdaten!M$17,IF(I54&lt;Bewertung_Stammdaten!N$18,Bewertung_Stammdaten!M$18,IF(I54&lt;Bewertung_Stammdaten!N$19,Bewertung_Stammdaten!M$19,Bewertung_Stammdaten!M$20)))))))))</f>
        <v>6</v>
      </c>
      <c r="L54" s="44"/>
      <c r="M54" s="11">
        <f ca="1">VLOOKUP(A54,Buchwert_je_Aktie!A3:AK68,23,FALSE)</f>
        <v>34.044722222222227</v>
      </c>
      <c r="N54" s="11">
        <f>VLOOKUP(A54,Buchwert_je_Aktie!A3:AK68,19,FALSE)</f>
        <v>28.858888888888885</v>
      </c>
      <c r="O54" s="12">
        <f ca="1">VLOOKUP(A54,Buchwert_je_Aktie!A3:AK68,24,FALSE)</f>
        <v>0.17969622300080879</v>
      </c>
      <c r="P54" s="12">
        <f>VLOOKUP(A54,Buchwert_je_Aktie!A3:AK68,37,FALSE)</f>
        <v>2.9761904761904656E-3</v>
      </c>
      <c r="Q54" s="16">
        <f t="shared" ca="1" si="11"/>
        <v>34.044722222222227</v>
      </c>
      <c r="R54" s="12">
        <f t="shared" ca="1" si="12"/>
        <v>0.17969622300080879</v>
      </c>
      <c r="S54" s="53">
        <f ca="1">IF(O54&lt;Bewertung_Stammdaten!D$24,Bewertung_Stammdaten!C$24,IF(O54&lt;Bewertung_Stammdaten!D$25,Bewertung_Stammdaten!C$25,IF(O54&lt;Bewertung_Stammdaten!D$26,Bewertung_Stammdaten!C$26,IF(O54&lt;Bewertung_Stammdaten!D$27,Bewertung_Stammdaten!C$27,IF(O54&lt;Bewertung_Stammdaten!D$28,Bewertung_Stammdaten!C$28,IF(O54&lt;Bewertung_Stammdaten!D$29,Bewertung_Stammdaten!C$29,IF(O54&lt;Bewertung_Stammdaten!D$30,Bewertung_Stammdaten!C$30,IF(O54&lt;Bewertung_Stammdaten!D$31,Bewertung_Stammdaten!C$31,IF(O54&lt;Bewertung_Stammdaten!D$32,Bewertung_Stammdaten!C$32,Bewertung_Stammdaten!C$33)))))))))</f>
        <v>6</v>
      </c>
      <c r="T54" s="53">
        <f>IF(P54&lt;Bewertung_Stammdaten!F$24,Bewertung_Stammdaten!E$24,IF(P54&lt;Bewertung_Stammdaten!F$25,Bewertung_Stammdaten!E$25,IF(P54&lt;Bewertung_Stammdaten!F$26,Bewertung_Stammdaten!E$26,IF(P54&lt;Bewertung_Stammdaten!F$27,Bewertung_Stammdaten!E$27,IF(P54&lt;Bewertung_Stammdaten!F$28,Bewertung_Stammdaten!E$28,IF(P54&lt;Bewertung_Stammdaten!F$29,Bewertung_Stammdaten!E$29,IF(P54&lt;Bewertung_Stammdaten!F$30,Bewertung_Stammdaten!E$30,IF(P54&lt;Bewertung_Stammdaten!F$31,Bewertung_Stammdaten!E$31,IF(P54&lt;Bewertung_Stammdaten!F$32,Bewertung_Stammdaten!E$32,Bewertung_Stammdaten!E$33)))))))))</f>
        <v>12</v>
      </c>
      <c r="U54" s="53">
        <f ca="1">IF(R54&lt;Bewertung_Stammdaten!H$24,Bewertung_Stammdaten!G$24,IF(R54&lt;Bewertung_Stammdaten!H$25,Bewertung_Stammdaten!G$25,IF(R54&lt;Bewertung_Stammdaten!H$26,Bewertung_Stammdaten!G$26,IF(R54&lt;Bewertung_Stammdaten!H$27,Bewertung_Stammdaten!G$27,IF(R54&lt;Bewertung_Stammdaten!H$28,Bewertung_Stammdaten!G$28,IF(R54&lt;Bewertung_Stammdaten!H$29,Bewertung_Stammdaten!G$29,IF(R54&lt;Bewertung_Stammdaten!H$30,Bewertung_Stammdaten!G$30,IF(R54&lt;Bewertung_Stammdaten!H$31,Bewertung_Stammdaten!G$31,IF(R54&lt;Bewertung_Stammdaten!H$32,Bewertung_Stammdaten!G$32,Bewertung_Stammdaten!G$33)))))))))</f>
        <v>4</v>
      </c>
      <c r="V54" s="44"/>
      <c r="W54" s="14">
        <f ca="1">VLOOKUP(A54,Ergebnis_je_Aktie_verwässert!A3:AK68,23,FALSE)</f>
        <v>5.645027777777778</v>
      </c>
      <c r="X54" s="14">
        <f>VLOOKUP(A54,Ergebnis_je_Aktie_verwässert!A3:AK68,19,FALSE)</f>
        <v>4.3550000000000004</v>
      </c>
      <c r="Y54" s="12">
        <f ca="1">VLOOKUP(A54,Ergebnis_je_Aktie_verwässert!A3:AK68,24,FALSE)</f>
        <v>0.29621762979971922</v>
      </c>
      <c r="Z54" s="41">
        <f>VLOOKUP(A54,Ergebnis_je_Aktie_verwässert!A3:AK68,37,FALSE)</f>
        <v>-0.13793103448275856</v>
      </c>
      <c r="AA54" s="16">
        <f t="shared" ca="1" si="13"/>
        <v>4.8664032567049818</v>
      </c>
      <c r="AB54" s="12">
        <f t="shared" ca="1" si="14"/>
        <v>0.11742899120665462</v>
      </c>
      <c r="AC54" s="33">
        <f ca="1">IF(Y54&lt;Bewertung_Stammdaten!L$11,Bewertung_Stammdaten!K$11,IF(Y54&lt;Bewertung_Stammdaten!L$12,Bewertung_Stammdaten!K$12,IF(Y54&lt;Bewertung_Stammdaten!L$13,Bewertung_Stammdaten!K$13,IF(Y54&lt;Bewertung_Stammdaten!L$14,Bewertung_Stammdaten!K$14,IF(Y54&lt;Bewertung_Stammdaten!L$15,Bewertung_Stammdaten!K$15,IF(Y54&lt;Bewertung_Stammdaten!L$16,Bewertung_Stammdaten!K$16,IF(Y54&lt;Bewertung_Stammdaten!L$17,Bewertung_Stammdaten!K$17,IF(Y54&lt;Bewertung_Stammdaten!L$18,Bewertung_Stammdaten!K$18,IF(Y54&lt;Bewertung_Stammdaten!L$19,Bewertung_Stammdaten!K$19,Bewertung_Stammdaten!K$20)))))))))</f>
        <v>10</v>
      </c>
      <c r="AD54" s="33">
        <f>IF(Z54&lt;Bewertung_Stammdaten!R$11,Bewertung_Stammdaten!Q$11,IF(Z54&lt;Bewertung_Stammdaten!R$12,Bewertung_Stammdaten!Q$12,IF(Z54&lt;Bewertung_Stammdaten!R$13,Bewertung_Stammdaten!Q$13,IF(Z54&lt;Bewertung_Stammdaten!R$14,Bewertung_Stammdaten!Q$14,IF(Z54&lt;Bewertung_Stammdaten!R$15,Bewertung_Stammdaten!Q$15,IF(Z54&lt;Bewertung_Stammdaten!R$16,Bewertung_Stammdaten!Q$16,IF(Z54&lt;Bewertung_Stammdaten!R$17,Bewertung_Stammdaten!Q$17,IF(Z54&lt;Bewertung_Stammdaten!R$18,Bewertung_Stammdaten!Q$18,IF(Z54&lt;Bewertung_Stammdaten!R$19,Bewertung_Stammdaten!Q$19,Bewertung_Stammdaten!Q$20)))))))))</f>
        <v>6</v>
      </c>
      <c r="AE54" s="33">
        <f ca="1">IF(AB54&lt;Bewertung_Stammdaten!P$11,Bewertung_Stammdaten!O$11,IF(AB54&lt;Bewertung_Stammdaten!P$12,Bewertung_Stammdaten!O$12,IF(AB54&lt;Bewertung_Stammdaten!P$13,Bewertung_Stammdaten!O$13,IF(AB54&lt;Bewertung_Stammdaten!P$14,Bewertung_Stammdaten!O$14,IF(AB54&lt;Bewertung_Stammdaten!P$15,Bewertung_Stammdaten!O$15,IF(AB54&lt;Bewertung_Stammdaten!P$16,Bewertung_Stammdaten!O$16,IF(AB54&lt;Bewertung_Stammdaten!P$17,Bewertung_Stammdaten!O$17,IF(AB54&lt;Bewertung_Stammdaten!P$18,Bewertung_Stammdaten!O$18,IF(AB54&lt;Bewertung_Stammdaten!P$19,Bewertung_Stammdaten!O$19,Bewertung_Stammdaten!O$20)))))))))</f>
        <v>5</v>
      </c>
      <c r="AF54" s="44"/>
      <c r="AG54" s="14">
        <f ca="1">VLOOKUP(A54,Dividende_je_Aktie!A3:AM68,24,FALSE)</f>
        <v>3.5909722222222218</v>
      </c>
      <c r="AH54" s="14">
        <f>VLOOKUP(A54,Dividende_je_Aktie!A3:AM68,20,FALSE)</f>
        <v>2.3250000000000002</v>
      </c>
      <c r="AI54" s="12">
        <f ca="1">VLOOKUP(A54,Dividende_je_Aktie!A3:AM68,25,FALSE)</f>
        <v>0.54450418160095548</v>
      </c>
      <c r="AJ54" s="41">
        <f>VLOOKUP(A54,Dividende_je_Aktie!A3:AM68,39,FALSE)</f>
        <v>6.360424028268552E-2</v>
      </c>
      <c r="AK54" s="16">
        <f t="shared" ca="1" si="6"/>
        <v>3.5909722222222218</v>
      </c>
      <c r="AL54" s="12">
        <f t="shared" ca="1" si="7"/>
        <v>0.54450418160095548</v>
      </c>
      <c r="AM54" s="33">
        <f ca="1">IF(AI54&lt;Bewertung_Stammdaten!P$24,Bewertung_Stammdaten!O$24,IF(AI54&lt;Bewertung_Stammdaten!P$25,Bewertung_Stammdaten!O$25,IF(AI54&lt;Bewertung_Stammdaten!P$26,Bewertung_Stammdaten!O$26,IF(AI54&lt;Bewertung_Stammdaten!P$27,Bewertung_Stammdaten!O$27,IF(AI54&lt;Bewertung_Stammdaten!P$28,Bewertung_Stammdaten!O$28,IF(AI54&lt;Bewertung_Stammdaten!P$29,Bewertung_Stammdaten!O$29,IF(AI54&lt;Bewertung_Stammdaten!P$30,Bewertung_Stammdaten!O$30,IF(AI54&lt;Bewertung_Stammdaten!P$31,Bewertung_Stammdaten!O$31,IF(AI54&lt;Bewertung_Stammdaten!P$32,Bewertung_Stammdaten!O$32,Bewertung_Stammdaten!O$33)))))))))</f>
        <v>16</v>
      </c>
      <c r="AN54" s="33">
        <f>IF(AJ54&lt;Bewertung_Stammdaten!R$24,Bewertung_Stammdaten!Q$24,IF(AJ54&lt;Bewertung_Stammdaten!R$25,Bewertung_Stammdaten!Q$25,IF(AJ54&lt;Bewertung_Stammdaten!R$26,Bewertung_Stammdaten!Q$26,IF(AJ54&lt;Bewertung_Stammdaten!R$27,Bewertung_Stammdaten!Q$27,IF(AJ54&lt;Bewertung_Stammdaten!R$28,Bewertung_Stammdaten!Q$28,IF(AJ54&lt;Bewertung_Stammdaten!R$29,Bewertung_Stammdaten!Q$29,IF(AJ54&lt;Bewertung_Stammdaten!R$30,Bewertung_Stammdaten!Q$30,IF(AJ54&lt;Bewertung_Stammdaten!R$31,Bewertung_Stammdaten!Q$31,IF(AJ54&lt;Bewertung_Stammdaten!R$32,Bewertung_Stammdaten!Q$32,Bewertung_Stammdaten!Q$33)))))))))</f>
        <v>8</v>
      </c>
      <c r="AO54" s="33">
        <f ca="1">IF(AL54&lt;Bewertung_Stammdaten!T$24,Bewertung_Stammdaten!S$24,IF(AL54&lt;Bewertung_Stammdaten!T$25,Bewertung_Stammdaten!S$25,IF(AL54&lt;Bewertung_Stammdaten!T$26,Bewertung_Stammdaten!S$26,IF(AL54&lt;Bewertung_Stammdaten!T$27,Bewertung_Stammdaten!S$27,IF(AL54&lt;Bewertung_Stammdaten!T$28,Bewertung_Stammdaten!S$28,IF(AL54&lt;Bewertung_Stammdaten!T$29,Bewertung_Stammdaten!S$29,IF(AL54&lt;Bewertung_Stammdaten!T$30,Bewertung_Stammdaten!S$30,IF(AL54&lt;Bewertung_Stammdaten!T$31,Bewertung_Stammdaten!S$31,IF(AL54&lt;Bewertung_Stammdaten!T$32,Bewertung_Stammdaten!S$32,Bewertung_Stammdaten!S$33)))))))))</f>
        <v>9</v>
      </c>
      <c r="AP54" s="44"/>
      <c r="AQ54" s="12">
        <f ca="1">VLOOKUP(A54,Dividendenrendite!A3:R68,17,FALSE)</f>
        <v>2.9723253774900822E-2</v>
      </c>
      <c r="AR54" s="12">
        <f>VLOOKUP(A54,Dividendenrendite!A3:R68,16,FALSE)</f>
        <v>2.3261790418216043E-2</v>
      </c>
      <c r="AS54" s="12">
        <f ca="1">VLOOKUP(A54,Dividendenrendite!A3:R68,18,FALSE)</f>
        <v>0.27777154038946561</v>
      </c>
      <c r="AT54" s="33">
        <f ca="1">IF(AQ54&lt;Bewertung_Stammdaten!D$11,Bewertung_Stammdaten!C$11,IF(AQ54&lt;Bewertung_Stammdaten!D$12,Bewertung_Stammdaten!C$12,IF(AQ54&lt;Bewertung_Stammdaten!D$13,Bewertung_Stammdaten!C$13,IF(AQ54&lt;Bewertung_Stammdaten!D$14,Bewertung_Stammdaten!C$14,IF(AQ54&lt;Bewertung_Stammdaten!D$15,Bewertung_Stammdaten!C$15,IF(AQ54&lt;Bewertung_Stammdaten!D$16,Bewertung_Stammdaten!C$16,IF(AQ54&lt;Bewertung_Stammdaten!D$17,Bewertung_Stammdaten!C$17,IF(AQ54&lt;Bewertung_Stammdaten!D$18,Bewertung_Stammdaten!C$18,IF(AQ54&lt;Bewertung_Stammdaten!D$19,Bewertung_Stammdaten!C$19,Bewertung_Stammdaten!C$20)))))))))</f>
        <v>9</v>
      </c>
      <c r="AU54" s="33">
        <f>IF(AR54&lt;Bewertung_Stammdaten!T$11,Bewertung_Stammdaten!S$11,IF(AR54&lt;Bewertung_Stammdaten!T$12,Bewertung_Stammdaten!S$12,IF(AR54&lt;Bewertung_Stammdaten!T$13,Bewertung_Stammdaten!S$13,IF(AR54&lt;Bewertung_Stammdaten!T$14,Bewertung_Stammdaten!S$14,IF(AR54&lt;Bewertung_Stammdaten!T$15,Bewertung_Stammdaten!S$15,IF(AR54&lt;Bewertung_Stammdaten!T$16,Bewertung_Stammdaten!S$16,IF(AR54&lt;Bewertung_Stammdaten!T$17,Bewertung_Stammdaten!S$17,IF(AR54&lt;Bewertung_Stammdaten!T$18,Bewertung_Stammdaten!S$18,IF(AR54&lt;Bewertung_Stammdaten!T$19,Bewertung_Stammdaten!S$19,Bewertung_Stammdaten!S$20)))))))))</f>
        <v>5</v>
      </c>
      <c r="AV54" s="33">
        <f ca="1">IF(AS54&lt;Bewertung_Stammdaten!F$11,Bewertung_Stammdaten!E$11,IF(AS54&lt;Bewertung_Stammdaten!F$12,Bewertung_Stammdaten!E$12,IF(AS54&lt;Bewertung_Stammdaten!F$13,Bewertung_Stammdaten!E$13,IF(AS54&lt;Bewertung_Stammdaten!F$14,Bewertung_Stammdaten!E$14,IF(AS54&lt;Bewertung_Stammdaten!F$15,Bewertung_Stammdaten!E$15,IF(AS54&lt;Bewertung_Stammdaten!F$16,Bewertung_Stammdaten!E$16,IF(AS54&lt;Bewertung_Stammdaten!F$17,Bewertung_Stammdaten!E$17,IF(AS54&lt;Bewertung_Stammdaten!F$18,Bewertung_Stammdaten!E$18,IF(AS54&lt;Bewertung_Stammdaten!F$19,Bewertung_Stammdaten!E$19,Bewertung_Stammdaten!E$20)))))))))</f>
        <v>5</v>
      </c>
      <c r="AW54" s="44"/>
      <c r="AX54" s="12">
        <f>VLOOKUP(A54,Aktien_im_Umlauf_splitbereinigt!A3:Z68,26,FALSE)</f>
        <v>0</v>
      </c>
      <c r="AY54" s="12">
        <f>VLOOKUP(A54,Aktien_im_Umlauf_splitbereinigt!A3:Y68,24,FALSE)</f>
        <v>4.9828737960355696E-4</v>
      </c>
      <c r="AZ54" s="12">
        <f>VLOOKUP(A54,Aktien_im_Umlauf_splitbereinigt!A3:Y68,25,FALSE)</f>
        <v>-99.999989999999997</v>
      </c>
      <c r="BA54" s="42">
        <f>IF(AX54&lt;Bewertung_Stammdaten!J$24,Bewertung_Stammdaten!I$24,IF(AX54&lt;Bewertung_Stammdaten!J$25,Bewertung_Stammdaten!I$25,IF(AX54&lt;Bewertung_Stammdaten!J$26,Bewertung_Stammdaten!I$26,IF(AX54&lt;Bewertung_Stammdaten!J$27,Bewertung_Stammdaten!I$27,IF(AX54&lt;Bewertung_Stammdaten!J$28,Bewertung_Stammdaten!I$28,IF(AX54&lt;Bewertung_Stammdaten!J$29,Bewertung_Stammdaten!I$29,IF(AX54&lt;Bewertung_Stammdaten!J$30,Bewertung_Stammdaten!I$30,IF(AX54&lt;Bewertung_Stammdaten!J$31,Bewertung_Stammdaten!I$31,IF(AX54&lt;Bewertung_Stammdaten!J$32,Bewertung_Stammdaten!I$32,Bewertung_Stammdaten!I$33)))))))))</f>
        <v>2</v>
      </c>
      <c r="BB54" s="42">
        <f>IF(AY54&lt;Bewertung_Stammdaten!L$24,Bewertung_Stammdaten!K$24,IF(AY54&lt;Bewertung_Stammdaten!L$25,Bewertung_Stammdaten!K$25,IF(AY54&lt;Bewertung_Stammdaten!L$26,Bewertung_Stammdaten!K$26,IF(AY54&lt;Bewertung_Stammdaten!L$27,Bewertung_Stammdaten!K$27,IF(AY54&lt;Bewertung_Stammdaten!L$28,Bewertung_Stammdaten!K$28,IF(AY54&lt;Bewertung_Stammdaten!L$29,Bewertung_Stammdaten!K$29,IF(AY54&lt;Bewertung_Stammdaten!L$30,Bewertung_Stammdaten!K$30,IF(AY54&lt;Bewertung_Stammdaten!L$31,Bewertung_Stammdaten!K$31,IF(AY54&lt;Bewertung_Stammdaten!L$32,Bewertung_Stammdaten!K$32,Bewertung_Stammdaten!K$33)))))))))</f>
        <v>2</v>
      </c>
      <c r="BC54" s="42">
        <f>IF(AZ54&lt;Bewertung_Stammdaten!N$24,Bewertung_Stammdaten!M$24,IF(AZ54&lt;Bewertung_Stammdaten!N$25,Bewertung_Stammdaten!M$25,IF(AZ54&lt;Bewertung_Stammdaten!N$26,Bewertung_Stammdaten!M$26,IF(AZ54&lt;Bewertung_Stammdaten!N$27,Bewertung_Stammdaten!M$27,IF(AZ54&lt;Bewertung_Stammdaten!N$28,Bewertung_Stammdaten!M$28,IF(AZ54&lt;Bewertung_Stammdaten!N$29,Bewertung_Stammdaten!M$29,IF(AZ54&lt;Bewertung_Stammdaten!N$30,Bewertung_Stammdaten!M$30,IF(AZ54&lt;Bewertung_Stammdaten!N$31,Bewertung_Stammdaten!M$31,IF(AZ54&lt;Bewertung_Stammdaten!N$32,Bewertung_Stammdaten!M$32,Bewertung_Stammdaten!M$33)))))))))</f>
        <v>0.5</v>
      </c>
      <c r="BD54" s="44"/>
      <c r="BE54" s="12">
        <f ca="1">VLOOKUP(A54,Ausschüttungsquote!A3:X68,23,FALSE)</f>
        <v>0.63592288836902833</v>
      </c>
      <c r="BF54" s="12">
        <f>VLOOKUP(A54,Ausschüttungsquote!A3:X68,19,FALSE)</f>
        <v>0.48202151015808292</v>
      </c>
      <c r="BG54" s="12">
        <f ca="1">VLOOKUP(A54,Ausschüttungsquote!A3:X68,24,FALSE)</f>
        <v>0.31928321655287162</v>
      </c>
      <c r="BH54" s="33">
        <f ca="1">IF(BE54&lt;Bewertung_Stammdaten!H$11,Bewertung_Stammdaten!G$11,IF(BE54&lt;Bewertung_Stammdaten!H$12,Bewertung_Stammdaten!G$12,IF(BE54&lt;Bewertung_Stammdaten!H$13,Bewertung_Stammdaten!G$13,IF(BE54&lt;Bewertung_Stammdaten!H$14,Bewertung_Stammdaten!G$14,IF(BE54&lt;Bewertung_Stammdaten!H$15,Bewertung_Stammdaten!G$15,IF(BE54&lt;Bewertung_Stammdaten!H$16,Bewertung_Stammdaten!G$16,IF(BE54&lt;Bewertung_Stammdaten!H$17,Bewertung_Stammdaten!G$17,IF(BE54&lt;Bewertung_Stammdaten!H$18,Bewertung_Stammdaten!G$18,IF(BE54&lt;Bewertung_Stammdaten!H$19,Bewertung_Stammdaten!G$19,Bewertung_Stammdaten!G$20)))))))))</f>
        <v>5</v>
      </c>
      <c r="BI54" s="42">
        <f>IF(BF54&lt;Bewertung_Stammdaten!B$24,Bewertung_Stammdaten!A$24,IF(BF54&lt;Bewertung_Stammdaten!B$25,Bewertung_Stammdaten!A$25,IF(BF54&lt;Bewertung_Stammdaten!B$26,Bewertung_Stammdaten!A$26,IF(BF54&lt;Bewertung_Stammdaten!B$27,Bewertung_Stammdaten!A$27,IF(BF54&lt;Bewertung_Stammdaten!B$28,Bewertung_Stammdaten!A$28,IF(BF54&lt;Bewertung_Stammdaten!B$29,Bewertung_Stammdaten!A$29,IF(BF54&lt;Bewertung_Stammdaten!B$30,Bewertung_Stammdaten!A$30,IF(BF54&lt;Bewertung_Stammdaten!B$31,Bewertung_Stammdaten!A$31,IF(BF54&lt;Bewertung_Stammdaten!B$32,Bewertung_Stammdaten!A$32,Bewertung_Stammdaten!A$33)))))))))</f>
        <v>8</v>
      </c>
      <c r="BJ54" s="33">
        <f ca="1">IF(BG54&lt;Bewertung_Stammdaten!J$11,Bewertung_Stammdaten!I$11,IF(BG54&lt;Bewertung_Stammdaten!J$12,Bewertung_Stammdaten!I$12,IF(BG54&lt;Bewertung_Stammdaten!J$13,Bewertung_Stammdaten!I$13,IF(BG54&lt;Bewertung_Stammdaten!J$14,Bewertung_Stammdaten!I$14,IF(BG54&lt;Bewertung_Stammdaten!J$15,Bewertung_Stammdaten!I$15,IF(BG54&lt;Bewertung_Stammdaten!J$16,Bewertung_Stammdaten!I$16,IF(BG54&lt;Bewertung_Stammdaten!J$17,Bewertung_Stammdaten!I$17,IF(BG54&lt;Bewertung_Stammdaten!J$18,Bewertung_Stammdaten!I$18,IF(BG54&lt;Bewertung_Stammdaten!J$19,Bewertung_Stammdaten!I$19,Bewertung_Stammdaten!I$20)))))))))</f>
        <v>1</v>
      </c>
    </row>
    <row r="55" spans="1:62" x14ac:dyDescent="0.25">
      <c r="A55" s="39" t="s">
        <v>104</v>
      </c>
      <c r="B55" s="39" t="s">
        <v>105</v>
      </c>
      <c r="C55" s="33">
        <f t="shared" ca="1" si="8"/>
        <v>98.5</v>
      </c>
      <c r="D55" s="44"/>
      <c r="E55" s="11">
        <f ca="1">VLOOKUP(A55,KGV!A3:R68,17,FALSE)</f>
        <v>38.072267085960277</v>
      </c>
      <c r="F55" s="11">
        <f>VLOOKUP(A55,KGV!A3:R68,16,FALSE)</f>
        <v>27.922077922077921</v>
      </c>
      <c r="G55" s="12">
        <f ca="1">VLOOKUP(A55,KGV!A3:R68,18,FALSE)</f>
        <v>0.36351840261346102</v>
      </c>
      <c r="H55" s="16">
        <f t="shared" ca="1" si="9"/>
        <v>51.007620728634052</v>
      </c>
      <c r="I55" s="12">
        <f t="shared" ca="1" si="10"/>
        <v>0.82678455632782422</v>
      </c>
      <c r="J55" s="33">
        <f ca="1">IF(G55&lt;Bewertung_Stammdaten!B$11,Bewertung_Stammdaten!A$11,IF(G55&lt;Bewertung_Stammdaten!B$12,Bewertung_Stammdaten!A$12,IF(G55&lt;Bewertung_Stammdaten!B$13,Bewertung_Stammdaten!A$13,IF(G55&lt;Bewertung_Stammdaten!B$14,Bewertung_Stammdaten!A$14,IF(G55&lt;Bewertung_Stammdaten!B$15,Bewertung_Stammdaten!A$15,IF(G55&lt;Bewertung_Stammdaten!B$16,Bewertung_Stammdaten!A$16,IF(G55&lt;Bewertung_Stammdaten!B$17,Bewertung_Stammdaten!A$17,IF(G55&lt;Bewertung_Stammdaten!B$18,Bewertung_Stammdaten!A$18,IF(G55&lt;Bewertung_Stammdaten!B$19,Bewertung_Stammdaten!A$19,Bewertung_Stammdaten!A$20)))))))))</f>
        <v>3</v>
      </c>
      <c r="K55" s="33">
        <f ca="1">IF(I55&lt;Bewertung_Stammdaten!N$11,Bewertung_Stammdaten!M$11,IF(I55&lt;Bewertung_Stammdaten!N$12,Bewertung_Stammdaten!M$12,IF(I55&lt;Bewertung_Stammdaten!N$13,Bewertung_Stammdaten!M$13,IF(I55&lt;Bewertung_Stammdaten!N$14,Bewertung_Stammdaten!M$14,IF(I55&lt;Bewertung_Stammdaten!N$15,Bewertung_Stammdaten!M$15,IF(I55&lt;Bewertung_Stammdaten!N$16,Bewertung_Stammdaten!M$16,IF(I55&lt;Bewertung_Stammdaten!N$17,Bewertung_Stammdaten!M$17,IF(I55&lt;Bewertung_Stammdaten!N$18,Bewertung_Stammdaten!M$18,IF(I55&lt;Bewertung_Stammdaten!N$19,Bewertung_Stammdaten!M$19,Bewertung_Stammdaten!M$20)))))))))</f>
        <v>1.5</v>
      </c>
      <c r="L55" s="44"/>
      <c r="M55" s="11">
        <f ca="1">VLOOKUP(A55,Buchwert_je_Aktie!A3:AK68,23,FALSE)</f>
        <v>14805.702777777778</v>
      </c>
      <c r="N55" s="11">
        <f>VLOOKUP(A55,Buchwert_je_Aktie!A3:AK68,19,FALSE)</f>
        <v>13858.692307692309</v>
      </c>
      <c r="O55" s="12">
        <f ca="1">VLOOKUP(A55,Buchwert_je_Aktie!A3:AK68,24,FALSE)</f>
        <v>6.8333320998823943E-2</v>
      </c>
      <c r="P55" s="12">
        <f>VLOOKUP(A55,Buchwert_je_Aktie!A3:AK68,37,FALSE)</f>
        <v>-0.35193310277189904</v>
      </c>
      <c r="Q55" s="16">
        <f t="shared" ca="1" si="11"/>
        <v>9595.0858604759196</v>
      </c>
      <c r="R55" s="12">
        <f t="shared" ca="1" si="12"/>
        <v>-0.30764853945489945</v>
      </c>
      <c r="S55" s="53">
        <f ca="1">IF(O55&lt;Bewertung_Stammdaten!D$24,Bewertung_Stammdaten!C$24,IF(O55&lt;Bewertung_Stammdaten!D$25,Bewertung_Stammdaten!C$25,IF(O55&lt;Bewertung_Stammdaten!D$26,Bewertung_Stammdaten!C$26,IF(O55&lt;Bewertung_Stammdaten!D$27,Bewertung_Stammdaten!C$27,IF(O55&lt;Bewertung_Stammdaten!D$28,Bewertung_Stammdaten!C$28,IF(O55&lt;Bewertung_Stammdaten!D$29,Bewertung_Stammdaten!C$29,IF(O55&lt;Bewertung_Stammdaten!D$30,Bewertung_Stammdaten!C$30,IF(O55&lt;Bewertung_Stammdaten!D$31,Bewertung_Stammdaten!C$31,IF(O55&lt;Bewertung_Stammdaten!D$32,Bewertung_Stammdaten!C$32,Bewertung_Stammdaten!C$33)))))))))</f>
        <v>4.5</v>
      </c>
      <c r="T55" s="53">
        <f>IF(P55&lt;Bewertung_Stammdaten!F$24,Bewertung_Stammdaten!E$24,IF(P55&lt;Bewertung_Stammdaten!F$25,Bewertung_Stammdaten!E$25,IF(P55&lt;Bewertung_Stammdaten!F$26,Bewertung_Stammdaten!E$26,IF(P55&lt;Bewertung_Stammdaten!F$27,Bewertung_Stammdaten!E$27,IF(P55&lt;Bewertung_Stammdaten!F$28,Bewertung_Stammdaten!E$28,IF(P55&lt;Bewertung_Stammdaten!F$29,Bewertung_Stammdaten!E$29,IF(P55&lt;Bewertung_Stammdaten!F$30,Bewertung_Stammdaten!E$30,IF(P55&lt;Bewertung_Stammdaten!F$31,Bewertung_Stammdaten!E$31,IF(P55&lt;Bewertung_Stammdaten!F$32,Bewertung_Stammdaten!E$32,Bewertung_Stammdaten!E$33)))))))))</f>
        <v>1.5</v>
      </c>
      <c r="U55" s="53">
        <f ca="1">IF(R55&lt;Bewertung_Stammdaten!H$24,Bewertung_Stammdaten!G$24,IF(R55&lt;Bewertung_Stammdaten!H$25,Bewertung_Stammdaten!G$25,IF(R55&lt;Bewertung_Stammdaten!H$26,Bewertung_Stammdaten!G$26,IF(R55&lt;Bewertung_Stammdaten!H$27,Bewertung_Stammdaten!G$27,IF(R55&lt;Bewertung_Stammdaten!H$28,Bewertung_Stammdaten!G$28,IF(R55&lt;Bewertung_Stammdaten!H$29,Bewertung_Stammdaten!G$29,IF(R55&lt;Bewertung_Stammdaten!H$30,Bewertung_Stammdaten!G$30,IF(R55&lt;Bewertung_Stammdaten!H$31,Bewertung_Stammdaten!G$31,IF(R55&lt;Bewertung_Stammdaten!H$32,Bewertung_Stammdaten!G$32,Bewertung_Stammdaten!G$33)))))))))</f>
        <v>1</v>
      </c>
      <c r="V55" s="44"/>
      <c r="W55" s="14">
        <f ca="1">VLOOKUP(A55,Ergebnis_je_Aktie_verwässert!A3:AK68,23,FALSE)</f>
        <v>1637.675</v>
      </c>
      <c r="X55" s="14">
        <f>VLOOKUP(A55,Ergebnis_je_Aktie_verwässert!A3:AK68,19,FALSE)</f>
        <v>1244.7923076923078</v>
      </c>
      <c r="Y55" s="12">
        <f ca="1">VLOOKUP(A55,Ergebnis_je_Aktie_verwässert!A3:AK68,24,FALSE)</f>
        <v>0.31562107982178045</v>
      </c>
      <c r="Z55" s="41">
        <f>VLOOKUP(A55,Ergebnis_je_Aktie_verwässert!A3:AK68,37,FALSE)</f>
        <v>-0.25359649122807015</v>
      </c>
      <c r="AA55" s="16">
        <f t="shared" ca="1" si="13"/>
        <v>1222.3663662280701</v>
      </c>
      <c r="AB55" s="12">
        <f t="shared" ca="1" si="14"/>
        <v>-1.8015809806707916E-2</v>
      </c>
      <c r="AC55" s="33">
        <f ca="1">IF(Y55&lt;Bewertung_Stammdaten!L$11,Bewertung_Stammdaten!K$11,IF(Y55&lt;Bewertung_Stammdaten!L$12,Bewertung_Stammdaten!K$12,IF(Y55&lt;Bewertung_Stammdaten!L$13,Bewertung_Stammdaten!K$13,IF(Y55&lt;Bewertung_Stammdaten!L$14,Bewertung_Stammdaten!K$14,IF(Y55&lt;Bewertung_Stammdaten!L$15,Bewertung_Stammdaten!K$15,IF(Y55&lt;Bewertung_Stammdaten!L$16,Bewertung_Stammdaten!K$16,IF(Y55&lt;Bewertung_Stammdaten!L$17,Bewertung_Stammdaten!K$17,IF(Y55&lt;Bewertung_Stammdaten!L$18,Bewertung_Stammdaten!K$18,IF(Y55&lt;Bewertung_Stammdaten!L$19,Bewertung_Stammdaten!K$19,Bewertung_Stammdaten!K$20)))))))))</f>
        <v>12</v>
      </c>
      <c r="AD55" s="33">
        <f>IF(Z55&lt;Bewertung_Stammdaten!R$11,Bewertung_Stammdaten!Q$11,IF(Z55&lt;Bewertung_Stammdaten!R$12,Bewertung_Stammdaten!Q$12,IF(Z55&lt;Bewertung_Stammdaten!R$13,Bewertung_Stammdaten!Q$13,IF(Z55&lt;Bewertung_Stammdaten!R$14,Bewertung_Stammdaten!Q$14,IF(Z55&lt;Bewertung_Stammdaten!R$15,Bewertung_Stammdaten!Q$15,IF(Z55&lt;Bewertung_Stammdaten!R$16,Bewertung_Stammdaten!Q$16,IF(Z55&lt;Bewertung_Stammdaten!R$17,Bewertung_Stammdaten!Q$17,IF(Z55&lt;Bewertung_Stammdaten!R$18,Bewertung_Stammdaten!Q$18,IF(Z55&lt;Bewertung_Stammdaten!R$19,Bewertung_Stammdaten!Q$19,Bewertung_Stammdaten!Q$20)))))))))</f>
        <v>5</v>
      </c>
      <c r="AE55" s="33">
        <f ca="1">IF(AB55&lt;Bewertung_Stammdaten!P$11,Bewertung_Stammdaten!O$11,IF(AB55&lt;Bewertung_Stammdaten!P$12,Bewertung_Stammdaten!O$12,IF(AB55&lt;Bewertung_Stammdaten!P$13,Bewertung_Stammdaten!O$13,IF(AB55&lt;Bewertung_Stammdaten!P$14,Bewertung_Stammdaten!O$14,IF(AB55&lt;Bewertung_Stammdaten!P$15,Bewertung_Stammdaten!O$15,IF(AB55&lt;Bewertung_Stammdaten!P$16,Bewertung_Stammdaten!O$16,IF(AB55&lt;Bewertung_Stammdaten!P$17,Bewertung_Stammdaten!O$17,IF(AB55&lt;Bewertung_Stammdaten!P$18,Bewertung_Stammdaten!O$18,IF(AB55&lt;Bewertung_Stammdaten!P$19,Bewertung_Stammdaten!O$19,Bewertung_Stammdaten!O$20)))))))))</f>
        <v>4</v>
      </c>
      <c r="AF55" s="44"/>
      <c r="AG55" s="14">
        <f ca="1">VLOOKUP(A55,Dividende_je_Aktie!A3:AM68,24,FALSE)</f>
        <v>841.24999999999989</v>
      </c>
      <c r="AH55" s="14">
        <f>VLOOKUP(A55,Dividende_je_Aktie!A3:AM68,20,FALSE)</f>
        <v>528.28571428571433</v>
      </c>
      <c r="AI55" s="12">
        <f ca="1">VLOOKUP(A55,Dividende_je_Aktie!A3:AM68,25,FALSE)</f>
        <v>0.5924148188209839</v>
      </c>
      <c r="AJ55" s="41">
        <f>VLOOKUP(A55,Dividende_je_Aktie!A3:AM68,39,FALSE)</f>
        <v>8.43373493975903E-2</v>
      </c>
      <c r="AK55" s="16">
        <f t="shared" ca="1" si="6"/>
        <v>841.24999999999989</v>
      </c>
      <c r="AL55" s="12">
        <f t="shared" ca="1" si="7"/>
        <v>0.5924148188209839</v>
      </c>
      <c r="AM55" s="33">
        <f ca="1">IF(AI55&lt;Bewertung_Stammdaten!P$24,Bewertung_Stammdaten!O$24,IF(AI55&lt;Bewertung_Stammdaten!P$25,Bewertung_Stammdaten!O$25,IF(AI55&lt;Bewertung_Stammdaten!P$26,Bewertung_Stammdaten!O$26,IF(AI55&lt;Bewertung_Stammdaten!P$27,Bewertung_Stammdaten!O$27,IF(AI55&lt;Bewertung_Stammdaten!P$28,Bewertung_Stammdaten!O$28,IF(AI55&lt;Bewertung_Stammdaten!P$29,Bewertung_Stammdaten!O$29,IF(AI55&lt;Bewertung_Stammdaten!P$30,Bewertung_Stammdaten!O$30,IF(AI55&lt;Bewertung_Stammdaten!P$31,Bewertung_Stammdaten!O$31,IF(AI55&lt;Bewertung_Stammdaten!P$32,Bewertung_Stammdaten!O$32,Bewertung_Stammdaten!O$33)))))))))</f>
        <v>16</v>
      </c>
      <c r="AN55" s="33">
        <f>IF(AJ55&lt;Bewertung_Stammdaten!R$24,Bewertung_Stammdaten!Q$24,IF(AJ55&lt;Bewertung_Stammdaten!R$25,Bewertung_Stammdaten!Q$25,IF(AJ55&lt;Bewertung_Stammdaten!R$26,Bewertung_Stammdaten!Q$26,IF(AJ55&lt;Bewertung_Stammdaten!R$27,Bewertung_Stammdaten!Q$27,IF(AJ55&lt;Bewertung_Stammdaten!R$28,Bewertung_Stammdaten!Q$28,IF(AJ55&lt;Bewertung_Stammdaten!R$29,Bewertung_Stammdaten!Q$29,IF(AJ55&lt;Bewertung_Stammdaten!R$30,Bewertung_Stammdaten!Q$30,IF(AJ55&lt;Bewertung_Stammdaten!R$31,Bewertung_Stammdaten!Q$31,IF(AJ55&lt;Bewertung_Stammdaten!R$32,Bewertung_Stammdaten!Q$32,Bewertung_Stammdaten!Q$33)))))))))</f>
        <v>8</v>
      </c>
      <c r="AO55" s="33">
        <f ca="1">IF(AL55&lt;Bewertung_Stammdaten!T$24,Bewertung_Stammdaten!S$24,IF(AL55&lt;Bewertung_Stammdaten!T$25,Bewertung_Stammdaten!S$25,IF(AL55&lt;Bewertung_Stammdaten!T$26,Bewertung_Stammdaten!S$26,IF(AL55&lt;Bewertung_Stammdaten!T$27,Bewertung_Stammdaten!S$27,IF(AL55&lt;Bewertung_Stammdaten!T$28,Bewertung_Stammdaten!S$28,IF(AL55&lt;Bewertung_Stammdaten!T$29,Bewertung_Stammdaten!S$29,IF(AL55&lt;Bewertung_Stammdaten!T$30,Bewertung_Stammdaten!S$30,IF(AL55&lt;Bewertung_Stammdaten!T$31,Bewertung_Stammdaten!S$31,IF(AL55&lt;Bewertung_Stammdaten!T$32,Bewertung_Stammdaten!S$32,Bewertung_Stammdaten!S$33)))))))))</f>
        <v>10</v>
      </c>
      <c r="AP55" s="44"/>
      <c r="AQ55" s="12">
        <f ca="1">VLOOKUP(A55,Dividendenrendite!A3:R68,17,FALSE)</f>
        <v>1.3492381716118683E-2</v>
      </c>
      <c r="AR55" s="12">
        <f>VLOOKUP(A55,Dividendenrendite!A3:R68,16,FALSE)</f>
        <v>1.3197626378372126E-2</v>
      </c>
      <c r="AS55" s="12">
        <f ca="1">VLOOKUP(A55,Dividendenrendite!A3:R68,18,FALSE)</f>
        <v>2.2333965919022702E-2</v>
      </c>
      <c r="AT55" s="33">
        <f ca="1">IF(AQ55&lt;Bewertung_Stammdaten!D$11,Bewertung_Stammdaten!C$11,IF(AQ55&lt;Bewertung_Stammdaten!D$12,Bewertung_Stammdaten!C$12,IF(AQ55&lt;Bewertung_Stammdaten!D$13,Bewertung_Stammdaten!C$13,IF(AQ55&lt;Bewertung_Stammdaten!D$14,Bewertung_Stammdaten!C$14,IF(AQ55&lt;Bewertung_Stammdaten!D$15,Bewertung_Stammdaten!C$15,IF(AQ55&lt;Bewertung_Stammdaten!D$16,Bewertung_Stammdaten!C$16,IF(AQ55&lt;Bewertung_Stammdaten!D$17,Bewertung_Stammdaten!C$17,IF(AQ55&lt;Bewertung_Stammdaten!D$18,Bewertung_Stammdaten!C$18,IF(AQ55&lt;Bewertung_Stammdaten!D$19,Bewertung_Stammdaten!C$19,Bewertung_Stammdaten!C$20)))))))))</f>
        <v>4.5</v>
      </c>
      <c r="AU55" s="33">
        <f>IF(AR55&lt;Bewertung_Stammdaten!T$11,Bewertung_Stammdaten!S$11,IF(AR55&lt;Bewertung_Stammdaten!T$12,Bewertung_Stammdaten!S$12,IF(AR55&lt;Bewertung_Stammdaten!T$13,Bewertung_Stammdaten!S$13,IF(AR55&lt;Bewertung_Stammdaten!T$14,Bewertung_Stammdaten!S$14,IF(AR55&lt;Bewertung_Stammdaten!T$15,Bewertung_Stammdaten!S$15,IF(AR55&lt;Bewertung_Stammdaten!T$16,Bewertung_Stammdaten!S$16,IF(AR55&lt;Bewertung_Stammdaten!T$17,Bewertung_Stammdaten!S$17,IF(AR55&lt;Bewertung_Stammdaten!T$18,Bewertung_Stammdaten!S$18,IF(AR55&lt;Bewertung_Stammdaten!T$19,Bewertung_Stammdaten!S$19,Bewertung_Stammdaten!S$20)))))))))</f>
        <v>3</v>
      </c>
      <c r="AV55" s="33">
        <f ca="1">IF(AS55&lt;Bewertung_Stammdaten!F$11,Bewertung_Stammdaten!E$11,IF(AS55&lt;Bewertung_Stammdaten!F$12,Bewertung_Stammdaten!E$12,IF(AS55&lt;Bewertung_Stammdaten!F$13,Bewertung_Stammdaten!E$13,IF(AS55&lt;Bewertung_Stammdaten!F$14,Bewertung_Stammdaten!E$14,IF(AS55&lt;Bewertung_Stammdaten!F$15,Bewertung_Stammdaten!E$15,IF(AS55&lt;Bewertung_Stammdaten!F$16,Bewertung_Stammdaten!E$16,IF(AS55&lt;Bewertung_Stammdaten!F$17,Bewertung_Stammdaten!E$17,IF(AS55&lt;Bewertung_Stammdaten!F$18,Bewertung_Stammdaten!E$18,IF(AS55&lt;Bewertung_Stammdaten!F$19,Bewertung_Stammdaten!E$19,Bewertung_Stammdaten!E$20)))))))))</f>
        <v>3</v>
      </c>
      <c r="AW55" s="44"/>
      <c r="AX55" s="12">
        <f>VLOOKUP(A55,Aktien_im_Umlauf_splitbereinigt!A3:Z68,26,FALSE)</f>
        <v>0</v>
      </c>
      <c r="AY55" s="12">
        <f>VLOOKUP(A55,Aktien_im_Umlauf_splitbereinigt!A3:Y68,24,FALSE)</f>
        <v>4.444444444444446E-2</v>
      </c>
      <c r="AZ55" s="12">
        <f>VLOOKUP(A55,Aktien_im_Umlauf_splitbereinigt!A3:Y68,25,FALSE)</f>
        <v>-99.999989999999997</v>
      </c>
      <c r="BA55" s="42">
        <f>IF(AX55&lt;Bewertung_Stammdaten!J$24,Bewertung_Stammdaten!I$24,IF(AX55&lt;Bewertung_Stammdaten!J$25,Bewertung_Stammdaten!I$25,IF(AX55&lt;Bewertung_Stammdaten!J$26,Bewertung_Stammdaten!I$26,IF(AX55&lt;Bewertung_Stammdaten!J$27,Bewertung_Stammdaten!I$27,IF(AX55&lt;Bewertung_Stammdaten!J$28,Bewertung_Stammdaten!I$28,IF(AX55&lt;Bewertung_Stammdaten!J$29,Bewertung_Stammdaten!I$29,IF(AX55&lt;Bewertung_Stammdaten!J$30,Bewertung_Stammdaten!I$30,IF(AX55&lt;Bewertung_Stammdaten!J$31,Bewertung_Stammdaten!I$31,IF(AX55&lt;Bewertung_Stammdaten!J$32,Bewertung_Stammdaten!I$32,Bewertung_Stammdaten!I$33)))))))))</f>
        <v>2</v>
      </c>
      <c r="BB55" s="42">
        <f>IF(AY55&lt;Bewertung_Stammdaten!L$24,Bewertung_Stammdaten!K$24,IF(AY55&lt;Bewertung_Stammdaten!L$25,Bewertung_Stammdaten!K$25,IF(AY55&lt;Bewertung_Stammdaten!L$26,Bewertung_Stammdaten!K$26,IF(AY55&lt;Bewertung_Stammdaten!L$27,Bewertung_Stammdaten!K$27,IF(AY55&lt;Bewertung_Stammdaten!L$28,Bewertung_Stammdaten!K$28,IF(AY55&lt;Bewertung_Stammdaten!L$29,Bewertung_Stammdaten!K$29,IF(AY55&lt;Bewertung_Stammdaten!L$30,Bewertung_Stammdaten!K$30,IF(AY55&lt;Bewertung_Stammdaten!L$31,Bewertung_Stammdaten!K$31,IF(AY55&lt;Bewertung_Stammdaten!L$32,Bewertung_Stammdaten!K$32,Bewertung_Stammdaten!K$33)))))))))</f>
        <v>1</v>
      </c>
      <c r="BC55" s="42">
        <f>IF(AZ55&lt;Bewertung_Stammdaten!N$24,Bewertung_Stammdaten!M$24,IF(AZ55&lt;Bewertung_Stammdaten!N$25,Bewertung_Stammdaten!M$25,IF(AZ55&lt;Bewertung_Stammdaten!N$26,Bewertung_Stammdaten!M$26,IF(AZ55&lt;Bewertung_Stammdaten!N$27,Bewertung_Stammdaten!M$27,IF(AZ55&lt;Bewertung_Stammdaten!N$28,Bewertung_Stammdaten!M$28,IF(AZ55&lt;Bewertung_Stammdaten!N$29,Bewertung_Stammdaten!M$29,IF(AZ55&lt;Bewertung_Stammdaten!N$30,Bewertung_Stammdaten!M$30,IF(AZ55&lt;Bewertung_Stammdaten!N$31,Bewertung_Stammdaten!M$31,IF(AZ55&lt;Bewertung_Stammdaten!N$32,Bewertung_Stammdaten!M$32,Bewertung_Stammdaten!M$33)))))))))</f>
        <v>0.5</v>
      </c>
      <c r="BD55" s="44"/>
      <c r="BE55" s="12">
        <f ca="1">VLOOKUP(A55,Ausschüttungsquote!A3:X68,23,FALSE)</f>
        <v>0.51366456531264304</v>
      </c>
      <c r="BF55" s="12">
        <f>VLOOKUP(A55,Ausschüttungsquote!A3:X68,19,FALSE)</f>
        <v>0.42966774779730699</v>
      </c>
      <c r="BG55" s="12">
        <f ca="1">VLOOKUP(A55,Ausschüttungsquote!A3:X68,24,FALSE)</f>
        <v>0.19549248912897466</v>
      </c>
      <c r="BH55" s="33">
        <f ca="1">IF(BE55&lt;Bewertung_Stammdaten!H$11,Bewertung_Stammdaten!G$11,IF(BE55&lt;Bewertung_Stammdaten!H$12,Bewertung_Stammdaten!G$12,IF(BE55&lt;Bewertung_Stammdaten!H$13,Bewertung_Stammdaten!G$13,IF(BE55&lt;Bewertung_Stammdaten!H$14,Bewertung_Stammdaten!G$14,IF(BE55&lt;Bewertung_Stammdaten!H$15,Bewertung_Stammdaten!G$15,IF(BE55&lt;Bewertung_Stammdaten!H$16,Bewertung_Stammdaten!G$16,IF(BE55&lt;Bewertung_Stammdaten!H$17,Bewertung_Stammdaten!G$17,IF(BE55&lt;Bewertung_Stammdaten!H$18,Bewertung_Stammdaten!G$18,IF(BE55&lt;Bewertung_Stammdaten!H$19,Bewertung_Stammdaten!G$19,Bewertung_Stammdaten!G$20)))))))))</f>
        <v>7</v>
      </c>
      <c r="BI55" s="42">
        <f>IF(BF55&lt;Bewertung_Stammdaten!B$24,Bewertung_Stammdaten!A$24,IF(BF55&lt;Bewertung_Stammdaten!B$25,Bewertung_Stammdaten!A$25,IF(BF55&lt;Bewertung_Stammdaten!B$26,Bewertung_Stammdaten!A$26,IF(BF55&lt;Bewertung_Stammdaten!B$27,Bewertung_Stammdaten!A$27,IF(BF55&lt;Bewertung_Stammdaten!B$28,Bewertung_Stammdaten!A$28,IF(BF55&lt;Bewertung_Stammdaten!B$29,Bewertung_Stammdaten!A$29,IF(BF55&lt;Bewertung_Stammdaten!B$30,Bewertung_Stammdaten!A$30,IF(BF55&lt;Bewertung_Stammdaten!B$31,Bewertung_Stammdaten!A$31,IF(BF55&lt;Bewertung_Stammdaten!B$32,Bewertung_Stammdaten!A$32,Bewertung_Stammdaten!A$33)))))))))</f>
        <v>9</v>
      </c>
      <c r="BJ55" s="33">
        <f ca="1">IF(BG55&lt;Bewertung_Stammdaten!J$11,Bewertung_Stammdaten!I$11,IF(BG55&lt;Bewertung_Stammdaten!J$12,Bewertung_Stammdaten!I$12,IF(BG55&lt;Bewertung_Stammdaten!J$13,Bewertung_Stammdaten!I$13,IF(BG55&lt;Bewertung_Stammdaten!J$14,Bewertung_Stammdaten!I$14,IF(BG55&lt;Bewertung_Stammdaten!J$15,Bewertung_Stammdaten!I$15,IF(BG55&lt;Bewertung_Stammdaten!J$16,Bewertung_Stammdaten!I$16,IF(BG55&lt;Bewertung_Stammdaten!J$17,Bewertung_Stammdaten!I$17,IF(BG55&lt;Bewertung_Stammdaten!J$18,Bewertung_Stammdaten!I$18,IF(BG55&lt;Bewertung_Stammdaten!J$19,Bewertung_Stammdaten!I$19,Bewertung_Stammdaten!I$20)))))))))</f>
        <v>2</v>
      </c>
    </row>
    <row r="56" spans="1:62" x14ac:dyDescent="0.25">
      <c r="A56" s="39" t="s">
        <v>107</v>
      </c>
      <c r="B56" s="39" t="s">
        <v>108</v>
      </c>
      <c r="C56" s="33">
        <f t="shared" ca="1" si="8"/>
        <v>133.5</v>
      </c>
      <c r="D56" s="44"/>
      <c r="E56" s="11">
        <f ca="1">VLOOKUP(A56,KGV!A3:R68,17,FALSE)</f>
        <v>23.239813197390472</v>
      </c>
      <c r="F56" s="11">
        <f>VLOOKUP(A56,KGV!A3:R68,16,FALSE)</f>
        <v>16.948228882833789</v>
      </c>
      <c r="G56" s="12">
        <f ca="1">VLOOKUP(A56,KGV!A3:R68,18,FALSE)</f>
        <v>0.3712237047334892</v>
      </c>
      <c r="H56" s="16">
        <f t="shared" ca="1" si="9"/>
        <v>30.543754487998907</v>
      </c>
      <c r="I56" s="12">
        <f t="shared" ca="1" si="10"/>
        <v>0.80217972622115719</v>
      </c>
      <c r="J56" s="33">
        <f ca="1">IF(G56&lt;Bewertung_Stammdaten!B$11,Bewertung_Stammdaten!A$11,IF(G56&lt;Bewertung_Stammdaten!B$12,Bewertung_Stammdaten!A$12,IF(G56&lt;Bewertung_Stammdaten!B$13,Bewertung_Stammdaten!A$13,IF(G56&lt;Bewertung_Stammdaten!B$14,Bewertung_Stammdaten!A$14,IF(G56&lt;Bewertung_Stammdaten!B$15,Bewertung_Stammdaten!A$15,IF(G56&lt;Bewertung_Stammdaten!B$16,Bewertung_Stammdaten!A$16,IF(G56&lt;Bewertung_Stammdaten!B$17,Bewertung_Stammdaten!A$17,IF(G56&lt;Bewertung_Stammdaten!B$18,Bewertung_Stammdaten!A$18,IF(G56&lt;Bewertung_Stammdaten!B$19,Bewertung_Stammdaten!A$19,Bewertung_Stammdaten!A$20)))))))))</f>
        <v>3</v>
      </c>
      <c r="K56" s="33">
        <f ca="1">IF(I56&lt;Bewertung_Stammdaten!N$11,Bewertung_Stammdaten!M$11,IF(I56&lt;Bewertung_Stammdaten!N$12,Bewertung_Stammdaten!M$12,IF(I56&lt;Bewertung_Stammdaten!N$13,Bewertung_Stammdaten!M$13,IF(I56&lt;Bewertung_Stammdaten!N$14,Bewertung_Stammdaten!M$14,IF(I56&lt;Bewertung_Stammdaten!N$15,Bewertung_Stammdaten!M$15,IF(I56&lt;Bewertung_Stammdaten!N$16,Bewertung_Stammdaten!M$16,IF(I56&lt;Bewertung_Stammdaten!N$17,Bewertung_Stammdaten!M$17,IF(I56&lt;Bewertung_Stammdaten!N$18,Bewertung_Stammdaten!M$18,IF(I56&lt;Bewertung_Stammdaten!N$19,Bewertung_Stammdaten!M$19,Bewertung_Stammdaten!M$20)))))))))</f>
        <v>1.5</v>
      </c>
      <c r="L56" s="44"/>
      <c r="M56" s="11">
        <f ca="1">VLOOKUP(A56,Buchwert_je_Aktie!A3:AK68,23,FALSE)</f>
        <v>31.947499999999998</v>
      </c>
      <c r="N56" s="11">
        <f>VLOOKUP(A56,Buchwert_je_Aktie!A3:AK68,19,FALSE)</f>
        <v>21.448461538461537</v>
      </c>
      <c r="O56" s="12">
        <f ca="1">VLOOKUP(A56,Buchwert_je_Aktie!A3:AK68,24,FALSE)</f>
        <v>0.48950077107915213</v>
      </c>
      <c r="P56" s="12">
        <f>VLOOKUP(A56,Buchwert_je_Aktie!A3:AK68,37,FALSE)</f>
        <v>1.3404825737264314E-3</v>
      </c>
      <c r="Q56" s="16">
        <f t="shared" ca="1" si="11"/>
        <v>31.947499999999998</v>
      </c>
      <c r="R56" s="12">
        <f t="shared" ca="1" si="12"/>
        <v>0.48950077107915213</v>
      </c>
      <c r="S56" s="53">
        <f ca="1">IF(O56&lt;Bewertung_Stammdaten!D$24,Bewertung_Stammdaten!C$24,IF(O56&lt;Bewertung_Stammdaten!D$25,Bewertung_Stammdaten!C$25,IF(O56&lt;Bewertung_Stammdaten!D$26,Bewertung_Stammdaten!C$26,IF(O56&lt;Bewertung_Stammdaten!D$27,Bewertung_Stammdaten!C$27,IF(O56&lt;Bewertung_Stammdaten!D$28,Bewertung_Stammdaten!C$28,IF(O56&lt;Bewertung_Stammdaten!D$29,Bewertung_Stammdaten!C$29,IF(O56&lt;Bewertung_Stammdaten!D$30,Bewertung_Stammdaten!C$30,IF(O56&lt;Bewertung_Stammdaten!D$31,Bewertung_Stammdaten!C$31,IF(O56&lt;Bewertung_Stammdaten!D$32,Bewertung_Stammdaten!C$32,Bewertung_Stammdaten!C$33)))))))))</f>
        <v>10.5</v>
      </c>
      <c r="T56" s="53">
        <f>IF(P56&lt;Bewertung_Stammdaten!F$24,Bewertung_Stammdaten!E$24,IF(P56&lt;Bewertung_Stammdaten!F$25,Bewertung_Stammdaten!E$25,IF(P56&lt;Bewertung_Stammdaten!F$26,Bewertung_Stammdaten!E$26,IF(P56&lt;Bewertung_Stammdaten!F$27,Bewertung_Stammdaten!E$27,IF(P56&lt;Bewertung_Stammdaten!F$28,Bewertung_Stammdaten!E$28,IF(P56&lt;Bewertung_Stammdaten!F$29,Bewertung_Stammdaten!E$29,IF(P56&lt;Bewertung_Stammdaten!F$30,Bewertung_Stammdaten!E$30,IF(P56&lt;Bewertung_Stammdaten!F$31,Bewertung_Stammdaten!E$31,IF(P56&lt;Bewertung_Stammdaten!F$32,Bewertung_Stammdaten!E$32,Bewertung_Stammdaten!E$33)))))))))</f>
        <v>12</v>
      </c>
      <c r="U56" s="53">
        <f ca="1">IF(R56&lt;Bewertung_Stammdaten!H$24,Bewertung_Stammdaten!G$24,IF(R56&lt;Bewertung_Stammdaten!H$25,Bewertung_Stammdaten!G$25,IF(R56&lt;Bewertung_Stammdaten!H$26,Bewertung_Stammdaten!G$26,IF(R56&lt;Bewertung_Stammdaten!H$27,Bewertung_Stammdaten!G$27,IF(R56&lt;Bewertung_Stammdaten!H$28,Bewertung_Stammdaten!G$28,IF(R56&lt;Bewertung_Stammdaten!H$29,Bewertung_Stammdaten!G$29,IF(R56&lt;Bewertung_Stammdaten!H$30,Bewertung_Stammdaten!G$30,IF(R56&lt;Bewertung_Stammdaten!H$31,Bewertung_Stammdaten!G$31,IF(R56&lt;Bewertung_Stammdaten!H$32,Bewertung_Stammdaten!G$32,Bewertung_Stammdaten!G$33)))))))))</f>
        <v>7</v>
      </c>
      <c r="V56" s="44"/>
      <c r="W56" s="14">
        <f ca="1">VLOOKUP(A56,Ergebnis_je_Aktie_verwässert!A3:AK68,23,FALSE)</f>
        <v>4.6751666666666658</v>
      </c>
      <c r="X56" s="14">
        <f>VLOOKUP(A56,Ergebnis_je_Aktie_verwässert!A3:AK68,19,FALSE)</f>
        <v>3.1276923076923087</v>
      </c>
      <c r="Y56" s="12">
        <f ca="1">VLOOKUP(A56,Ergebnis_je_Aktie_verwässert!A3:AK68,24,FALSE)</f>
        <v>0.49476553533366041</v>
      </c>
      <c r="Z56" s="41">
        <f>VLOOKUP(A56,Ergebnis_je_Aktie_verwässert!A3:AK68,37,FALSE)</f>
        <v>-0.23913043478260876</v>
      </c>
      <c r="AA56" s="16">
        <f t="shared" ca="1" si="13"/>
        <v>3.5571920289855061</v>
      </c>
      <c r="AB56" s="12">
        <f t="shared" ca="1" si="14"/>
        <v>0.13732160297126339</v>
      </c>
      <c r="AC56" s="33">
        <f ca="1">IF(Y56&lt;Bewertung_Stammdaten!L$11,Bewertung_Stammdaten!K$11,IF(Y56&lt;Bewertung_Stammdaten!L$12,Bewertung_Stammdaten!K$12,IF(Y56&lt;Bewertung_Stammdaten!L$13,Bewertung_Stammdaten!K$13,IF(Y56&lt;Bewertung_Stammdaten!L$14,Bewertung_Stammdaten!K$14,IF(Y56&lt;Bewertung_Stammdaten!L$15,Bewertung_Stammdaten!K$15,IF(Y56&lt;Bewertung_Stammdaten!L$16,Bewertung_Stammdaten!K$16,IF(Y56&lt;Bewertung_Stammdaten!L$17,Bewertung_Stammdaten!K$17,IF(Y56&lt;Bewertung_Stammdaten!L$18,Bewertung_Stammdaten!K$18,IF(Y56&lt;Bewertung_Stammdaten!L$19,Bewertung_Stammdaten!K$19,Bewertung_Stammdaten!K$20)))))))))</f>
        <v>14</v>
      </c>
      <c r="AD56" s="33">
        <f>IF(Z56&lt;Bewertung_Stammdaten!R$11,Bewertung_Stammdaten!Q$11,IF(Z56&lt;Bewertung_Stammdaten!R$12,Bewertung_Stammdaten!Q$12,IF(Z56&lt;Bewertung_Stammdaten!R$13,Bewertung_Stammdaten!Q$13,IF(Z56&lt;Bewertung_Stammdaten!R$14,Bewertung_Stammdaten!Q$14,IF(Z56&lt;Bewertung_Stammdaten!R$15,Bewertung_Stammdaten!Q$15,IF(Z56&lt;Bewertung_Stammdaten!R$16,Bewertung_Stammdaten!Q$16,IF(Z56&lt;Bewertung_Stammdaten!R$17,Bewertung_Stammdaten!Q$17,IF(Z56&lt;Bewertung_Stammdaten!R$18,Bewertung_Stammdaten!Q$18,IF(Z56&lt;Bewertung_Stammdaten!R$19,Bewertung_Stammdaten!Q$19,Bewertung_Stammdaten!Q$20)))))))))</f>
        <v>5</v>
      </c>
      <c r="AE56" s="33">
        <f ca="1">IF(AB56&lt;Bewertung_Stammdaten!P$11,Bewertung_Stammdaten!O$11,IF(AB56&lt;Bewertung_Stammdaten!P$12,Bewertung_Stammdaten!O$12,IF(AB56&lt;Bewertung_Stammdaten!P$13,Bewertung_Stammdaten!O$13,IF(AB56&lt;Bewertung_Stammdaten!P$14,Bewertung_Stammdaten!O$14,IF(AB56&lt;Bewertung_Stammdaten!P$15,Bewertung_Stammdaten!O$15,IF(AB56&lt;Bewertung_Stammdaten!P$16,Bewertung_Stammdaten!O$16,IF(AB56&lt;Bewertung_Stammdaten!P$17,Bewertung_Stammdaten!O$17,IF(AB56&lt;Bewertung_Stammdaten!P$18,Bewertung_Stammdaten!O$18,IF(AB56&lt;Bewertung_Stammdaten!P$19,Bewertung_Stammdaten!O$19,Bewertung_Stammdaten!O$20)))))))))</f>
        <v>5</v>
      </c>
      <c r="AF56" s="44"/>
      <c r="AG56" s="14">
        <f ca="1">VLOOKUP(A56,Dividende_je_Aktie!A3:AM68,24,FALSE)</f>
        <v>1.468388888888889</v>
      </c>
      <c r="AH56" s="14">
        <f>VLOOKUP(A56,Dividende_je_Aktie!A3:AM68,20,FALSE)</f>
        <v>0.90857142857142847</v>
      </c>
      <c r="AI56" s="12">
        <f ca="1">VLOOKUP(A56,Dividende_je_Aktie!A3:AM68,25,FALSE)</f>
        <v>0.61615129280223635</v>
      </c>
      <c r="AJ56" s="41">
        <f>VLOOKUP(A56,Dividende_je_Aktie!A3:AM68,39,FALSE)</f>
        <v>0</v>
      </c>
      <c r="AK56" s="16">
        <f t="shared" ca="1" si="6"/>
        <v>1.468388888888889</v>
      </c>
      <c r="AL56" s="12">
        <f t="shared" ca="1" si="7"/>
        <v>0.61615129280223635</v>
      </c>
      <c r="AM56" s="33">
        <f ca="1">IF(AI56&lt;Bewertung_Stammdaten!P$24,Bewertung_Stammdaten!O$24,IF(AI56&lt;Bewertung_Stammdaten!P$25,Bewertung_Stammdaten!O$25,IF(AI56&lt;Bewertung_Stammdaten!P$26,Bewertung_Stammdaten!O$26,IF(AI56&lt;Bewertung_Stammdaten!P$27,Bewertung_Stammdaten!O$27,IF(AI56&lt;Bewertung_Stammdaten!P$28,Bewertung_Stammdaten!O$28,IF(AI56&lt;Bewertung_Stammdaten!P$29,Bewertung_Stammdaten!O$29,IF(AI56&lt;Bewertung_Stammdaten!P$30,Bewertung_Stammdaten!O$30,IF(AI56&lt;Bewertung_Stammdaten!P$31,Bewertung_Stammdaten!O$31,IF(AI56&lt;Bewertung_Stammdaten!P$32,Bewertung_Stammdaten!O$32,Bewertung_Stammdaten!O$33)))))))))</f>
        <v>18</v>
      </c>
      <c r="AN56" s="33">
        <f>IF(AJ56&lt;Bewertung_Stammdaten!R$24,Bewertung_Stammdaten!Q$24,IF(AJ56&lt;Bewertung_Stammdaten!R$25,Bewertung_Stammdaten!Q$25,IF(AJ56&lt;Bewertung_Stammdaten!R$26,Bewertung_Stammdaten!Q$26,IF(AJ56&lt;Bewertung_Stammdaten!R$27,Bewertung_Stammdaten!Q$27,IF(AJ56&lt;Bewertung_Stammdaten!R$28,Bewertung_Stammdaten!Q$28,IF(AJ56&lt;Bewertung_Stammdaten!R$29,Bewertung_Stammdaten!Q$29,IF(AJ56&lt;Bewertung_Stammdaten!R$30,Bewertung_Stammdaten!Q$30,IF(AJ56&lt;Bewertung_Stammdaten!R$31,Bewertung_Stammdaten!Q$31,IF(AJ56&lt;Bewertung_Stammdaten!R$32,Bewertung_Stammdaten!Q$32,Bewertung_Stammdaten!Q$33)))))))))</f>
        <v>8</v>
      </c>
      <c r="AO56" s="33">
        <f ca="1">IF(AL56&lt;Bewertung_Stammdaten!T$24,Bewertung_Stammdaten!S$24,IF(AL56&lt;Bewertung_Stammdaten!T$25,Bewertung_Stammdaten!S$25,IF(AL56&lt;Bewertung_Stammdaten!T$26,Bewertung_Stammdaten!S$26,IF(AL56&lt;Bewertung_Stammdaten!T$27,Bewertung_Stammdaten!S$27,IF(AL56&lt;Bewertung_Stammdaten!T$28,Bewertung_Stammdaten!S$28,IF(AL56&lt;Bewertung_Stammdaten!T$29,Bewertung_Stammdaten!S$29,IF(AL56&lt;Bewertung_Stammdaten!T$30,Bewertung_Stammdaten!S$30,IF(AL56&lt;Bewertung_Stammdaten!T$31,Bewertung_Stammdaten!S$31,IF(AL56&lt;Bewertung_Stammdaten!T$32,Bewertung_Stammdaten!S$32,Bewertung_Stammdaten!S$33)))))))))</f>
        <v>10</v>
      </c>
      <c r="AP56" s="44"/>
      <c r="AQ56" s="12">
        <f ca="1">VLOOKUP(A56,Dividendenrendite!A3:R68,17,FALSE)</f>
        <v>1.3514854016464692E-2</v>
      </c>
      <c r="AR56" s="12">
        <f>VLOOKUP(A56,Dividendenrendite!A3:R68,16,FALSE)</f>
        <v>1.5923854377721994E-2</v>
      </c>
      <c r="AS56" s="12">
        <f ca="1">VLOOKUP(A56,Dividendenrendite!A3:R68,18,FALSE)</f>
        <v>-0.15128249129353843</v>
      </c>
      <c r="AT56" s="33">
        <f ca="1">IF(AQ56&lt;Bewertung_Stammdaten!D$11,Bewertung_Stammdaten!C$11,IF(AQ56&lt;Bewertung_Stammdaten!D$12,Bewertung_Stammdaten!C$12,IF(AQ56&lt;Bewertung_Stammdaten!D$13,Bewertung_Stammdaten!C$13,IF(AQ56&lt;Bewertung_Stammdaten!D$14,Bewertung_Stammdaten!C$14,IF(AQ56&lt;Bewertung_Stammdaten!D$15,Bewertung_Stammdaten!C$15,IF(AQ56&lt;Bewertung_Stammdaten!D$16,Bewertung_Stammdaten!C$16,IF(AQ56&lt;Bewertung_Stammdaten!D$17,Bewertung_Stammdaten!C$17,IF(AQ56&lt;Bewertung_Stammdaten!D$18,Bewertung_Stammdaten!C$18,IF(AQ56&lt;Bewertung_Stammdaten!D$19,Bewertung_Stammdaten!C$19,Bewertung_Stammdaten!C$20)))))))))</f>
        <v>4.5</v>
      </c>
      <c r="AU56" s="33">
        <f>IF(AR56&lt;Bewertung_Stammdaten!T$11,Bewertung_Stammdaten!S$11,IF(AR56&lt;Bewertung_Stammdaten!T$12,Bewertung_Stammdaten!S$12,IF(AR56&lt;Bewertung_Stammdaten!T$13,Bewertung_Stammdaten!S$13,IF(AR56&lt;Bewertung_Stammdaten!T$14,Bewertung_Stammdaten!S$14,IF(AR56&lt;Bewertung_Stammdaten!T$15,Bewertung_Stammdaten!S$15,IF(AR56&lt;Bewertung_Stammdaten!T$16,Bewertung_Stammdaten!S$16,IF(AR56&lt;Bewertung_Stammdaten!T$17,Bewertung_Stammdaten!S$17,IF(AR56&lt;Bewertung_Stammdaten!T$18,Bewertung_Stammdaten!S$18,IF(AR56&lt;Bewertung_Stammdaten!T$19,Bewertung_Stammdaten!S$19,Bewertung_Stammdaten!S$20)))))))))</f>
        <v>4</v>
      </c>
      <c r="AV56" s="33">
        <f ca="1">IF(AS56&lt;Bewertung_Stammdaten!F$11,Bewertung_Stammdaten!E$11,IF(AS56&lt;Bewertung_Stammdaten!F$12,Bewertung_Stammdaten!E$12,IF(AS56&lt;Bewertung_Stammdaten!F$13,Bewertung_Stammdaten!E$13,IF(AS56&lt;Bewertung_Stammdaten!F$14,Bewertung_Stammdaten!E$14,IF(AS56&lt;Bewertung_Stammdaten!F$15,Bewertung_Stammdaten!E$15,IF(AS56&lt;Bewertung_Stammdaten!F$16,Bewertung_Stammdaten!E$16,IF(AS56&lt;Bewertung_Stammdaten!F$17,Bewertung_Stammdaten!E$17,IF(AS56&lt;Bewertung_Stammdaten!F$18,Bewertung_Stammdaten!E$18,IF(AS56&lt;Bewertung_Stammdaten!F$19,Bewertung_Stammdaten!E$19,Bewertung_Stammdaten!E$20)))))))))</f>
        <v>1</v>
      </c>
      <c r="AW56" s="44"/>
      <c r="AX56" s="12">
        <f>VLOOKUP(A56,Aktien_im_Umlauf_splitbereinigt!A3:Z68,26,FALSE)</f>
        <v>0</v>
      </c>
      <c r="AY56" s="12">
        <f>VLOOKUP(A56,Aktien_im_Umlauf_splitbereinigt!A3:Y68,24,FALSE)</f>
        <v>-1.0147133434809971E-5</v>
      </c>
      <c r="AZ56" s="12">
        <f>VLOOKUP(A56,Aktien_im_Umlauf_splitbereinigt!A3:Y68,25,FALSE)</f>
        <v>-1</v>
      </c>
      <c r="BA56" s="42">
        <f>IF(AX56&lt;Bewertung_Stammdaten!J$24,Bewertung_Stammdaten!I$24,IF(AX56&lt;Bewertung_Stammdaten!J$25,Bewertung_Stammdaten!I$25,IF(AX56&lt;Bewertung_Stammdaten!J$26,Bewertung_Stammdaten!I$26,IF(AX56&lt;Bewertung_Stammdaten!J$27,Bewertung_Stammdaten!I$27,IF(AX56&lt;Bewertung_Stammdaten!J$28,Bewertung_Stammdaten!I$28,IF(AX56&lt;Bewertung_Stammdaten!J$29,Bewertung_Stammdaten!I$29,IF(AX56&lt;Bewertung_Stammdaten!J$30,Bewertung_Stammdaten!I$30,IF(AX56&lt;Bewertung_Stammdaten!J$31,Bewertung_Stammdaten!I$31,IF(AX56&lt;Bewertung_Stammdaten!J$32,Bewertung_Stammdaten!I$32,Bewertung_Stammdaten!I$33)))))))))</f>
        <v>2</v>
      </c>
      <c r="BB56" s="42">
        <f>IF(AY56&lt;Bewertung_Stammdaten!L$24,Bewertung_Stammdaten!K$24,IF(AY56&lt;Bewertung_Stammdaten!L$25,Bewertung_Stammdaten!K$25,IF(AY56&lt;Bewertung_Stammdaten!L$26,Bewertung_Stammdaten!K$26,IF(AY56&lt;Bewertung_Stammdaten!L$27,Bewertung_Stammdaten!K$27,IF(AY56&lt;Bewertung_Stammdaten!L$28,Bewertung_Stammdaten!K$28,IF(AY56&lt;Bewertung_Stammdaten!L$29,Bewertung_Stammdaten!K$29,IF(AY56&lt;Bewertung_Stammdaten!L$30,Bewertung_Stammdaten!K$30,IF(AY56&lt;Bewertung_Stammdaten!L$31,Bewertung_Stammdaten!K$31,IF(AY56&lt;Bewertung_Stammdaten!L$32,Bewertung_Stammdaten!K$32,Bewertung_Stammdaten!K$33)))))))))</f>
        <v>3</v>
      </c>
      <c r="BC56" s="42">
        <f>IF(AZ56&lt;Bewertung_Stammdaten!N$24,Bewertung_Stammdaten!M$24,IF(AZ56&lt;Bewertung_Stammdaten!N$25,Bewertung_Stammdaten!M$25,IF(AZ56&lt;Bewertung_Stammdaten!N$26,Bewertung_Stammdaten!M$26,IF(AZ56&lt;Bewertung_Stammdaten!N$27,Bewertung_Stammdaten!M$27,IF(AZ56&lt;Bewertung_Stammdaten!N$28,Bewertung_Stammdaten!M$28,IF(AZ56&lt;Bewertung_Stammdaten!N$29,Bewertung_Stammdaten!M$29,IF(AZ56&lt;Bewertung_Stammdaten!N$30,Bewertung_Stammdaten!M$30,IF(AZ56&lt;Bewertung_Stammdaten!N$31,Bewertung_Stammdaten!M$31,IF(AZ56&lt;Bewertung_Stammdaten!N$32,Bewertung_Stammdaten!M$32,Bewertung_Stammdaten!M$33)))))))))</f>
        <v>1</v>
      </c>
      <c r="BD56" s="44"/>
      <c r="BE56" s="12">
        <f ca="1">VLOOKUP(A56,Ausschüttungsquote!A3:X68,23,FALSE)</f>
        <v>0.31405881048360795</v>
      </c>
      <c r="BF56" s="12">
        <f>VLOOKUP(A56,Ausschüttungsquote!A3:X68,19,FALSE)</f>
        <v>0.29780608453314322</v>
      </c>
      <c r="BG56" s="12">
        <f ca="1">VLOOKUP(A56,Ausschüttungsquote!A3:X68,24,FALSE)</f>
        <v>5.4574861947308317E-2</v>
      </c>
      <c r="BH56" s="33">
        <f ca="1">IF(BE56&lt;Bewertung_Stammdaten!H$11,Bewertung_Stammdaten!G$11,IF(BE56&lt;Bewertung_Stammdaten!H$12,Bewertung_Stammdaten!G$12,IF(BE56&lt;Bewertung_Stammdaten!H$13,Bewertung_Stammdaten!G$13,IF(BE56&lt;Bewertung_Stammdaten!H$14,Bewertung_Stammdaten!G$14,IF(BE56&lt;Bewertung_Stammdaten!H$15,Bewertung_Stammdaten!G$15,IF(BE56&lt;Bewertung_Stammdaten!H$16,Bewertung_Stammdaten!G$16,IF(BE56&lt;Bewertung_Stammdaten!H$17,Bewertung_Stammdaten!G$17,IF(BE56&lt;Bewertung_Stammdaten!H$18,Bewertung_Stammdaten!G$18,IF(BE56&lt;Bewertung_Stammdaten!H$19,Bewertung_Stammdaten!G$19,Bewertung_Stammdaten!G$20)))))))))</f>
        <v>10</v>
      </c>
      <c r="BI56" s="42">
        <f>IF(BF56&lt;Bewertung_Stammdaten!B$24,Bewertung_Stammdaten!A$24,IF(BF56&lt;Bewertung_Stammdaten!B$25,Bewertung_Stammdaten!A$25,IF(BF56&lt;Bewertung_Stammdaten!B$26,Bewertung_Stammdaten!A$26,IF(BF56&lt;Bewertung_Stammdaten!B$27,Bewertung_Stammdaten!A$27,IF(BF56&lt;Bewertung_Stammdaten!B$28,Bewertung_Stammdaten!A$28,IF(BF56&lt;Bewertung_Stammdaten!B$29,Bewertung_Stammdaten!A$29,IF(BF56&lt;Bewertung_Stammdaten!B$30,Bewertung_Stammdaten!A$30,IF(BF56&lt;Bewertung_Stammdaten!B$31,Bewertung_Stammdaten!A$31,IF(BF56&lt;Bewertung_Stammdaten!B$32,Bewertung_Stammdaten!A$32,Bewertung_Stammdaten!A$33)))))))))</f>
        <v>10</v>
      </c>
      <c r="BJ56" s="33">
        <f ca="1">IF(BG56&lt;Bewertung_Stammdaten!J$11,Bewertung_Stammdaten!I$11,IF(BG56&lt;Bewertung_Stammdaten!J$12,Bewertung_Stammdaten!I$12,IF(BG56&lt;Bewertung_Stammdaten!J$13,Bewertung_Stammdaten!I$13,IF(BG56&lt;Bewertung_Stammdaten!J$14,Bewertung_Stammdaten!I$14,IF(BG56&lt;Bewertung_Stammdaten!J$15,Bewertung_Stammdaten!I$15,IF(BG56&lt;Bewertung_Stammdaten!J$16,Bewertung_Stammdaten!I$16,IF(BG56&lt;Bewertung_Stammdaten!J$17,Bewertung_Stammdaten!I$17,IF(BG56&lt;Bewertung_Stammdaten!J$18,Bewertung_Stammdaten!I$18,IF(BG56&lt;Bewertung_Stammdaten!J$19,Bewertung_Stammdaten!I$19,Bewertung_Stammdaten!I$20)))))))))</f>
        <v>4</v>
      </c>
    </row>
    <row r="57" spans="1:62" x14ac:dyDescent="0.25">
      <c r="A57" s="39" t="s">
        <v>109</v>
      </c>
      <c r="B57" s="39" t="s">
        <v>110</v>
      </c>
      <c r="C57" s="33">
        <f t="shared" ca="1" si="8"/>
        <v>124</v>
      </c>
      <c r="D57" s="44"/>
      <c r="E57" s="11">
        <f ca="1">VLOOKUP(A57,KGV!A3:R68,17,FALSE)</f>
        <v>27.812388950614228</v>
      </c>
      <c r="F57" s="11">
        <f>VLOOKUP(A57,KGV!A3:R68,16,FALSE)</f>
        <v>21.48076923076923</v>
      </c>
      <c r="G57" s="12">
        <f ca="1">VLOOKUP(A57,KGV!A3:R68,18,FALSE)</f>
        <v>0.29475758767407334</v>
      </c>
      <c r="H57" s="16">
        <f t="shared" ca="1" si="9"/>
        <v>28.381648373580017</v>
      </c>
      <c r="I57" s="12">
        <f t="shared" ca="1" si="10"/>
        <v>0.32125847397149587</v>
      </c>
      <c r="J57" s="33">
        <f ca="1">IF(G57&lt;Bewertung_Stammdaten!B$11,Bewertung_Stammdaten!A$11,IF(G57&lt;Bewertung_Stammdaten!B$12,Bewertung_Stammdaten!A$12,IF(G57&lt;Bewertung_Stammdaten!B$13,Bewertung_Stammdaten!A$13,IF(G57&lt;Bewertung_Stammdaten!B$14,Bewertung_Stammdaten!A$14,IF(G57&lt;Bewertung_Stammdaten!B$15,Bewertung_Stammdaten!A$15,IF(G57&lt;Bewertung_Stammdaten!B$16,Bewertung_Stammdaten!A$16,IF(G57&lt;Bewertung_Stammdaten!B$17,Bewertung_Stammdaten!A$17,IF(G57&lt;Bewertung_Stammdaten!B$18,Bewertung_Stammdaten!A$18,IF(G57&lt;Bewertung_Stammdaten!B$19,Bewertung_Stammdaten!A$19,Bewertung_Stammdaten!A$20)))))))))</f>
        <v>3</v>
      </c>
      <c r="K57" s="33">
        <f ca="1">IF(I57&lt;Bewertung_Stammdaten!N$11,Bewertung_Stammdaten!M$11,IF(I57&lt;Bewertung_Stammdaten!N$12,Bewertung_Stammdaten!M$12,IF(I57&lt;Bewertung_Stammdaten!N$13,Bewertung_Stammdaten!M$13,IF(I57&lt;Bewertung_Stammdaten!N$14,Bewertung_Stammdaten!M$14,IF(I57&lt;Bewertung_Stammdaten!N$15,Bewertung_Stammdaten!M$15,IF(I57&lt;Bewertung_Stammdaten!N$16,Bewertung_Stammdaten!M$16,IF(I57&lt;Bewertung_Stammdaten!N$17,Bewertung_Stammdaten!M$17,IF(I57&lt;Bewertung_Stammdaten!N$18,Bewertung_Stammdaten!M$18,IF(I57&lt;Bewertung_Stammdaten!N$19,Bewertung_Stammdaten!M$19,Bewertung_Stammdaten!M$20)))))))))</f>
        <v>4.5</v>
      </c>
      <c r="L57" s="44"/>
      <c r="M57" s="11">
        <f ca="1">VLOOKUP(A57,Buchwert_je_Aktie!A3:AK68,23,FALSE)</f>
        <v>40.089444444444439</v>
      </c>
      <c r="N57" s="11">
        <f>VLOOKUP(A57,Buchwert_je_Aktie!A3:AK68,19,FALSE)</f>
        <v>30.584615384615386</v>
      </c>
      <c r="O57" s="12">
        <f ca="1">VLOOKUP(A57,Buchwert_je_Aktie!A3:AK68,24,FALSE)</f>
        <v>0.31077157388777077</v>
      </c>
      <c r="P57" s="12">
        <f>VLOOKUP(A57,Buchwert_je_Aktie!A3:AK68,37,FALSE)</f>
        <v>-0.10934664246823955</v>
      </c>
      <c r="Q57" s="16">
        <f t="shared" ca="1" si="11"/>
        <v>35.705798296027417</v>
      </c>
      <c r="R57" s="12">
        <f t="shared" ca="1" si="12"/>
        <v>0.16744310324033296</v>
      </c>
      <c r="S57" s="53">
        <f ca="1">IF(O57&lt;Bewertung_Stammdaten!D$24,Bewertung_Stammdaten!C$24,IF(O57&lt;Bewertung_Stammdaten!D$25,Bewertung_Stammdaten!C$25,IF(O57&lt;Bewertung_Stammdaten!D$26,Bewertung_Stammdaten!C$26,IF(O57&lt;Bewertung_Stammdaten!D$27,Bewertung_Stammdaten!C$27,IF(O57&lt;Bewertung_Stammdaten!D$28,Bewertung_Stammdaten!C$28,IF(O57&lt;Bewertung_Stammdaten!D$29,Bewertung_Stammdaten!C$29,IF(O57&lt;Bewertung_Stammdaten!D$30,Bewertung_Stammdaten!C$30,IF(O57&lt;Bewertung_Stammdaten!D$31,Bewertung_Stammdaten!C$31,IF(O57&lt;Bewertung_Stammdaten!D$32,Bewertung_Stammdaten!C$32,Bewertung_Stammdaten!C$33)))))))))</f>
        <v>9</v>
      </c>
      <c r="T57" s="53">
        <f>IF(P57&lt;Bewertung_Stammdaten!F$24,Bewertung_Stammdaten!E$24,IF(P57&lt;Bewertung_Stammdaten!F$25,Bewertung_Stammdaten!E$25,IF(P57&lt;Bewertung_Stammdaten!F$26,Bewertung_Stammdaten!E$26,IF(P57&lt;Bewertung_Stammdaten!F$27,Bewertung_Stammdaten!E$27,IF(P57&lt;Bewertung_Stammdaten!F$28,Bewertung_Stammdaten!E$28,IF(P57&lt;Bewertung_Stammdaten!F$29,Bewertung_Stammdaten!E$29,IF(P57&lt;Bewertung_Stammdaten!F$30,Bewertung_Stammdaten!E$30,IF(P57&lt;Bewertung_Stammdaten!F$31,Bewertung_Stammdaten!E$31,IF(P57&lt;Bewertung_Stammdaten!F$32,Bewertung_Stammdaten!E$32,Bewertung_Stammdaten!E$33)))))))))</f>
        <v>7.5</v>
      </c>
      <c r="U57" s="53">
        <f ca="1">IF(R57&lt;Bewertung_Stammdaten!H$24,Bewertung_Stammdaten!G$24,IF(R57&lt;Bewertung_Stammdaten!H$25,Bewertung_Stammdaten!G$25,IF(R57&lt;Bewertung_Stammdaten!H$26,Bewertung_Stammdaten!G$26,IF(R57&lt;Bewertung_Stammdaten!H$27,Bewertung_Stammdaten!G$27,IF(R57&lt;Bewertung_Stammdaten!H$28,Bewertung_Stammdaten!G$28,IF(R57&lt;Bewertung_Stammdaten!H$29,Bewertung_Stammdaten!G$29,IF(R57&lt;Bewertung_Stammdaten!H$30,Bewertung_Stammdaten!G$30,IF(R57&lt;Bewertung_Stammdaten!H$31,Bewertung_Stammdaten!G$31,IF(R57&lt;Bewertung_Stammdaten!H$32,Bewertung_Stammdaten!G$32,Bewertung_Stammdaten!G$33)))))))))</f>
        <v>4</v>
      </c>
      <c r="V57" s="44"/>
      <c r="W57" s="14">
        <f ca="1">VLOOKUP(A57,Ergebnis_je_Aktie_verwässert!A3:AK68,23,FALSE)</f>
        <v>6.175305555555556</v>
      </c>
      <c r="X57" s="14">
        <f>VLOOKUP(A57,Ergebnis_je_Aktie_verwässert!A3:AK68,19,FALSE)</f>
        <v>4.5561538461538458</v>
      </c>
      <c r="Y57" s="12">
        <f ca="1">VLOOKUP(A57,Ergebnis_je_Aktie_verwässert!A3:AK68,24,FALSE)</f>
        <v>0.35537687358133097</v>
      </c>
      <c r="Z57" s="41">
        <f>VLOOKUP(A57,Ergebnis_je_Aktie_verwässert!A3:AK68,37,FALSE)</f>
        <v>-2.0057306590257951E-2</v>
      </c>
      <c r="AA57" s="16">
        <f t="shared" ca="1" si="13"/>
        <v>6.051445558739255</v>
      </c>
      <c r="AB57" s="12">
        <f t="shared" ca="1" si="14"/>
        <v>0.32819166408256506</v>
      </c>
      <c r="AC57" s="33">
        <f ca="1">IF(Y57&lt;Bewertung_Stammdaten!L$11,Bewertung_Stammdaten!K$11,IF(Y57&lt;Bewertung_Stammdaten!L$12,Bewertung_Stammdaten!K$12,IF(Y57&lt;Bewertung_Stammdaten!L$13,Bewertung_Stammdaten!K$13,IF(Y57&lt;Bewertung_Stammdaten!L$14,Bewertung_Stammdaten!K$14,IF(Y57&lt;Bewertung_Stammdaten!L$15,Bewertung_Stammdaten!K$15,IF(Y57&lt;Bewertung_Stammdaten!L$16,Bewertung_Stammdaten!K$16,IF(Y57&lt;Bewertung_Stammdaten!L$17,Bewertung_Stammdaten!K$17,IF(Y57&lt;Bewertung_Stammdaten!L$18,Bewertung_Stammdaten!K$18,IF(Y57&lt;Bewertung_Stammdaten!L$19,Bewertung_Stammdaten!K$19,Bewertung_Stammdaten!K$20)))))))))</f>
        <v>12</v>
      </c>
      <c r="AD57" s="33">
        <f>IF(Z57&lt;Bewertung_Stammdaten!R$11,Bewertung_Stammdaten!Q$11,IF(Z57&lt;Bewertung_Stammdaten!R$12,Bewertung_Stammdaten!Q$12,IF(Z57&lt;Bewertung_Stammdaten!R$13,Bewertung_Stammdaten!Q$13,IF(Z57&lt;Bewertung_Stammdaten!R$14,Bewertung_Stammdaten!Q$14,IF(Z57&lt;Bewertung_Stammdaten!R$15,Bewertung_Stammdaten!Q$15,IF(Z57&lt;Bewertung_Stammdaten!R$16,Bewertung_Stammdaten!Q$16,IF(Z57&lt;Bewertung_Stammdaten!R$17,Bewertung_Stammdaten!Q$17,IF(Z57&lt;Bewertung_Stammdaten!R$18,Bewertung_Stammdaten!Q$18,IF(Z57&lt;Bewertung_Stammdaten!R$19,Bewertung_Stammdaten!Q$19,Bewertung_Stammdaten!Q$20)))))))))</f>
        <v>7</v>
      </c>
      <c r="AE57" s="33">
        <f ca="1">IF(AB57&lt;Bewertung_Stammdaten!P$11,Bewertung_Stammdaten!O$11,IF(AB57&lt;Bewertung_Stammdaten!P$12,Bewertung_Stammdaten!O$12,IF(AB57&lt;Bewertung_Stammdaten!P$13,Bewertung_Stammdaten!O$13,IF(AB57&lt;Bewertung_Stammdaten!P$14,Bewertung_Stammdaten!O$14,IF(AB57&lt;Bewertung_Stammdaten!P$15,Bewertung_Stammdaten!O$15,IF(AB57&lt;Bewertung_Stammdaten!P$16,Bewertung_Stammdaten!O$16,IF(AB57&lt;Bewertung_Stammdaten!P$17,Bewertung_Stammdaten!O$17,IF(AB57&lt;Bewertung_Stammdaten!P$18,Bewertung_Stammdaten!O$18,IF(AB57&lt;Bewertung_Stammdaten!P$19,Bewertung_Stammdaten!O$19,Bewertung_Stammdaten!O$20)))))))))</f>
        <v>7</v>
      </c>
      <c r="AF57" s="44"/>
      <c r="AG57" s="14">
        <f ca="1">VLOOKUP(A57,Dividende_je_Aktie!A3:AM68,24,FALSE)</f>
        <v>3.0528611111111115</v>
      </c>
      <c r="AH57" s="14">
        <f>VLOOKUP(A57,Dividende_je_Aktie!A3:AM68,20,FALSE)</f>
        <v>2.0385714285714287</v>
      </c>
      <c r="AI57" s="12">
        <f ca="1">VLOOKUP(A57,Dividende_je_Aktie!A3:AM68,25,FALSE)</f>
        <v>0.49754924861792427</v>
      </c>
      <c r="AJ57" s="41">
        <f>VLOOKUP(A57,Dividende_je_Aktie!A3:AM68,39,FALSE)</f>
        <v>4.1666666666666741E-2</v>
      </c>
      <c r="AK57" s="16">
        <f t="shared" ca="1" si="6"/>
        <v>3.0528611111111115</v>
      </c>
      <c r="AL57" s="12">
        <f t="shared" ca="1" si="7"/>
        <v>0.49754924861792427</v>
      </c>
      <c r="AM57" s="33">
        <f ca="1">IF(AI57&lt;Bewertung_Stammdaten!P$24,Bewertung_Stammdaten!O$24,IF(AI57&lt;Bewertung_Stammdaten!P$25,Bewertung_Stammdaten!O$25,IF(AI57&lt;Bewertung_Stammdaten!P$26,Bewertung_Stammdaten!O$26,IF(AI57&lt;Bewertung_Stammdaten!P$27,Bewertung_Stammdaten!O$27,IF(AI57&lt;Bewertung_Stammdaten!P$28,Bewertung_Stammdaten!O$28,IF(AI57&lt;Bewertung_Stammdaten!P$29,Bewertung_Stammdaten!O$29,IF(AI57&lt;Bewertung_Stammdaten!P$30,Bewertung_Stammdaten!O$30,IF(AI57&lt;Bewertung_Stammdaten!P$31,Bewertung_Stammdaten!O$31,IF(AI57&lt;Bewertung_Stammdaten!P$32,Bewertung_Stammdaten!O$32,Bewertung_Stammdaten!O$33)))))))))</f>
        <v>14</v>
      </c>
      <c r="AN57" s="33">
        <f>IF(AJ57&lt;Bewertung_Stammdaten!R$24,Bewertung_Stammdaten!Q$24,IF(AJ57&lt;Bewertung_Stammdaten!R$25,Bewertung_Stammdaten!Q$25,IF(AJ57&lt;Bewertung_Stammdaten!R$26,Bewertung_Stammdaten!Q$26,IF(AJ57&lt;Bewertung_Stammdaten!R$27,Bewertung_Stammdaten!Q$27,IF(AJ57&lt;Bewertung_Stammdaten!R$28,Bewertung_Stammdaten!Q$28,IF(AJ57&lt;Bewertung_Stammdaten!R$29,Bewertung_Stammdaten!Q$29,IF(AJ57&lt;Bewertung_Stammdaten!R$30,Bewertung_Stammdaten!Q$30,IF(AJ57&lt;Bewertung_Stammdaten!R$31,Bewertung_Stammdaten!Q$31,IF(AJ57&lt;Bewertung_Stammdaten!R$32,Bewertung_Stammdaten!Q$32,Bewertung_Stammdaten!Q$33)))))))))</f>
        <v>8</v>
      </c>
      <c r="AO57" s="33">
        <f ca="1">IF(AL57&lt;Bewertung_Stammdaten!T$24,Bewertung_Stammdaten!S$24,IF(AL57&lt;Bewertung_Stammdaten!T$25,Bewertung_Stammdaten!S$25,IF(AL57&lt;Bewertung_Stammdaten!T$26,Bewertung_Stammdaten!S$26,IF(AL57&lt;Bewertung_Stammdaten!T$27,Bewertung_Stammdaten!S$27,IF(AL57&lt;Bewertung_Stammdaten!T$28,Bewertung_Stammdaten!S$28,IF(AL57&lt;Bewertung_Stammdaten!T$29,Bewertung_Stammdaten!S$29,IF(AL57&lt;Bewertung_Stammdaten!T$30,Bewertung_Stammdaten!S$30,IF(AL57&lt;Bewertung_Stammdaten!T$31,Bewertung_Stammdaten!S$31,IF(AL57&lt;Bewertung_Stammdaten!T$32,Bewertung_Stammdaten!S$32,Bewertung_Stammdaten!S$33)))))))))</f>
        <v>9</v>
      </c>
      <c r="AP57" s="44"/>
      <c r="AQ57" s="12">
        <f ca="1">VLOOKUP(A57,Dividendenrendite!A3:R68,17,FALSE)</f>
        <v>1.7775028303412585E-2</v>
      </c>
      <c r="AR57" s="12">
        <f>VLOOKUP(A57,Dividendenrendite!A3:R68,16,FALSE)</f>
        <v>1.896455225860335E-2</v>
      </c>
      <c r="AS57" s="12">
        <f ca="1">VLOOKUP(A57,Dividendenrendite!A3:R68,18,FALSE)</f>
        <v>-6.2723545432037953E-2</v>
      </c>
      <c r="AT57" s="33">
        <f ca="1">IF(AQ57&lt;Bewertung_Stammdaten!D$11,Bewertung_Stammdaten!C$11,IF(AQ57&lt;Bewertung_Stammdaten!D$12,Bewertung_Stammdaten!C$12,IF(AQ57&lt;Bewertung_Stammdaten!D$13,Bewertung_Stammdaten!C$13,IF(AQ57&lt;Bewertung_Stammdaten!D$14,Bewertung_Stammdaten!C$14,IF(AQ57&lt;Bewertung_Stammdaten!D$15,Bewertung_Stammdaten!C$15,IF(AQ57&lt;Bewertung_Stammdaten!D$16,Bewertung_Stammdaten!C$16,IF(AQ57&lt;Bewertung_Stammdaten!D$17,Bewertung_Stammdaten!C$17,IF(AQ57&lt;Bewertung_Stammdaten!D$18,Bewertung_Stammdaten!C$18,IF(AQ57&lt;Bewertung_Stammdaten!D$19,Bewertung_Stammdaten!C$19,Bewertung_Stammdaten!C$20)))))))))</f>
        <v>6</v>
      </c>
      <c r="AU57" s="33">
        <f>IF(AR57&lt;Bewertung_Stammdaten!T$11,Bewertung_Stammdaten!S$11,IF(AR57&lt;Bewertung_Stammdaten!T$12,Bewertung_Stammdaten!S$12,IF(AR57&lt;Bewertung_Stammdaten!T$13,Bewertung_Stammdaten!S$13,IF(AR57&lt;Bewertung_Stammdaten!T$14,Bewertung_Stammdaten!S$14,IF(AR57&lt;Bewertung_Stammdaten!T$15,Bewertung_Stammdaten!S$15,IF(AR57&lt;Bewertung_Stammdaten!T$16,Bewertung_Stammdaten!S$16,IF(AR57&lt;Bewertung_Stammdaten!T$17,Bewertung_Stammdaten!S$17,IF(AR57&lt;Bewertung_Stammdaten!T$18,Bewertung_Stammdaten!S$18,IF(AR57&lt;Bewertung_Stammdaten!T$19,Bewertung_Stammdaten!S$19,Bewertung_Stammdaten!S$20)))))))))</f>
        <v>4</v>
      </c>
      <c r="AV57" s="33">
        <f ca="1">IF(AS57&lt;Bewertung_Stammdaten!F$11,Bewertung_Stammdaten!E$11,IF(AS57&lt;Bewertung_Stammdaten!F$12,Bewertung_Stammdaten!E$12,IF(AS57&lt;Bewertung_Stammdaten!F$13,Bewertung_Stammdaten!E$13,IF(AS57&lt;Bewertung_Stammdaten!F$14,Bewertung_Stammdaten!E$14,IF(AS57&lt;Bewertung_Stammdaten!F$15,Bewertung_Stammdaten!E$15,IF(AS57&lt;Bewertung_Stammdaten!F$16,Bewertung_Stammdaten!E$16,IF(AS57&lt;Bewertung_Stammdaten!F$17,Bewertung_Stammdaten!E$17,IF(AS57&lt;Bewertung_Stammdaten!F$18,Bewertung_Stammdaten!E$18,IF(AS57&lt;Bewertung_Stammdaten!F$19,Bewertung_Stammdaten!E$19,Bewertung_Stammdaten!E$20)))))))))</f>
        <v>2</v>
      </c>
      <c r="AW57" s="44"/>
      <c r="AX57" s="12">
        <f>VLOOKUP(A57,Aktien_im_Umlauf_splitbereinigt!A3:Z68,26,FALSE)</f>
        <v>0</v>
      </c>
      <c r="AY57" s="12">
        <f>VLOOKUP(A57,Aktien_im_Umlauf_splitbereinigt!A3:Y68,24,FALSE)</f>
        <v>-9.142175223562754E-3</v>
      </c>
      <c r="AZ57" s="12">
        <f>VLOOKUP(A57,Aktien_im_Umlauf_splitbereinigt!A3:Y68,25,FALSE)</f>
        <v>-1</v>
      </c>
      <c r="BA57" s="42">
        <f>IF(AX57&lt;Bewertung_Stammdaten!J$24,Bewertung_Stammdaten!I$24,IF(AX57&lt;Bewertung_Stammdaten!J$25,Bewertung_Stammdaten!I$25,IF(AX57&lt;Bewertung_Stammdaten!J$26,Bewertung_Stammdaten!I$26,IF(AX57&lt;Bewertung_Stammdaten!J$27,Bewertung_Stammdaten!I$27,IF(AX57&lt;Bewertung_Stammdaten!J$28,Bewertung_Stammdaten!I$28,IF(AX57&lt;Bewertung_Stammdaten!J$29,Bewertung_Stammdaten!I$29,IF(AX57&lt;Bewertung_Stammdaten!J$30,Bewertung_Stammdaten!I$30,IF(AX57&lt;Bewertung_Stammdaten!J$31,Bewertung_Stammdaten!I$31,IF(AX57&lt;Bewertung_Stammdaten!J$32,Bewertung_Stammdaten!I$32,Bewertung_Stammdaten!I$33)))))))))</f>
        <v>2</v>
      </c>
      <c r="BB57" s="42">
        <f>IF(AY57&lt;Bewertung_Stammdaten!L$24,Bewertung_Stammdaten!K$24,IF(AY57&lt;Bewertung_Stammdaten!L$25,Bewertung_Stammdaten!K$25,IF(AY57&lt;Bewertung_Stammdaten!L$26,Bewertung_Stammdaten!K$26,IF(AY57&lt;Bewertung_Stammdaten!L$27,Bewertung_Stammdaten!K$27,IF(AY57&lt;Bewertung_Stammdaten!L$28,Bewertung_Stammdaten!K$28,IF(AY57&lt;Bewertung_Stammdaten!L$29,Bewertung_Stammdaten!K$29,IF(AY57&lt;Bewertung_Stammdaten!L$30,Bewertung_Stammdaten!K$30,IF(AY57&lt;Bewertung_Stammdaten!L$31,Bewertung_Stammdaten!K$31,IF(AY57&lt;Bewertung_Stammdaten!L$32,Bewertung_Stammdaten!K$32,Bewertung_Stammdaten!K$33)))))))))</f>
        <v>4</v>
      </c>
      <c r="BC57" s="42">
        <f>IF(AZ57&lt;Bewertung_Stammdaten!N$24,Bewertung_Stammdaten!M$24,IF(AZ57&lt;Bewertung_Stammdaten!N$25,Bewertung_Stammdaten!M$25,IF(AZ57&lt;Bewertung_Stammdaten!N$26,Bewertung_Stammdaten!M$26,IF(AZ57&lt;Bewertung_Stammdaten!N$27,Bewertung_Stammdaten!M$27,IF(AZ57&lt;Bewertung_Stammdaten!N$28,Bewertung_Stammdaten!M$28,IF(AZ57&lt;Bewertung_Stammdaten!N$29,Bewertung_Stammdaten!M$29,IF(AZ57&lt;Bewertung_Stammdaten!N$30,Bewertung_Stammdaten!M$30,IF(AZ57&lt;Bewertung_Stammdaten!N$31,Bewertung_Stammdaten!M$31,IF(AZ57&lt;Bewertung_Stammdaten!N$32,Bewertung_Stammdaten!M$32,Bewertung_Stammdaten!M$33)))))))))</f>
        <v>1</v>
      </c>
      <c r="BD57" s="44"/>
      <c r="BE57" s="12">
        <f ca="1">VLOOKUP(A57,Ausschüttungsquote!A3:X68,23,FALSE)</f>
        <v>0.49421785718271505</v>
      </c>
      <c r="BF57" s="12">
        <f>VLOOKUP(A57,Ausschüttungsquote!A3:X68,19,FALSE)</f>
        <v>0.45591883292529078</v>
      </c>
      <c r="BG57" s="12">
        <f ca="1">VLOOKUP(A57,Ausschüttungsquote!A3:X68,24,FALSE)</f>
        <v>8.4004040832636795E-2</v>
      </c>
      <c r="BH57" s="33">
        <f ca="1">IF(BE57&lt;Bewertung_Stammdaten!H$11,Bewertung_Stammdaten!G$11,IF(BE57&lt;Bewertung_Stammdaten!H$12,Bewertung_Stammdaten!G$12,IF(BE57&lt;Bewertung_Stammdaten!H$13,Bewertung_Stammdaten!G$13,IF(BE57&lt;Bewertung_Stammdaten!H$14,Bewertung_Stammdaten!G$14,IF(BE57&lt;Bewertung_Stammdaten!H$15,Bewertung_Stammdaten!G$15,IF(BE57&lt;Bewertung_Stammdaten!H$16,Bewertung_Stammdaten!G$16,IF(BE57&lt;Bewertung_Stammdaten!H$17,Bewertung_Stammdaten!G$17,IF(BE57&lt;Bewertung_Stammdaten!H$18,Bewertung_Stammdaten!G$18,IF(BE57&lt;Bewertung_Stammdaten!H$19,Bewertung_Stammdaten!G$19,Bewertung_Stammdaten!G$20)))))))))</f>
        <v>8</v>
      </c>
      <c r="BI57" s="42">
        <f>IF(BF57&lt;Bewertung_Stammdaten!B$24,Bewertung_Stammdaten!A$24,IF(BF57&lt;Bewertung_Stammdaten!B$25,Bewertung_Stammdaten!A$25,IF(BF57&lt;Bewertung_Stammdaten!B$26,Bewertung_Stammdaten!A$26,IF(BF57&lt;Bewertung_Stammdaten!B$27,Bewertung_Stammdaten!A$27,IF(BF57&lt;Bewertung_Stammdaten!B$28,Bewertung_Stammdaten!A$28,IF(BF57&lt;Bewertung_Stammdaten!B$29,Bewertung_Stammdaten!A$29,IF(BF57&lt;Bewertung_Stammdaten!B$30,Bewertung_Stammdaten!A$30,IF(BF57&lt;Bewertung_Stammdaten!B$31,Bewertung_Stammdaten!A$31,IF(BF57&lt;Bewertung_Stammdaten!B$32,Bewertung_Stammdaten!A$32,Bewertung_Stammdaten!A$33)))))))))</f>
        <v>8</v>
      </c>
      <c r="BJ57" s="33">
        <f ca="1">IF(BG57&lt;Bewertung_Stammdaten!J$11,Bewertung_Stammdaten!I$11,IF(BG57&lt;Bewertung_Stammdaten!J$12,Bewertung_Stammdaten!I$12,IF(BG57&lt;Bewertung_Stammdaten!J$13,Bewertung_Stammdaten!I$13,IF(BG57&lt;Bewertung_Stammdaten!J$14,Bewertung_Stammdaten!I$14,IF(BG57&lt;Bewertung_Stammdaten!J$15,Bewertung_Stammdaten!I$15,IF(BG57&lt;Bewertung_Stammdaten!J$16,Bewertung_Stammdaten!I$16,IF(BG57&lt;Bewertung_Stammdaten!J$17,Bewertung_Stammdaten!I$17,IF(BG57&lt;Bewertung_Stammdaten!J$18,Bewertung_Stammdaten!I$18,IF(BG57&lt;Bewertung_Stammdaten!J$19,Bewertung_Stammdaten!I$19,Bewertung_Stammdaten!I$20)))))))))</f>
        <v>4</v>
      </c>
    </row>
    <row r="58" spans="1:62" x14ac:dyDescent="0.25">
      <c r="A58" s="39" t="s">
        <v>111</v>
      </c>
      <c r="B58" s="39" t="s">
        <v>112</v>
      </c>
      <c r="C58" s="33">
        <f t="shared" ca="1" si="8"/>
        <v>123</v>
      </c>
      <c r="D58" s="44"/>
      <c r="E58" s="11">
        <f ca="1">VLOOKUP(A58,KGV!A3:R68,17,FALSE)</f>
        <v>19.958526198852059</v>
      </c>
      <c r="F58" s="11">
        <f>VLOOKUP(A58,KGV!A3:R68,16,FALSE)</f>
        <v>18.951476793248943</v>
      </c>
      <c r="G58" s="12">
        <f ca="1">VLOOKUP(A58,KGV!A3:R68,18,FALSE)</f>
        <v>5.313830772079231E-2</v>
      </c>
      <c r="H58" s="16">
        <f t="shared" ca="1" si="9"/>
        <v>26.850679130829754</v>
      </c>
      <c r="I58" s="12">
        <f t="shared" ca="1" si="10"/>
        <v>0.41681196794092212</v>
      </c>
      <c r="J58" s="33">
        <f ca="1">IF(G58&lt;Bewertung_Stammdaten!B$11,Bewertung_Stammdaten!A$11,IF(G58&lt;Bewertung_Stammdaten!B$12,Bewertung_Stammdaten!A$12,IF(G58&lt;Bewertung_Stammdaten!B$13,Bewertung_Stammdaten!A$13,IF(G58&lt;Bewertung_Stammdaten!B$14,Bewertung_Stammdaten!A$14,IF(G58&lt;Bewertung_Stammdaten!B$15,Bewertung_Stammdaten!A$15,IF(G58&lt;Bewertung_Stammdaten!B$16,Bewertung_Stammdaten!A$16,IF(G58&lt;Bewertung_Stammdaten!B$17,Bewertung_Stammdaten!A$17,IF(G58&lt;Bewertung_Stammdaten!B$18,Bewertung_Stammdaten!A$18,IF(G58&lt;Bewertung_Stammdaten!B$19,Bewertung_Stammdaten!A$19,Bewertung_Stammdaten!A$20)))))))))</f>
        <v>15</v>
      </c>
      <c r="K58" s="33">
        <f ca="1">IF(I58&lt;Bewertung_Stammdaten!N$11,Bewertung_Stammdaten!M$11,IF(I58&lt;Bewertung_Stammdaten!N$12,Bewertung_Stammdaten!M$12,IF(I58&lt;Bewertung_Stammdaten!N$13,Bewertung_Stammdaten!M$13,IF(I58&lt;Bewertung_Stammdaten!N$14,Bewertung_Stammdaten!M$14,IF(I58&lt;Bewertung_Stammdaten!N$15,Bewertung_Stammdaten!M$15,IF(I58&lt;Bewertung_Stammdaten!N$16,Bewertung_Stammdaten!M$16,IF(I58&lt;Bewertung_Stammdaten!N$17,Bewertung_Stammdaten!M$17,IF(I58&lt;Bewertung_Stammdaten!N$18,Bewertung_Stammdaten!M$18,IF(I58&lt;Bewertung_Stammdaten!N$19,Bewertung_Stammdaten!M$19,Bewertung_Stammdaten!M$20)))))))))</f>
        <v>1.5</v>
      </c>
      <c r="L58" s="44"/>
      <c r="M58" s="11">
        <f ca="1">VLOOKUP(A58,Buchwert_je_Aktie!A3:AK68,23,FALSE)</f>
        <v>43.701388888888886</v>
      </c>
      <c r="N58" s="11">
        <f>VLOOKUP(A58,Buchwert_je_Aktie!A3:AK68,19,FALSE)</f>
        <v>39.5523076923077</v>
      </c>
      <c r="O58" s="12">
        <f ca="1">VLOOKUP(A58,Buchwert_je_Aktie!A3:AK68,24,FALSE)</f>
        <v>0.10490111547620562</v>
      </c>
      <c r="P58" s="12">
        <f>VLOOKUP(A58,Buchwert_je_Aktie!A3:AK68,37,FALSE)</f>
        <v>-2.7728085867620766E-2</v>
      </c>
      <c r="Q58" s="16">
        <f t="shared" ca="1" si="11"/>
        <v>42.489633025243485</v>
      </c>
      <c r="R58" s="12">
        <f t="shared" ca="1" si="12"/>
        <v>7.4264322471051303E-2</v>
      </c>
      <c r="S58" s="53">
        <f ca="1">IF(O58&lt;Bewertung_Stammdaten!D$24,Bewertung_Stammdaten!C$24,IF(O58&lt;Bewertung_Stammdaten!D$25,Bewertung_Stammdaten!C$25,IF(O58&lt;Bewertung_Stammdaten!D$26,Bewertung_Stammdaten!C$26,IF(O58&lt;Bewertung_Stammdaten!D$27,Bewertung_Stammdaten!C$27,IF(O58&lt;Bewertung_Stammdaten!D$28,Bewertung_Stammdaten!C$28,IF(O58&lt;Bewertung_Stammdaten!D$29,Bewertung_Stammdaten!C$29,IF(O58&lt;Bewertung_Stammdaten!D$30,Bewertung_Stammdaten!C$30,IF(O58&lt;Bewertung_Stammdaten!D$31,Bewertung_Stammdaten!C$31,IF(O58&lt;Bewertung_Stammdaten!D$32,Bewertung_Stammdaten!C$32,Bewertung_Stammdaten!C$33)))))))))</f>
        <v>6</v>
      </c>
      <c r="T58" s="53">
        <f>IF(P58&lt;Bewertung_Stammdaten!F$24,Bewertung_Stammdaten!E$24,IF(P58&lt;Bewertung_Stammdaten!F$25,Bewertung_Stammdaten!E$25,IF(P58&lt;Bewertung_Stammdaten!F$26,Bewertung_Stammdaten!E$26,IF(P58&lt;Bewertung_Stammdaten!F$27,Bewertung_Stammdaten!E$27,IF(P58&lt;Bewertung_Stammdaten!F$28,Bewertung_Stammdaten!E$28,IF(P58&lt;Bewertung_Stammdaten!F$29,Bewertung_Stammdaten!E$29,IF(P58&lt;Bewertung_Stammdaten!F$30,Bewertung_Stammdaten!E$30,IF(P58&lt;Bewertung_Stammdaten!F$31,Bewertung_Stammdaten!E$31,IF(P58&lt;Bewertung_Stammdaten!F$32,Bewertung_Stammdaten!E$32,Bewertung_Stammdaten!E$33)))))))))</f>
        <v>10.5</v>
      </c>
      <c r="U58" s="53">
        <f ca="1">IF(R58&lt;Bewertung_Stammdaten!H$24,Bewertung_Stammdaten!G$24,IF(R58&lt;Bewertung_Stammdaten!H$25,Bewertung_Stammdaten!G$25,IF(R58&lt;Bewertung_Stammdaten!H$26,Bewertung_Stammdaten!G$26,IF(R58&lt;Bewertung_Stammdaten!H$27,Bewertung_Stammdaten!G$27,IF(R58&lt;Bewertung_Stammdaten!H$28,Bewertung_Stammdaten!G$28,IF(R58&lt;Bewertung_Stammdaten!H$29,Bewertung_Stammdaten!G$29,IF(R58&lt;Bewertung_Stammdaten!H$30,Bewertung_Stammdaten!G$30,IF(R58&lt;Bewertung_Stammdaten!H$31,Bewertung_Stammdaten!G$31,IF(R58&lt;Bewertung_Stammdaten!H$32,Bewertung_Stammdaten!G$32,Bewertung_Stammdaten!G$33)))))))))</f>
        <v>3</v>
      </c>
      <c r="V58" s="44"/>
      <c r="W58" s="14">
        <f ca="1">VLOOKUP(A58,Ergebnis_je_Aktie_verwässert!A3:AK68,23,FALSE)</f>
        <v>4.5008333333333344</v>
      </c>
      <c r="X58" s="14">
        <f>VLOOKUP(A58,Ergebnis_je_Aktie_verwässert!A3:AK68,19,FALSE)</f>
        <v>3.6692307692307695</v>
      </c>
      <c r="Y58" s="12">
        <f ca="1">VLOOKUP(A58,Ergebnis_je_Aktie_verwässert!A3:AK68,24,FALSE)</f>
        <v>0.22664220824598202</v>
      </c>
      <c r="Z58" s="41">
        <f>VLOOKUP(A58,Ergebnis_je_Aktie_verwässert!A3:AK68,37,FALSE)</f>
        <v>-0.25668449197860976</v>
      </c>
      <c r="AA58" s="16">
        <f t="shared" ca="1" si="13"/>
        <v>3.3455392156862747</v>
      </c>
      <c r="AB58" s="12">
        <f t="shared" ca="1" si="14"/>
        <v>-8.8217823817157925E-2</v>
      </c>
      <c r="AC58" s="33">
        <f ca="1">IF(Y58&lt;Bewertung_Stammdaten!L$11,Bewertung_Stammdaten!K$11,IF(Y58&lt;Bewertung_Stammdaten!L$12,Bewertung_Stammdaten!K$12,IF(Y58&lt;Bewertung_Stammdaten!L$13,Bewertung_Stammdaten!K$13,IF(Y58&lt;Bewertung_Stammdaten!L$14,Bewertung_Stammdaten!K$14,IF(Y58&lt;Bewertung_Stammdaten!L$15,Bewertung_Stammdaten!K$15,IF(Y58&lt;Bewertung_Stammdaten!L$16,Bewertung_Stammdaten!K$16,IF(Y58&lt;Bewertung_Stammdaten!L$17,Bewertung_Stammdaten!K$17,IF(Y58&lt;Bewertung_Stammdaten!L$18,Bewertung_Stammdaten!K$18,IF(Y58&lt;Bewertung_Stammdaten!L$19,Bewertung_Stammdaten!K$19,Bewertung_Stammdaten!K$20)))))))))</f>
        <v>10</v>
      </c>
      <c r="AD58" s="33">
        <f>IF(Z58&lt;Bewertung_Stammdaten!R$11,Bewertung_Stammdaten!Q$11,IF(Z58&lt;Bewertung_Stammdaten!R$12,Bewertung_Stammdaten!Q$12,IF(Z58&lt;Bewertung_Stammdaten!R$13,Bewertung_Stammdaten!Q$13,IF(Z58&lt;Bewertung_Stammdaten!R$14,Bewertung_Stammdaten!Q$14,IF(Z58&lt;Bewertung_Stammdaten!R$15,Bewertung_Stammdaten!Q$15,IF(Z58&lt;Bewertung_Stammdaten!R$16,Bewertung_Stammdaten!Q$16,IF(Z58&lt;Bewertung_Stammdaten!R$17,Bewertung_Stammdaten!Q$17,IF(Z58&lt;Bewertung_Stammdaten!R$18,Bewertung_Stammdaten!Q$18,IF(Z58&lt;Bewertung_Stammdaten!R$19,Bewertung_Stammdaten!Q$19,Bewertung_Stammdaten!Q$20)))))))))</f>
        <v>5</v>
      </c>
      <c r="AE58" s="33">
        <f ca="1">IF(AB58&lt;Bewertung_Stammdaten!P$11,Bewertung_Stammdaten!O$11,IF(AB58&lt;Bewertung_Stammdaten!P$12,Bewertung_Stammdaten!O$12,IF(AB58&lt;Bewertung_Stammdaten!P$13,Bewertung_Stammdaten!O$13,IF(AB58&lt;Bewertung_Stammdaten!P$14,Bewertung_Stammdaten!O$14,IF(AB58&lt;Bewertung_Stammdaten!P$15,Bewertung_Stammdaten!O$15,IF(AB58&lt;Bewertung_Stammdaten!P$16,Bewertung_Stammdaten!O$16,IF(AB58&lt;Bewertung_Stammdaten!P$17,Bewertung_Stammdaten!O$17,IF(AB58&lt;Bewertung_Stammdaten!P$18,Bewertung_Stammdaten!O$18,IF(AB58&lt;Bewertung_Stammdaten!P$19,Bewertung_Stammdaten!O$19,Bewertung_Stammdaten!O$20)))))))))</f>
        <v>3</v>
      </c>
      <c r="AF58" s="44"/>
      <c r="AG58" s="14">
        <f ca="1">VLOOKUP(A58,Dividende_je_Aktie!A3:AM68,24,FALSE)</f>
        <v>3.0443333333333333</v>
      </c>
      <c r="AH58" s="14">
        <f>VLOOKUP(A58,Dividende_je_Aktie!A3:AM68,20,FALSE)</f>
        <v>2.3099999999999996</v>
      </c>
      <c r="AI58" s="12">
        <f ca="1">VLOOKUP(A58,Dividende_je_Aktie!A3:AM68,25,FALSE)</f>
        <v>0.31789321789321812</v>
      </c>
      <c r="AJ58" s="41">
        <f>VLOOKUP(A58,Dividende_je_Aktie!A3:AM68,39,FALSE)</f>
        <v>1.0830324909747224E-2</v>
      </c>
      <c r="AK58" s="16">
        <f t="shared" ca="1" si="6"/>
        <v>3.0443333333333333</v>
      </c>
      <c r="AL58" s="12">
        <f t="shared" ca="1" si="7"/>
        <v>0.31789321789321812</v>
      </c>
      <c r="AM58" s="33">
        <f ca="1">IF(AI58&lt;Bewertung_Stammdaten!P$24,Bewertung_Stammdaten!O$24,IF(AI58&lt;Bewertung_Stammdaten!P$25,Bewertung_Stammdaten!O$25,IF(AI58&lt;Bewertung_Stammdaten!P$26,Bewertung_Stammdaten!O$26,IF(AI58&lt;Bewertung_Stammdaten!P$27,Bewertung_Stammdaten!O$27,IF(AI58&lt;Bewertung_Stammdaten!P$28,Bewertung_Stammdaten!O$28,IF(AI58&lt;Bewertung_Stammdaten!P$29,Bewertung_Stammdaten!O$29,IF(AI58&lt;Bewertung_Stammdaten!P$30,Bewertung_Stammdaten!O$30,IF(AI58&lt;Bewertung_Stammdaten!P$31,Bewertung_Stammdaten!O$31,IF(AI58&lt;Bewertung_Stammdaten!P$32,Bewertung_Stammdaten!O$32,Bewertung_Stammdaten!O$33)))))))))</f>
        <v>12</v>
      </c>
      <c r="AN58" s="33">
        <f>IF(AJ58&lt;Bewertung_Stammdaten!R$24,Bewertung_Stammdaten!Q$24,IF(AJ58&lt;Bewertung_Stammdaten!R$25,Bewertung_Stammdaten!Q$25,IF(AJ58&lt;Bewertung_Stammdaten!R$26,Bewertung_Stammdaten!Q$26,IF(AJ58&lt;Bewertung_Stammdaten!R$27,Bewertung_Stammdaten!Q$27,IF(AJ58&lt;Bewertung_Stammdaten!R$28,Bewertung_Stammdaten!Q$28,IF(AJ58&lt;Bewertung_Stammdaten!R$29,Bewertung_Stammdaten!Q$29,IF(AJ58&lt;Bewertung_Stammdaten!R$30,Bewertung_Stammdaten!Q$30,IF(AJ58&lt;Bewertung_Stammdaten!R$31,Bewertung_Stammdaten!Q$31,IF(AJ58&lt;Bewertung_Stammdaten!R$32,Bewertung_Stammdaten!Q$32,Bewertung_Stammdaten!Q$33)))))))))</f>
        <v>8</v>
      </c>
      <c r="AO58" s="33">
        <f ca="1">IF(AL58&lt;Bewertung_Stammdaten!T$24,Bewertung_Stammdaten!S$24,IF(AL58&lt;Bewertung_Stammdaten!T$25,Bewertung_Stammdaten!S$25,IF(AL58&lt;Bewertung_Stammdaten!T$26,Bewertung_Stammdaten!S$26,IF(AL58&lt;Bewertung_Stammdaten!T$27,Bewertung_Stammdaten!S$27,IF(AL58&lt;Bewertung_Stammdaten!T$28,Bewertung_Stammdaten!S$28,IF(AL58&lt;Bewertung_Stammdaten!T$29,Bewertung_Stammdaten!S$29,IF(AL58&lt;Bewertung_Stammdaten!T$30,Bewertung_Stammdaten!S$30,IF(AL58&lt;Bewertung_Stammdaten!T$31,Bewertung_Stammdaten!S$31,IF(AL58&lt;Bewertung_Stammdaten!T$32,Bewertung_Stammdaten!S$32,Bewertung_Stammdaten!S$33)))))))))</f>
        <v>7</v>
      </c>
      <c r="AP58" s="44"/>
      <c r="AQ58" s="12">
        <f ca="1">VLOOKUP(A58,Dividendenrendite!A3:R68,17,FALSE)</f>
        <v>3.3889940257523468E-2</v>
      </c>
      <c r="AR58" s="12">
        <f>VLOOKUP(A58,Dividendenrendite!A3:R68,16,FALSE)</f>
        <v>3.3958463273834373E-2</v>
      </c>
      <c r="AS58" s="12">
        <f ca="1">VLOOKUP(A58,Dividendenrendite!A3:R68,18,FALSE)</f>
        <v>-2.0178479738128807E-3</v>
      </c>
      <c r="AT58" s="33">
        <f ca="1">IF(AQ58&lt;Bewertung_Stammdaten!D$11,Bewertung_Stammdaten!C$11,IF(AQ58&lt;Bewertung_Stammdaten!D$12,Bewertung_Stammdaten!C$12,IF(AQ58&lt;Bewertung_Stammdaten!D$13,Bewertung_Stammdaten!C$13,IF(AQ58&lt;Bewertung_Stammdaten!D$14,Bewertung_Stammdaten!C$14,IF(AQ58&lt;Bewertung_Stammdaten!D$15,Bewertung_Stammdaten!C$15,IF(AQ58&lt;Bewertung_Stammdaten!D$16,Bewertung_Stammdaten!C$16,IF(AQ58&lt;Bewertung_Stammdaten!D$17,Bewertung_Stammdaten!C$17,IF(AQ58&lt;Bewertung_Stammdaten!D$18,Bewertung_Stammdaten!C$18,IF(AQ58&lt;Bewertung_Stammdaten!D$19,Bewertung_Stammdaten!C$19,Bewertung_Stammdaten!C$20)))))))))</f>
        <v>10.5</v>
      </c>
      <c r="AU58" s="33">
        <f>IF(AR58&lt;Bewertung_Stammdaten!T$11,Bewertung_Stammdaten!S$11,IF(AR58&lt;Bewertung_Stammdaten!T$12,Bewertung_Stammdaten!S$12,IF(AR58&lt;Bewertung_Stammdaten!T$13,Bewertung_Stammdaten!S$13,IF(AR58&lt;Bewertung_Stammdaten!T$14,Bewertung_Stammdaten!S$14,IF(AR58&lt;Bewertung_Stammdaten!T$15,Bewertung_Stammdaten!S$15,IF(AR58&lt;Bewertung_Stammdaten!T$16,Bewertung_Stammdaten!S$16,IF(AR58&lt;Bewertung_Stammdaten!T$17,Bewertung_Stammdaten!S$17,IF(AR58&lt;Bewertung_Stammdaten!T$18,Bewertung_Stammdaten!S$18,IF(AR58&lt;Bewertung_Stammdaten!T$19,Bewertung_Stammdaten!S$19,Bewertung_Stammdaten!S$20)))))))))</f>
        <v>7</v>
      </c>
      <c r="AV58" s="33">
        <f ca="1">IF(AS58&lt;Bewertung_Stammdaten!F$11,Bewertung_Stammdaten!E$11,IF(AS58&lt;Bewertung_Stammdaten!F$12,Bewertung_Stammdaten!E$12,IF(AS58&lt;Bewertung_Stammdaten!F$13,Bewertung_Stammdaten!E$13,IF(AS58&lt;Bewertung_Stammdaten!F$14,Bewertung_Stammdaten!E$14,IF(AS58&lt;Bewertung_Stammdaten!F$15,Bewertung_Stammdaten!E$15,IF(AS58&lt;Bewertung_Stammdaten!F$16,Bewertung_Stammdaten!E$16,IF(AS58&lt;Bewertung_Stammdaten!F$17,Bewertung_Stammdaten!E$17,IF(AS58&lt;Bewertung_Stammdaten!F$18,Bewertung_Stammdaten!E$18,IF(AS58&lt;Bewertung_Stammdaten!F$19,Bewertung_Stammdaten!E$19,Bewertung_Stammdaten!E$20)))))))))</f>
        <v>2.5</v>
      </c>
      <c r="AW58" s="44"/>
      <c r="AX58" s="12">
        <f>VLOOKUP(A58,Aktien_im_Umlauf_splitbereinigt!A3:Z68,26,FALSE)</f>
        <v>-3.7764350453172169E-3</v>
      </c>
      <c r="AY58" s="12">
        <f>VLOOKUP(A58,Aktien_im_Umlauf_splitbereinigt!A3:Y68,24,FALSE)</f>
        <v>-6.1477062580079051E-3</v>
      </c>
      <c r="AZ58" s="12">
        <f>VLOOKUP(A58,Aktien_im_Umlauf_splitbereinigt!A3:Y68,25,FALSE)</f>
        <v>-0.38571641408564505</v>
      </c>
      <c r="BA58" s="42">
        <f>IF(AX58&lt;Bewertung_Stammdaten!J$24,Bewertung_Stammdaten!I$24,IF(AX58&lt;Bewertung_Stammdaten!J$25,Bewertung_Stammdaten!I$25,IF(AX58&lt;Bewertung_Stammdaten!J$26,Bewertung_Stammdaten!I$26,IF(AX58&lt;Bewertung_Stammdaten!J$27,Bewertung_Stammdaten!I$27,IF(AX58&lt;Bewertung_Stammdaten!J$28,Bewertung_Stammdaten!I$28,IF(AX58&lt;Bewertung_Stammdaten!J$29,Bewertung_Stammdaten!I$29,IF(AX58&lt;Bewertung_Stammdaten!J$30,Bewertung_Stammdaten!I$30,IF(AX58&lt;Bewertung_Stammdaten!J$31,Bewertung_Stammdaten!I$31,IF(AX58&lt;Bewertung_Stammdaten!J$32,Bewertung_Stammdaten!I$32,Bewertung_Stammdaten!I$33)))))))))</f>
        <v>3</v>
      </c>
      <c r="BB58" s="42">
        <f>IF(AY58&lt;Bewertung_Stammdaten!L$24,Bewertung_Stammdaten!K$24,IF(AY58&lt;Bewertung_Stammdaten!L$25,Bewertung_Stammdaten!K$25,IF(AY58&lt;Bewertung_Stammdaten!L$26,Bewertung_Stammdaten!K$26,IF(AY58&lt;Bewertung_Stammdaten!L$27,Bewertung_Stammdaten!K$27,IF(AY58&lt;Bewertung_Stammdaten!L$28,Bewertung_Stammdaten!K$28,IF(AY58&lt;Bewertung_Stammdaten!L$29,Bewertung_Stammdaten!K$29,IF(AY58&lt;Bewertung_Stammdaten!L$30,Bewertung_Stammdaten!K$30,IF(AY58&lt;Bewertung_Stammdaten!L$31,Bewertung_Stammdaten!K$31,IF(AY58&lt;Bewertung_Stammdaten!L$32,Bewertung_Stammdaten!K$32,Bewertung_Stammdaten!K$33)))))))))</f>
        <v>4</v>
      </c>
      <c r="BC58" s="42">
        <f>IF(AZ58&lt;Bewertung_Stammdaten!N$24,Bewertung_Stammdaten!M$24,IF(AZ58&lt;Bewertung_Stammdaten!N$25,Bewertung_Stammdaten!M$25,IF(AZ58&lt;Bewertung_Stammdaten!N$26,Bewertung_Stammdaten!M$26,IF(AZ58&lt;Bewertung_Stammdaten!N$27,Bewertung_Stammdaten!M$27,IF(AZ58&lt;Bewertung_Stammdaten!N$28,Bewertung_Stammdaten!M$28,IF(AZ58&lt;Bewertung_Stammdaten!N$29,Bewertung_Stammdaten!M$29,IF(AZ58&lt;Bewertung_Stammdaten!N$30,Bewertung_Stammdaten!M$30,IF(AZ58&lt;Bewertung_Stammdaten!N$31,Bewertung_Stammdaten!M$31,IF(AZ58&lt;Bewertung_Stammdaten!N$32,Bewertung_Stammdaten!M$32,Bewertung_Stammdaten!M$33)))))))))</f>
        <v>2</v>
      </c>
      <c r="BD58" s="44"/>
      <c r="BE58" s="12">
        <f ca="1">VLOOKUP(A58,Ausschüttungsquote!A3:X68,23,FALSE)</f>
        <v>0.67658433750205893</v>
      </c>
      <c r="BF58" s="12">
        <f>VLOOKUP(A58,Ausschüttungsquote!A3:X68,19,FALSE)</f>
        <v>0.66758352800153975</v>
      </c>
      <c r="BG58" s="12">
        <f ca="1">VLOOKUP(A58,Ausschüttungsquote!A3:X68,24,FALSE)</f>
        <v>1.3482671640302035E-2</v>
      </c>
      <c r="BH58" s="33">
        <f ca="1">IF(BE58&lt;Bewertung_Stammdaten!H$11,Bewertung_Stammdaten!G$11,IF(BE58&lt;Bewertung_Stammdaten!H$12,Bewertung_Stammdaten!G$12,IF(BE58&lt;Bewertung_Stammdaten!H$13,Bewertung_Stammdaten!G$13,IF(BE58&lt;Bewertung_Stammdaten!H$14,Bewertung_Stammdaten!G$14,IF(BE58&lt;Bewertung_Stammdaten!H$15,Bewertung_Stammdaten!G$15,IF(BE58&lt;Bewertung_Stammdaten!H$16,Bewertung_Stammdaten!G$16,IF(BE58&lt;Bewertung_Stammdaten!H$17,Bewertung_Stammdaten!G$17,IF(BE58&lt;Bewertung_Stammdaten!H$18,Bewertung_Stammdaten!G$18,IF(BE58&lt;Bewertung_Stammdaten!H$19,Bewertung_Stammdaten!G$19,Bewertung_Stammdaten!G$20)))))))))</f>
        <v>4</v>
      </c>
      <c r="BI58" s="42">
        <f>IF(BF58&lt;Bewertung_Stammdaten!B$24,Bewertung_Stammdaten!A$24,IF(BF58&lt;Bewertung_Stammdaten!B$25,Bewertung_Stammdaten!A$25,IF(BF58&lt;Bewertung_Stammdaten!B$26,Bewertung_Stammdaten!A$26,IF(BF58&lt;Bewertung_Stammdaten!B$27,Bewertung_Stammdaten!A$27,IF(BF58&lt;Bewertung_Stammdaten!B$28,Bewertung_Stammdaten!A$28,IF(BF58&lt;Bewertung_Stammdaten!B$29,Bewertung_Stammdaten!A$29,IF(BF58&lt;Bewertung_Stammdaten!B$30,Bewertung_Stammdaten!A$30,IF(BF58&lt;Bewertung_Stammdaten!B$31,Bewertung_Stammdaten!A$31,IF(BF58&lt;Bewertung_Stammdaten!B$32,Bewertung_Stammdaten!A$32,Bewertung_Stammdaten!A$33)))))))))</f>
        <v>4</v>
      </c>
      <c r="BJ58" s="33">
        <f ca="1">IF(BG58&lt;Bewertung_Stammdaten!J$11,Bewertung_Stammdaten!I$11,IF(BG58&lt;Bewertung_Stammdaten!J$12,Bewertung_Stammdaten!I$12,IF(BG58&lt;Bewertung_Stammdaten!J$13,Bewertung_Stammdaten!I$13,IF(BG58&lt;Bewertung_Stammdaten!J$14,Bewertung_Stammdaten!I$14,IF(BG58&lt;Bewertung_Stammdaten!J$15,Bewertung_Stammdaten!I$15,IF(BG58&lt;Bewertung_Stammdaten!J$16,Bewertung_Stammdaten!I$16,IF(BG58&lt;Bewertung_Stammdaten!J$17,Bewertung_Stammdaten!I$17,IF(BG58&lt;Bewertung_Stammdaten!J$18,Bewertung_Stammdaten!I$18,IF(BG58&lt;Bewertung_Stammdaten!J$19,Bewertung_Stammdaten!I$19,Bewertung_Stammdaten!I$20)))))))))</f>
        <v>5</v>
      </c>
    </row>
    <row r="59" spans="1:62" x14ac:dyDescent="0.25">
      <c r="A59" s="39" t="s">
        <v>113</v>
      </c>
      <c r="B59" s="39" t="s">
        <v>114</v>
      </c>
      <c r="C59" s="33">
        <f t="shared" ca="1" si="8"/>
        <v>131</v>
      </c>
      <c r="D59" s="44"/>
      <c r="E59" s="11">
        <f ca="1">VLOOKUP(A59,KGV!A3:R68,17,FALSE)</f>
        <v>19.33208877826177</v>
      </c>
      <c r="F59" s="11">
        <f>VLOOKUP(A59,KGV!A3:R68,16,FALSE)</f>
        <v>16.536363636363635</v>
      </c>
      <c r="G59" s="12">
        <f ca="1">VLOOKUP(A59,KGV!A3:R68,18,FALSE)</f>
        <v>0.16906529170357065</v>
      </c>
      <c r="H59" s="16">
        <f t="shared" ca="1" si="9"/>
        <v>23.549999057155247</v>
      </c>
      <c r="I59" s="12">
        <f t="shared" ca="1" si="10"/>
        <v>0.42413408262071317</v>
      </c>
      <c r="J59" s="33">
        <f ca="1">IF(G59&lt;Bewertung_Stammdaten!B$11,Bewertung_Stammdaten!A$11,IF(G59&lt;Bewertung_Stammdaten!B$12,Bewertung_Stammdaten!A$12,IF(G59&lt;Bewertung_Stammdaten!B$13,Bewertung_Stammdaten!A$13,IF(G59&lt;Bewertung_Stammdaten!B$14,Bewertung_Stammdaten!A$14,IF(G59&lt;Bewertung_Stammdaten!B$15,Bewertung_Stammdaten!A$15,IF(G59&lt;Bewertung_Stammdaten!B$16,Bewertung_Stammdaten!A$16,IF(G59&lt;Bewertung_Stammdaten!B$17,Bewertung_Stammdaten!A$17,IF(G59&lt;Bewertung_Stammdaten!B$18,Bewertung_Stammdaten!A$18,IF(G59&lt;Bewertung_Stammdaten!B$19,Bewertung_Stammdaten!A$19,Bewertung_Stammdaten!A$20)))))))))</f>
        <v>9</v>
      </c>
      <c r="K59" s="33">
        <f ca="1">IF(I59&lt;Bewertung_Stammdaten!N$11,Bewertung_Stammdaten!M$11,IF(I59&lt;Bewertung_Stammdaten!N$12,Bewertung_Stammdaten!M$12,IF(I59&lt;Bewertung_Stammdaten!N$13,Bewertung_Stammdaten!M$13,IF(I59&lt;Bewertung_Stammdaten!N$14,Bewertung_Stammdaten!M$14,IF(I59&lt;Bewertung_Stammdaten!N$15,Bewertung_Stammdaten!M$15,IF(I59&lt;Bewertung_Stammdaten!N$16,Bewertung_Stammdaten!M$16,IF(I59&lt;Bewertung_Stammdaten!N$17,Bewertung_Stammdaten!M$17,IF(I59&lt;Bewertung_Stammdaten!N$18,Bewertung_Stammdaten!M$18,IF(I59&lt;Bewertung_Stammdaten!N$19,Bewertung_Stammdaten!M$19,Bewertung_Stammdaten!M$20)))))))))</f>
        <v>1.5</v>
      </c>
      <c r="L59" s="44"/>
      <c r="M59" s="11">
        <f ca="1">VLOOKUP(A59,Buchwert_je_Aktie!A3:AK68,23,FALSE)</f>
        <v>3.2522222222222226</v>
      </c>
      <c r="N59" s="11">
        <f>VLOOKUP(A59,Buchwert_je_Aktie!A3:AK68,19,FALSE)</f>
        <v>2.074615384615385</v>
      </c>
      <c r="O59" s="12">
        <f ca="1">VLOOKUP(A59,Buchwert_je_Aktie!A3:AK68,24,FALSE)</f>
        <v>0.56762658097474561</v>
      </c>
      <c r="P59" s="12">
        <f>VLOOKUP(A59,Buchwert_je_Aktie!A3:AK68,37,FALSE)</f>
        <v>-8.8000000000000078E-2</v>
      </c>
      <c r="Q59" s="16">
        <f t="shared" ca="1" si="11"/>
        <v>2.9660266666666666</v>
      </c>
      <c r="R59" s="12">
        <f t="shared" ca="1" si="12"/>
        <v>0.42967544184896767</v>
      </c>
      <c r="S59" s="53">
        <f ca="1">IF(O59&lt;Bewertung_Stammdaten!D$24,Bewertung_Stammdaten!C$24,IF(O59&lt;Bewertung_Stammdaten!D$25,Bewertung_Stammdaten!C$25,IF(O59&lt;Bewertung_Stammdaten!D$26,Bewertung_Stammdaten!C$26,IF(O59&lt;Bewertung_Stammdaten!D$27,Bewertung_Stammdaten!C$27,IF(O59&lt;Bewertung_Stammdaten!D$28,Bewertung_Stammdaten!C$28,IF(O59&lt;Bewertung_Stammdaten!D$29,Bewertung_Stammdaten!C$29,IF(O59&lt;Bewertung_Stammdaten!D$30,Bewertung_Stammdaten!C$30,IF(O59&lt;Bewertung_Stammdaten!D$31,Bewertung_Stammdaten!C$31,IF(O59&lt;Bewertung_Stammdaten!D$32,Bewertung_Stammdaten!C$32,Bewertung_Stammdaten!C$33)))))))))</f>
        <v>12</v>
      </c>
      <c r="T59" s="53">
        <f>IF(P59&lt;Bewertung_Stammdaten!F$24,Bewertung_Stammdaten!E$24,IF(P59&lt;Bewertung_Stammdaten!F$25,Bewertung_Stammdaten!E$25,IF(P59&lt;Bewertung_Stammdaten!F$26,Bewertung_Stammdaten!E$26,IF(P59&lt;Bewertung_Stammdaten!F$27,Bewertung_Stammdaten!E$27,IF(P59&lt;Bewertung_Stammdaten!F$28,Bewertung_Stammdaten!E$28,IF(P59&lt;Bewertung_Stammdaten!F$29,Bewertung_Stammdaten!E$29,IF(P59&lt;Bewertung_Stammdaten!F$30,Bewertung_Stammdaten!E$30,IF(P59&lt;Bewertung_Stammdaten!F$31,Bewertung_Stammdaten!E$31,IF(P59&lt;Bewertung_Stammdaten!F$32,Bewertung_Stammdaten!E$32,Bewertung_Stammdaten!E$33)))))))))</f>
        <v>9</v>
      </c>
      <c r="U59" s="53">
        <f ca="1">IF(R59&lt;Bewertung_Stammdaten!H$24,Bewertung_Stammdaten!G$24,IF(R59&lt;Bewertung_Stammdaten!H$25,Bewertung_Stammdaten!G$25,IF(R59&lt;Bewertung_Stammdaten!H$26,Bewertung_Stammdaten!G$26,IF(R59&lt;Bewertung_Stammdaten!H$27,Bewertung_Stammdaten!G$27,IF(R59&lt;Bewertung_Stammdaten!H$28,Bewertung_Stammdaten!G$28,IF(R59&lt;Bewertung_Stammdaten!H$29,Bewertung_Stammdaten!G$29,IF(R59&lt;Bewertung_Stammdaten!H$30,Bewertung_Stammdaten!G$30,IF(R59&lt;Bewertung_Stammdaten!H$31,Bewertung_Stammdaten!G$31,IF(R59&lt;Bewertung_Stammdaten!H$32,Bewertung_Stammdaten!G$32,Bewertung_Stammdaten!G$33)))))))))</f>
        <v>7</v>
      </c>
      <c r="V59" s="44"/>
      <c r="W59" s="14">
        <f ca="1">VLOOKUP(A59,Ergebnis_je_Aktie_verwässert!A3:AK68,23,FALSE)</f>
        <v>0.96420000000000006</v>
      </c>
      <c r="X59" s="14">
        <f>VLOOKUP(A59,Ergebnis_je_Aktie_verwässert!A3:AK68,19,FALSE)</f>
        <v>0.76515384615384618</v>
      </c>
      <c r="Y59" s="12">
        <f ca="1">VLOOKUP(A59,Ergebnis_je_Aktie_verwässert!A3:AK68,24,FALSE)</f>
        <v>0.26013873529707454</v>
      </c>
      <c r="Z59" s="41">
        <f>VLOOKUP(A59,Ergebnis_je_Aktie_verwässert!A3:AK68,37,FALSE)</f>
        <v>-0.17910447761194026</v>
      </c>
      <c r="AA59" s="16">
        <f t="shared" ca="1" si="13"/>
        <v>0.79150746268656724</v>
      </c>
      <c r="AB59" s="12">
        <f t="shared" ca="1" si="14"/>
        <v>3.4442245393121018E-2</v>
      </c>
      <c r="AC59" s="33">
        <f ca="1">IF(Y59&lt;Bewertung_Stammdaten!L$11,Bewertung_Stammdaten!K$11,IF(Y59&lt;Bewertung_Stammdaten!L$12,Bewertung_Stammdaten!K$12,IF(Y59&lt;Bewertung_Stammdaten!L$13,Bewertung_Stammdaten!K$13,IF(Y59&lt;Bewertung_Stammdaten!L$14,Bewertung_Stammdaten!K$14,IF(Y59&lt;Bewertung_Stammdaten!L$15,Bewertung_Stammdaten!K$15,IF(Y59&lt;Bewertung_Stammdaten!L$16,Bewertung_Stammdaten!K$16,IF(Y59&lt;Bewertung_Stammdaten!L$17,Bewertung_Stammdaten!K$17,IF(Y59&lt;Bewertung_Stammdaten!L$18,Bewertung_Stammdaten!K$18,IF(Y59&lt;Bewertung_Stammdaten!L$19,Bewertung_Stammdaten!K$19,Bewertung_Stammdaten!K$20)))))))))</f>
        <v>10</v>
      </c>
      <c r="AD59" s="33">
        <f>IF(Z59&lt;Bewertung_Stammdaten!R$11,Bewertung_Stammdaten!Q$11,IF(Z59&lt;Bewertung_Stammdaten!R$12,Bewertung_Stammdaten!Q$12,IF(Z59&lt;Bewertung_Stammdaten!R$13,Bewertung_Stammdaten!Q$13,IF(Z59&lt;Bewertung_Stammdaten!R$14,Bewertung_Stammdaten!Q$14,IF(Z59&lt;Bewertung_Stammdaten!R$15,Bewertung_Stammdaten!Q$15,IF(Z59&lt;Bewertung_Stammdaten!R$16,Bewertung_Stammdaten!Q$16,IF(Z59&lt;Bewertung_Stammdaten!R$17,Bewertung_Stammdaten!Q$17,IF(Z59&lt;Bewertung_Stammdaten!R$18,Bewertung_Stammdaten!Q$18,IF(Z59&lt;Bewertung_Stammdaten!R$19,Bewertung_Stammdaten!Q$19,Bewertung_Stammdaten!Q$20)))))))))</f>
        <v>6</v>
      </c>
      <c r="AE59" s="33">
        <f ca="1">IF(AB59&lt;Bewertung_Stammdaten!P$11,Bewertung_Stammdaten!O$11,IF(AB59&lt;Bewertung_Stammdaten!P$12,Bewertung_Stammdaten!O$12,IF(AB59&lt;Bewertung_Stammdaten!P$13,Bewertung_Stammdaten!O$13,IF(AB59&lt;Bewertung_Stammdaten!P$14,Bewertung_Stammdaten!O$14,IF(AB59&lt;Bewertung_Stammdaten!P$15,Bewertung_Stammdaten!O$15,IF(AB59&lt;Bewertung_Stammdaten!P$16,Bewertung_Stammdaten!O$16,IF(AB59&lt;Bewertung_Stammdaten!P$17,Bewertung_Stammdaten!O$17,IF(AB59&lt;Bewertung_Stammdaten!P$18,Bewertung_Stammdaten!O$18,IF(AB59&lt;Bewertung_Stammdaten!P$19,Bewertung_Stammdaten!O$19,Bewertung_Stammdaten!O$20)))))))))</f>
        <v>4</v>
      </c>
      <c r="AF59" s="44"/>
      <c r="AG59" s="14">
        <f ca="1">VLOOKUP(A59,Dividende_je_Aktie!A3:AM68,24,FALSE)</f>
        <v>0.56681111111111104</v>
      </c>
      <c r="AH59" s="14">
        <f>VLOOKUP(A59,Dividende_je_Aktie!A3:AM68,20,FALSE)</f>
        <v>0.41864285714285715</v>
      </c>
      <c r="AI59" s="12">
        <f ca="1">VLOOKUP(A59,Dividende_je_Aktie!A3:AM68,25,FALSE)</f>
        <v>0.35392519289465185</v>
      </c>
      <c r="AJ59" s="41">
        <f>VLOOKUP(A59,Dividende_je_Aktie!A3:AM68,39,FALSE)</f>
        <v>3.0303030303030276E-2</v>
      </c>
      <c r="AK59" s="16">
        <f t="shared" ca="1" si="6"/>
        <v>0.56681111111111104</v>
      </c>
      <c r="AL59" s="12">
        <f t="shared" ca="1" si="7"/>
        <v>0.35392519289465185</v>
      </c>
      <c r="AM59" s="33">
        <f ca="1">IF(AI59&lt;Bewertung_Stammdaten!P$24,Bewertung_Stammdaten!O$24,IF(AI59&lt;Bewertung_Stammdaten!P$25,Bewertung_Stammdaten!O$25,IF(AI59&lt;Bewertung_Stammdaten!P$26,Bewertung_Stammdaten!O$26,IF(AI59&lt;Bewertung_Stammdaten!P$27,Bewertung_Stammdaten!O$27,IF(AI59&lt;Bewertung_Stammdaten!P$28,Bewertung_Stammdaten!O$28,IF(AI59&lt;Bewertung_Stammdaten!P$29,Bewertung_Stammdaten!O$29,IF(AI59&lt;Bewertung_Stammdaten!P$30,Bewertung_Stammdaten!O$30,IF(AI59&lt;Bewertung_Stammdaten!P$31,Bewertung_Stammdaten!O$31,IF(AI59&lt;Bewertung_Stammdaten!P$32,Bewertung_Stammdaten!O$32,Bewertung_Stammdaten!O$33)))))))))</f>
        <v>12</v>
      </c>
      <c r="AN59" s="33">
        <f>IF(AJ59&lt;Bewertung_Stammdaten!R$24,Bewertung_Stammdaten!Q$24,IF(AJ59&lt;Bewertung_Stammdaten!R$25,Bewertung_Stammdaten!Q$25,IF(AJ59&lt;Bewertung_Stammdaten!R$26,Bewertung_Stammdaten!Q$26,IF(AJ59&lt;Bewertung_Stammdaten!R$27,Bewertung_Stammdaten!Q$27,IF(AJ59&lt;Bewertung_Stammdaten!R$28,Bewertung_Stammdaten!Q$28,IF(AJ59&lt;Bewertung_Stammdaten!R$29,Bewertung_Stammdaten!Q$29,IF(AJ59&lt;Bewertung_Stammdaten!R$30,Bewertung_Stammdaten!Q$30,IF(AJ59&lt;Bewertung_Stammdaten!R$31,Bewertung_Stammdaten!Q$31,IF(AJ59&lt;Bewertung_Stammdaten!R$32,Bewertung_Stammdaten!Q$32,Bewertung_Stammdaten!Q$33)))))))))</f>
        <v>8</v>
      </c>
      <c r="AO59" s="33">
        <f ca="1">IF(AL59&lt;Bewertung_Stammdaten!T$24,Bewertung_Stammdaten!S$24,IF(AL59&lt;Bewertung_Stammdaten!T$25,Bewertung_Stammdaten!S$25,IF(AL59&lt;Bewertung_Stammdaten!T$26,Bewertung_Stammdaten!S$26,IF(AL59&lt;Bewertung_Stammdaten!T$27,Bewertung_Stammdaten!S$27,IF(AL59&lt;Bewertung_Stammdaten!T$28,Bewertung_Stammdaten!S$28,IF(AL59&lt;Bewertung_Stammdaten!T$29,Bewertung_Stammdaten!S$29,IF(AL59&lt;Bewertung_Stammdaten!T$30,Bewertung_Stammdaten!S$30,IF(AL59&lt;Bewertung_Stammdaten!T$31,Bewertung_Stammdaten!S$31,IF(AL59&lt;Bewertung_Stammdaten!T$32,Bewertung_Stammdaten!S$32,Bewertung_Stammdaten!S$33)))))))))</f>
        <v>8</v>
      </c>
      <c r="AP59" s="44"/>
      <c r="AQ59" s="12">
        <f ca="1">VLOOKUP(A59,Dividendenrendite!A3:R68,17,FALSE)</f>
        <v>3.040832141154029E-2</v>
      </c>
      <c r="AR59" s="12">
        <f>VLOOKUP(A59,Dividendenrendite!A3:R68,16,FALSE)</f>
        <v>3.2695130474889027E-2</v>
      </c>
      <c r="AS59" s="12">
        <f ca="1">VLOOKUP(A59,Dividendenrendite!A3:R68,18,FALSE)</f>
        <v>-6.9943414512600999E-2</v>
      </c>
      <c r="AT59" s="33">
        <f ca="1">IF(AQ59&lt;Bewertung_Stammdaten!D$11,Bewertung_Stammdaten!C$11,IF(AQ59&lt;Bewertung_Stammdaten!D$12,Bewertung_Stammdaten!C$12,IF(AQ59&lt;Bewertung_Stammdaten!D$13,Bewertung_Stammdaten!C$13,IF(AQ59&lt;Bewertung_Stammdaten!D$14,Bewertung_Stammdaten!C$14,IF(AQ59&lt;Bewertung_Stammdaten!D$15,Bewertung_Stammdaten!C$15,IF(AQ59&lt;Bewertung_Stammdaten!D$16,Bewertung_Stammdaten!C$16,IF(AQ59&lt;Bewertung_Stammdaten!D$17,Bewertung_Stammdaten!C$17,IF(AQ59&lt;Bewertung_Stammdaten!D$18,Bewertung_Stammdaten!C$18,IF(AQ59&lt;Bewertung_Stammdaten!D$19,Bewertung_Stammdaten!C$19,Bewertung_Stammdaten!C$20)))))))))</f>
        <v>10.5</v>
      </c>
      <c r="AU59" s="33">
        <f>IF(AR59&lt;Bewertung_Stammdaten!T$11,Bewertung_Stammdaten!S$11,IF(AR59&lt;Bewertung_Stammdaten!T$12,Bewertung_Stammdaten!S$12,IF(AR59&lt;Bewertung_Stammdaten!T$13,Bewertung_Stammdaten!S$13,IF(AR59&lt;Bewertung_Stammdaten!T$14,Bewertung_Stammdaten!S$14,IF(AR59&lt;Bewertung_Stammdaten!T$15,Bewertung_Stammdaten!S$15,IF(AR59&lt;Bewertung_Stammdaten!T$16,Bewertung_Stammdaten!S$16,IF(AR59&lt;Bewertung_Stammdaten!T$17,Bewertung_Stammdaten!S$17,IF(AR59&lt;Bewertung_Stammdaten!T$18,Bewertung_Stammdaten!S$18,IF(AR59&lt;Bewertung_Stammdaten!T$19,Bewertung_Stammdaten!S$19,Bewertung_Stammdaten!S$20)))))))))</f>
        <v>7</v>
      </c>
      <c r="AV59" s="33">
        <f ca="1">IF(AS59&lt;Bewertung_Stammdaten!F$11,Bewertung_Stammdaten!E$11,IF(AS59&lt;Bewertung_Stammdaten!F$12,Bewertung_Stammdaten!E$12,IF(AS59&lt;Bewertung_Stammdaten!F$13,Bewertung_Stammdaten!E$13,IF(AS59&lt;Bewertung_Stammdaten!F$14,Bewertung_Stammdaten!E$14,IF(AS59&lt;Bewertung_Stammdaten!F$15,Bewertung_Stammdaten!E$15,IF(AS59&lt;Bewertung_Stammdaten!F$16,Bewertung_Stammdaten!E$16,IF(AS59&lt;Bewertung_Stammdaten!F$17,Bewertung_Stammdaten!E$17,IF(AS59&lt;Bewertung_Stammdaten!F$18,Bewertung_Stammdaten!E$18,IF(AS59&lt;Bewertung_Stammdaten!F$19,Bewertung_Stammdaten!E$19,Bewertung_Stammdaten!E$20)))))))))</f>
        <v>2</v>
      </c>
      <c r="AW59" s="44"/>
      <c r="AX59" s="12">
        <f>VLOOKUP(A59,Aktien_im_Umlauf_splitbereinigt!A3:Z68,26,FALSE)</f>
        <v>0</v>
      </c>
      <c r="AY59" s="12">
        <f>VLOOKUP(A59,Aktien_im_Umlauf_splitbereinigt!A3:Y68,24,FALSE)</f>
        <v>-1.1473508792419991E-2</v>
      </c>
      <c r="AZ59" s="12">
        <f>VLOOKUP(A59,Aktien_im_Umlauf_splitbereinigt!A3:Y68,25,FALSE)</f>
        <v>-1</v>
      </c>
      <c r="BA59" s="42">
        <f>IF(AX59&lt;Bewertung_Stammdaten!J$24,Bewertung_Stammdaten!I$24,IF(AX59&lt;Bewertung_Stammdaten!J$25,Bewertung_Stammdaten!I$25,IF(AX59&lt;Bewertung_Stammdaten!J$26,Bewertung_Stammdaten!I$26,IF(AX59&lt;Bewertung_Stammdaten!J$27,Bewertung_Stammdaten!I$27,IF(AX59&lt;Bewertung_Stammdaten!J$28,Bewertung_Stammdaten!I$28,IF(AX59&lt;Bewertung_Stammdaten!J$29,Bewertung_Stammdaten!I$29,IF(AX59&lt;Bewertung_Stammdaten!J$30,Bewertung_Stammdaten!I$30,IF(AX59&lt;Bewertung_Stammdaten!J$31,Bewertung_Stammdaten!I$31,IF(AX59&lt;Bewertung_Stammdaten!J$32,Bewertung_Stammdaten!I$32,Bewertung_Stammdaten!I$33)))))))))</f>
        <v>2</v>
      </c>
      <c r="BB59" s="42">
        <f>IF(AY59&lt;Bewertung_Stammdaten!L$24,Bewertung_Stammdaten!K$24,IF(AY59&lt;Bewertung_Stammdaten!L$25,Bewertung_Stammdaten!K$25,IF(AY59&lt;Bewertung_Stammdaten!L$26,Bewertung_Stammdaten!K$26,IF(AY59&lt;Bewertung_Stammdaten!L$27,Bewertung_Stammdaten!K$27,IF(AY59&lt;Bewertung_Stammdaten!L$28,Bewertung_Stammdaten!K$28,IF(AY59&lt;Bewertung_Stammdaten!L$29,Bewertung_Stammdaten!K$29,IF(AY59&lt;Bewertung_Stammdaten!L$30,Bewertung_Stammdaten!K$30,IF(AY59&lt;Bewertung_Stammdaten!L$31,Bewertung_Stammdaten!K$31,IF(AY59&lt;Bewertung_Stammdaten!L$32,Bewertung_Stammdaten!K$32,Bewertung_Stammdaten!K$33)))))))))</f>
        <v>5</v>
      </c>
      <c r="BC59" s="42">
        <f>IF(AZ59&lt;Bewertung_Stammdaten!N$24,Bewertung_Stammdaten!M$24,IF(AZ59&lt;Bewertung_Stammdaten!N$25,Bewertung_Stammdaten!M$25,IF(AZ59&lt;Bewertung_Stammdaten!N$26,Bewertung_Stammdaten!M$26,IF(AZ59&lt;Bewertung_Stammdaten!N$27,Bewertung_Stammdaten!M$27,IF(AZ59&lt;Bewertung_Stammdaten!N$28,Bewertung_Stammdaten!M$28,IF(AZ59&lt;Bewertung_Stammdaten!N$29,Bewertung_Stammdaten!M$29,IF(AZ59&lt;Bewertung_Stammdaten!N$30,Bewertung_Stammdaten!M$30,IF(AZ59&lt;Bewertung_Stammdaten!N$31,Bewertung_Stammdaten!M$31,IF(AZ59&lt;Bewertung_Stammdaten!N$32,Bewertung_Stammdaten!M$32,Bewertung_Stammdaten!M$33)))))))))</f>
        <v>1</v>
      </c>
      <c r="BD59" s="44"/>
      <c r="BE59" s="12">
        <f ca="1">VLOOKUP(A59,Ausschüttungsquote!A3:X68,23,FALSE)</f>
        <v>0.58850296079211739</v>
      </c>
      <c r="BF59" s="12">
        <f>VLOOKUP(A59,Ausschüttungsquote!A3:X68,19,FALSE)</f>
        <v>0.56437389633224644</v>
      </c>
      <c r="BG59" s="12">
        <f ca="1">VLOOKUP(A59,Ausschüttungsquote!A3:X68,24,FALSE)</f>
        <v>4.2753686193994778E-2</v>
      </c>
      <c r="BH59" s="33">
        <f ca="1">IF(BE59&lt;Bewertung_Stammdaten!H$11,Bewertung_Stammdaten!G$11,IF(BE59&lt;Bewertung_Stammdaten!H$12,Bewertung_Stammdaten!G$12,IF(BE59&lt;Bewertung_Stammdaten!H$13,Bewertung_Stammdaten!G$13,IF(BE59&lt;Bewertung_Stammdaten!H$14,Bewertung_Stammdaten!G$14,IF(BE59&lt;Bewertung_Stammdaten!H$15,Bewertung_Stammdaten!G$15,IF(BE59&lt;Bewertung_Stammdaten!H$16,Bewertung_Stammdaten!G$16,IF(BE59&lt;Bewertung_Stammdaten!H$17,Bewertung_Stammdaten!G$17,IF(BE59&lt;Bewertung_Stammdaten!H$18,Bewertung_Stammdaten!G$18,IF(BE59&lt;Bewertung_Stammdaten!H$19,Bewertung_Stammdaten!G$19,Bewertung_Stammdaten!G$20)))))))))</f>
        <v>6</v>
      </c>
      <c r="BI59" s="42">
        <f>IF(BF59&lt;Bewertung_Stammdaten!B$24,Bewertung_Stammdaten!A$24,IF(BF59&lt;Bewertung_Stammdaten!B$25,Bewertung_Stammdaten!A$25,IF(BF59&lt;Bewertung_Stammdaten!B$26,Bewertung_Stammdaten!A$26,IF(BF59&lt;Bewertung_Stammdaten!B$27,Bewertung_Stammdaten!A$27,IF(BF59&lt;Bewertung_Stammdaten!B$28,Bewertung_Stammdaten!A$28,IF(BF59&lt;Bewertung_Stammdaten!B$29,Bewertung_Stammdaten!A$29,IF(BF59&lt;Bewertung_Stammdaten!B$30,Bewertung_Stammdaten!A$30,IF(BF59&lt;Bewertung_Stammdaten!B$31,Bewertung_Stammdaten!A$31,IF(BF59&lt;Bewertung_Stammdaten!B$32,Bewertung_Stammdaten!A$32,Bewertung_Stammdaten!A$33)))))))))</f>
        <v>6</v>
      </c>
      <c r="BJ59" s="33">
        <f ca="1">IF(BG59&lt;Bewertung_Stammdaten!J$11,Bewertung_Stammdaten!I$11,IF(BG59&lt;Bewertung_Stammdaten!J$12,Bewertung_Stammdaten!I$12,IF(BG59&lt;Bewertung_Stammdaten!J$13,Bewertung_Stammdaten!I$13,IF(BG59&lt;Bewertung_Stammdaten!J$14,Bewertung_Stammdaten!I$14,IF(BG59&lt;Bewertung_Stammdaten!J$15,Bewertung_Stammdaten!I$15,IF(BG59&lt;Bewertung_Stammdaten!J$16,Bewertung_Stammdaten!I$16,IF(BG59&lt;Bewertung_Stammdaten!J$17,Bewertung_Stammdaten!I$17,IF(BG59&lt;Bewertung_Stammdaten!J$18,Bewertung_Stammdaten!I$18,IF(BG59&lt;Bewertung_Stammdaten!J$19,Bewertung_Stammdaten!I$19,Bewertung_Stammdaten!I$20)))))))))</f>
        <v>5</v>
      </c>
    </row>
    <row r="60" spans="1:62" x14ac:dyDescent="0.25">
      <c r="A60" s="39" t="s">
        <v>115</v>
      </c>
      <c r="B60" s="39" t="s">
        <v>116</v>
      </c>
      <c r="C60" s="33">
        <f t="shared" ca="1" si="8"/>
        <v>113.5</v>
      </c>
      <c r="D60" s="44"/>
      <c r="E60" s="11">
        <f ca="1">VLOOKUP(A60,KGV!A3:R68,17,FALSE)</f>
        <v>23.018799887912429</v>
      </c>
      <c r="F60" s="11">
        <f>VLOOKUP(A60,KGV!A3:R68,16,FALSE)</f>
        <v>19.297121052631578</v>
      </c>
      <c r="G60" s="12">
        <f ca="1">VLOOKUP(A60,KGV!A3:R68,18,FALSE)</f>
        <v>0.19286186914256409</v>
      </c>
      <c r="H60" s="16">
        <f t="shared" ca="1" si="9"/>
        <v>29.789035149063146</v>
      </c>
      <c r="I60" s="12">
        <f t="shared" ca="1" si="10"/>
        <v>0.54370359536096546</v>
      </c>
      <c r="J60" s="33">
        <f ca="1">IF(G60&lt;Bewertung_Stammdaten!B$11,Bewertung_Stammdaten!A$11,IF(G60&lt;Bewertung_Stammdaten!B$12,Bewertung_Stammdaten!A$12,IF(G60&lt;Bewertung_Stammdaten!B$13,Bewertung_Stammdaten!A$13,IF(G60&lt;Bewertung_Stammdaten!B$14,Bewertung_Stammdaten!A$14,IF(G60&lt;Bewertung_Stammdaten!B$15,Bewertung_Stammdaten!A$15,IF(G60&lt;Bewertung_Stammdaten!B$16,Bewertung_Stammdaten!A$16,IF(G60&lt;Bewertung_Stammdaten!B$17,Bewertung_Stammdaten!A$17,IF(G60&lt;Bewertung_Stammdaten!B$18,Bewertung_Stammdaten!A$18,IF(G60&lt;Bewertung_Stammdaten!B$19,Bewertung_Stammdaten!A$19,Bewertung_Stammdaten!A$20)))))))))</f>
        <v>9</v>
      </c>
      <c r="K60" s="33">
        <f ca="1">IF(I60&lt;Bewertung_Stammdaten!N$11,Bewertung_Stammdaten!M$11,IF(I60&lt;Bewertung_Stammdaten!N$12,Bewertung_Stammdaten!M$12,IF(I60&lt;Bewertung_Stammdaten!N$13,Bewertung_Stammdaten!M$13,IF(I60&lt;Bewertung_Stammdaten!N$14,Bewertung_Stammdaten!M$14,IF(I60&lt;Bewertung_Stammdaten!N$15,Bewertung_Stammdaten!M$15,IF(I60&lt;Bewertung_Stammdaten!N$16,Bewertung_Stammdaten!M$16,IF(I60&lt;Bewertung_Stammdaten!N$17,Bewertung_Stammdaten!M$17,IF(I60&lt;Bewertung_Stammdaten!N$18,Bewertung_Stammdaten!M$18,IF(I60&lt;Bewertung_Stammdaten!N$19,Bewertung_Stammdaten!M$19,Bewertung_Stammdaten!M$20)))))))))</f>
        <v>1.5</v>
      </c>
      <c r="L60" s="44"/>
      <c r="M60" s="11">
        <f ca="1">VLOOKUP(A60,Buchwert_je_Aktie!A3:AK68,23,FALSE)</f>
        <v>18.733888888888888</v>
      </c>
      <c r="N60" s="11">
        <f>VLOOKUP(A60,Buchwert_je_Aktie!A3:AK68,19,FALSE)</f>
        <v>14.479999999999997</v>
      </c>
      <c r="O60" s="12">
        <f ca="1">VLOOKUP(A60,Buchwert_je_Aktie!A3:AK68,24,FALSE)</f>
        <v>0.29377685696746503</v>
      </c>
      <c r="P60" s="12">
        <f>VLOOKUP(A60,Buchwert_je_Aktie!A3:AK68,37,FALSE)</f>
        <v>-0.16738197424892709</v>
      </c>
      <c r="Q60" s="16">
        <f t="shared" ca="1" si="11"/>
        <v>15.598173581306627</v>
      </c>
      <c r="R60" s="12">
        <f t="shared" ca="1" si="12"/>
        <v>7.7221932410678873E-2</v>
      </c>
      <c r="S60" s="53">
        <f ca="1">IF(O60&lt;Bewertung_Stammdaten!D$24,Bewertung_Stammdaten!C$24,IF(O60&lt;Bewertung_Stammdaten!D$25,Bewertung_Stammdaten!C$25,IF(O60&lt;Bewertung_Stammdaten!D$26,Bewertung_Stammdaten!C$26,IF(O60&lt;Bewertung_Stammdaten!D$27,Bewertung_Stammdaten!C$27,IF(O60&lt;Bewertung_Stammdaten!D$28,Bewertung_Stammdaten!C$28,IF(O60&lt;Bewertung_Stammdaten!D$29,Bewertung_Stammdaten!C$29,IF(O60&lt;Bewertung_Stammdaten!D$30,Bewertung_Stammdaten!C$30,IF(O60&lt;Bewertung_Stammdaten!D$31,Bewertung_Stammdaten!C$31,IF(O60&lt;Bewertung_Stammdaten!D$32,Bewertung_Stammdaten!C$32,Bewertung_Stammdaten!C$33)))))))))</f>
        <v>7.5</v>
      </c>
      <c r="T60" s="53">
        <f>IF(P60&lt;Bewertung_Stammdaten!F$24,Bewertung_Stammdaten!E$24,IF(P60&lt;Bewertung_Stammdaten!F$25,Bewertung_Stammdaten!E$25,IF(P60&lt;Bewertung_Stammdaten!F$26,Bewertung_Stammdaten!E$26,IF(P60&lt;Bewertung_Stammdaten!F$27,Bewertung_Stammdaten!E$27,IF(P60&lt;Bewertung_Stammdaten!F$28,Bewertung_Stammdaten!E$28,IF(P60&lt;Bewertung_Stammdaten!F$29,Bewertung_Stammdaten!E$29,IF(P60&lt;Bewertung_Stammdaten!F$30,Bewertung_Stammdaten!E$30,IF(P60&lt;Bewertung_Stammdaten!F$31,Bewertung_Stammdaten!E$31,IF(P60&lt;Bewertung_Stammdaten!F$32,Bewertung_Stammdaten!E$32,Bewertung_Stammdaten!E$33)))))))))</f>
        <v>6</v>
      </c>
      <c r="U60" s="53">
        <f ca="1">IF(R60&lt;Bewertung_Stammdaten!H$24,Bewertung_Stammdaten!G$24,IF(R60&lt;Bewertung_Stammdaten!H$25,Bewertung_Stammdaten!G$25,IF(R60&lt;Bewertung_Stammdaten!H$26,Bewertung_Stammdaten!G$26,IF(R60&lt;Bewertung_Stammdaten!H$27,Bewertung_Stammdaten!G$27,IF(R60&lt;Bewertung_Stammdaten!H$28,Bewertung_Stammdaten!G$28,IF(R60&lt;Bewertung_Stammdaten!H$29,Bewertung_Stammdaten!G$29,IF(R60&lt;Bewertung_Stammdaten!H$30,Bewertung_Stammdaten!G$30,IF(R60&lt;Bewertung_Stammdaten!H$31,Bewertung_Stammdaten!G$31,IF(R60&lt;Bewertung_Stammdaten!H$32,Bewertung_Stammdaten!G$32,Bewertung_Stammdaten!G$33)))))))))</f>
        <v>3</v>
      </c>
      <c r="V60" s="44"/>
      <c r="W60" s="14">
        <f ca="1">VLOOKUP(A60,Ergebnis_je_Aktie_verwässert!A3:AK68,23,FALSE)</f>
        <v>2.3295277777777779</v>
      </c>
      <c r="X60" s="14">
        <f>VLOOKUP(A60,Ergebnis_je_Aktie_verwässert!A3:AK68,19,FALSE)</f>
        <v>1.8527272727272726</v>
      </c>
      <c r="Y60" s="12">
        <f ca="1">VLOOKUP(A60,Ergebnis_je_Aktie_verwässert!A3:AK68,24,FALSE)</f>
        <v>0.25735061607240239</v>
      </c>
      <c r="Z60" s="41">
        <f>VLOOKUP(A60,Ergebnis_je_Aktie_verwässert!A3:AK68,37,FALSE)</f>
        <v>-0.22727272727272729</v>
      </c>
      <c r="AA60" s="16">
        <f t="shared" ca="1" si="13"/>
        <v>1.8000896464646465</v>
      </c>
      <c r="AB60" s="12">
        <f t="shared" ca="1" si="14"/>
        <v>-2.8410887580416433E-2</v>
      </c>
      <c r="AC60" s="33">
        <f ca="1">IF(Y60&lt;Bewertung_Stammdaten!L$11,Bewertung_Stammdaten!K$11,IF(Y60&lt;Bewertung_Stammdaten!L$12,Bewertung_Stammdaten!K$12,IF(Y60&lt;Bewertung_Stammdaten!L$13,Bewertung_Stammdaten!K$13,IF(Y60&lt;Bewertung_Stammdaten!L$14,Bewertung_Stammdaten!K$14,IF(Y60&lt;Bewertung_Stammdaten!L$15,Bewertung_Stammdaten!K$15,IF(Y60&lt;Bewertung_Stammdaten!L$16,Bewertung_Stammdaten!K$16,IF(Y60&lt;Bewertung_Stammdaten!L$17,Bewertung_Stammdaten!K$17,IF(Y60&lt;Bewertung_Stammdaten!L$18,Bewertung_Stammdaten!K$18,IF(Y60&lt;Bewertung_Stammdaten!L$19,Bewertung_Stammdaten!K$19,Bewertung_Stammdaten!K$20)))))))))</f>
        <v>10</v>
      </c>
      <c r="AD60" s="33">
        <f>IF(Z60&lt;Bewertung_Stammdaten!R$11,Bewertung_Stammdaten!Q$11,IF(Z60&lt;Bewertung_Stammdaten!R$12,Bewertung_Stammdaten!Q$12,IF(Z60&lt;Bewertung_Stammdaten!R$13,Bewertung_Stammdaten!Q$13,IF(Z60&lt;Bewertung_Stammdaten!R$14,Bewertung_Stammdaten!Q$14,IF(Z60&lt;Bewertung_Stammdaten!R$15,Bewertung_Stammdaten!Q$15,IF(Z60&lt;Bewertung_Stammdaten!R$16,Bewertung_Stammdaten!Q$16,IF(Z60&lt;Bewertung_Stammdaten!R$17,Bewertung_Stammdaten!Q$17,IF(Z60&lt;Bewertung_Stammdaten!R$18,Bewertung_Stammdaten!Q$18,IF(Z60&lt;Bewertung_Stammdaten!R$19,Bewertung_Stammdaten!Q$19,Bewertung_Stammdaten!Q$20)))))))))</f>
        <v>5</v>
      </c>
      <c r="AE60" s="33">
        <f ca="1">IF(AB60&lt;Bewertung_Stammdaten!P$11,Bewertung_Stammdaten!O$11,IF(AB60&lt;Bewertung_Stammdaten!P$12,Bewertung_Stammdaten!O$12,IF(AB60&lt;Bewertung_Stammdaten!P$13,Bewertung_Stammdaten!O$13,IF(AB60&lt;Bewertung_Stammdaten!P$14,Bewertung_Stammdaten!O$14,IF(AB60&lt;Bewertung_Stammdaten!P$15,Bewertung_Stammdaten!O$15,IF(AB60&lt;Bewertung_Stammdaten!P$16,Bewertung_Stammdaten!O$16,IF(AB60&lt;Bewertung_Stammdaten!P$17,Bewertung_Stammdaten!O$17,IF(AB60&lt;Bewertung_Stammdaten!P$18,Bewertung_Stammdaten!O$18,IF(AB60&lt;Bewertung_Stammdaten!P$19,Bewertung_Stammdaten!O$19,Bewertung_Stammdaten!O$20)))))))))</f>
        <v>4</v>
      </c>
      <c r="AF60" s="44"/>
      <c r="AG60" s="14">
        <f ca="1">VLOOKUP(A60,Dividende_je_Aktie!A3:AM68,24,FALSE)</f>
        <v>1.1571666666666665</v>
      </c>
      <c r="AH60" s="14">
        <f>VLOOKUP(A60,Dividende_je_Aktie!A3:AM68,20,FALSE)</f>
        <v>0.87545454545454549</v>
      </c>
      <c r="AI60" s="12">
        <f ca="1">VLOOKUP(A60,Dividende_je_Aktie!A3:AM68,25,FALSE)</f>
        <v>0.32178954655590131</v>
      </c>
      <c r="AJ60" s="41">
        <f>VLOOKUP(A60,Dividende_je_Aktie!A3:AM68,39,FALSE)</f>
        <v>0</v>
      </c>
      <c r="AK60" s="16">
        <f t="shared" ca="1" si="6"/>
        <v>1.1571666666666665</v>
      </c>
      <c r="AL60" s="12">
        <f t="shared" ca="1" si="7"/>
        <v>0.32178954655590131</v>
      </c>
      <c r="AM60" s="33">
        <f ca="1">IF(AI60&lt;Bewertung_Stammdaten!P$24,Bewertung_Stammdaten!O$24,IF(AI60&lt;Bewertung_Stammdaten!P$25,Bewertung_Stammdaten!O$25,IF(AI60&lt;Bewertung_Stammdaten!P$26,Bewertung_Stammdaten!O$26,IF(AI60&lt;Bewertung_Stammdaten!P$27,Bewertung_Stammdaten!O$27,IF(AI60&lt;Bewertung_Stammdaten!P$28,Bewertung_Stammdaten!O$28,IF(AI60&lt;Bewertung_Stammdaten!P$29,Bewertung_Stammdaten!O$29,IF(AI60&lt;Bewertung_Stammdaten!P$30,Bewertung_Stammdaten!O$30,IF(AI60&lt;Bewertung_Stammdaten!P$31,Bewertung_Stammdaten!O$31,IF(AI60&lt;Bewertung_Stammdaten!P$32,Bewertung_Stammdaten!O$32,Bewertung_Stammdaten!O$33)))))))))</f>
        <v>12</v>
      </c>
      <c r="AN60" s="33">
        <f>IF(AJ60&lt;Bewertung_Stammdaten!R$24,Bewertung_Stammdaten!Q$24,IF(AJ60&lt;Bewertung_Stammdaten!R$25,Bewertung_Stammdaten!Q$25,IF(AJ60&lt;Bewertung_Stammdaten!R$26,Bewertung_Stammdaten!Q$26,IF(AJ60&lt;Bewertung_Stammdaten!R$27,Bewertung_Stammdaten!Q$27,IF(AJ60&lt;Bewertung_Stammdaten!R$28,Bewertung_Stammdaten!Q$28,IF(AJ60&lt;Bewertung_Stammdaten!R$29,Bewertung_Stammdaten!Q$29,IF(AJ60&lt;Bewertung_Stammdaten!R$30,Bewertung_Stammdaten!Q$30,IF(AJ60&lt;Bewertung_Stammdaten!R$31,Bewertung_Stammdaten!Q$31,IF(AJ60&lt;Bewertung_Stammdaten!R$32,Bewertung_Stammdaten!Q$32,Bewertung_Stammdaten!Q$33)))))))))</f>
        <v>8</v>
      </c>
      <c r="AO60" s="33">
        <f ca="1">IF(AL60&lt;Bewertung_Stammdaten!T$24,Bewertung_Stammdaten!S$24,IF(AL60&lt;Bewertung_Stammdaten!T$25,Bewertung_Stammdaten!S$25,IF(AL60&lt;Bewertung_Stammdaten!T$26,Bewertung_Stammdaten!S$26,IF(AL60&lt;Bewertung_Stammdaten!T$27,Bewertung_Stammdaten!S$27,IF(AL60&lt;Bewertung_Stammdaten!T$28,Bewertung_Stammdaten!S$28,IF(AL60&lt;Bewertung_Stammdaten!T$29,Bewertung_Stammdaten!S$29,IF(AL60&lt;Bewertung_Stammdaten!T$30,Bewertung_Stammdaten!S$30,IF(AL60&lt;Bewertung_Stammdaten!T$31,Bewertung_Stammdaten!S$31,IF(AL60&lt;Bewertung_Stammdaten!T$32,Bewertung_Stammdaten!S$32,Bewertung_Stammdaten!S$33)))))))))</f>
        <v>7</v>
      </c>
      <c r="AP60" s="44"/>
      <c r="AQ60" s="12">
        <f ca="1">VLOOKUP(A60,Dividendenrendite!A3:R68,17,FALSE)</f>
        <v>2.1579697076284387E-2</v>
      </c>
      <c r="AR60" s="12">
        <f>VLOOKUP(A60,Dividendenrendite!A3:R68,16,FALSE)</f>
        <v>1.8413397646420287E-2</v>
      </c>
      <c r="AS60" s="12">
        <f ca="1">VLOOKUP(A60,Dividendenrendite!A3:R68,18,FALSE)</f>
        <v>0.17195628371603955</v>
      </c>
      <c r="AT60" s="33">
        <f ca="1">IF(AQ60&lt;Bewertung_Stammdaten!D$11,Bewertung_Stammdaten!C$11,IF(AQ60&lt;Bewertung_Stammdaten!D$12,Bewertung_Stammdaten!C$12,IF(AQ60&lt;Bewertung_Stammdaten!D$13,Bewertung_Stammdaten!C$13,IF(AQ60&lt;Bewertung_Stammdaten!D$14,Bewertung_Stammdaten!C$14,IF(AQ60&lt;Bewertung_Stammdaten!D$15,Bewertung_Stammdaten!C$15,IF(AQ60&lt;Bewertung_Stammdaten!D$16,Bewertung_Stammdaten!C$16,IF(AQ60&lt;Bewertung_Stammdaten!D$17,Bewertung_Stammdaten!C$17,IF(AQ60&lt;Bewertung_Stammdaten!D$18,Bewertung_Stammdaten!C$18,IF(AQ60&lt;Bewertung_Stammdaten!D$19,Bewertung_Stammdaten!C$19,Bewertung_Stammdaten!C$20)))))))))</f>
        <v>7.5</v>
      </c>
      <c r="AU60" s="33">
        <f>IF(AR60&lt;Bewertung_Stammdaten!T$11,Bewertung_Stammdaten!S$11,IF(AR60&lt;Bewertung_Stammdaten!T$12,Bewertung_Stammdaten!S$12,IF(AR60&lt;Bewertung_Stammdaten!T$13,Bewertung_Stammdaten!S$13,IF(AR60&lt;Bewertung_Stammdaten!T$14,Bewertung_Stammdaten!S$14,IF(AR60&lt;Bewertung_Stammdaten!T$15,Bewertung_Stammdaten!S$15,IF(AR60&lt;Bewertung_Stammdaten!T$16,Bewertung_Stammdaten!S$16,IF(AR60&lt;Bewertung_Stammdaten!T$17,Bewertung_Stammdaten!S$17,IF(AR60&lt;Bewertung_Stammdaten!T$18,Bewertung_Stammdaten!S$18,IF(AR60&lt;Bewertung_Stammdaten!T$19,Bewertung_Stammdaten!S$19,Bewertung_Stammdaten!S$20)))))))))</f>
        <v>4</v>
      </c>
      <c r="AV60" s="33">
        <f ca="1">IF(AS60&lt;Bewertung_Stammdaten!F$11,Bewertung_Stammdaten!E$11,IF(AS60&lt;Bewertung_Stammdaten!F$12,Bewertung_Stammdaten!E$12,IF(AS60&lt;Bewertung_Stammdaten!F$13,Bewertung_Stammdaten!E$13,IF(AS60&lt;Bewertung_Stammdaten!F$14,Bewertung_Stammdaten!E$14,IF(AS60&lt;Bewertung_Stammdaten!F$15,Bewertung_Stammdaten!E$15,IF(AS60&lt;Bewertung_Stammdaten!F$16,Bewertung_Stammdaten!E$16,IF(AS60&lt;Bewertung_Stammdaten!F$17,Bewertung_Stammdaten!E$17,IF(AS60&lt;Bewertung_Stammdaten!F$18,Bewertung_Stammdaten!E$18,IF(AS60&lt;Bewertung_Stammdaten!F$19,Bewertung_Stammdaten!E$19,Bewertung_Stammdaten!E$20)))))))))</f>
        <v>4.5</v>
      </c>
      <c r="AW60" s="44"/>
      <c r="AX60" s="12">
        <f>VLOOKUP(A60,Aktien_im_Umlauf_splitbereinigt!A3:Z68,26,FALSE)</f>
        <v>1.796407185628679E-3</v>
      </c>
      <c r="AY60" s="12">
        <f>VLOOKUP(A60,Aktien_im_Umlauf_splitbereinigt!A3:Y68,24,FALSE)</f>
        <v>1.5310433024641792E-2</v>
      </c>
      <c r="AZ60" s="12">
        <f>VLOOKUP(A60,Aktien_im_Umlauf_splitbereinigt!A3:Y68,25,FALSE)</f>
        <v>-99.999989999999997</v>
      </c>
      <c r="BA60" s="42">
        <f>IF(AX60&lt;Bewertung_Stammdaten!J$24,Bewertung_Stammdaten!I$24,IF(AX60&lt;Bewertung_Stammdaten!J$25,Bewertung_Stammdaten!I$25,IF(AX60&lt;Bewertung_Stammdaten!J$26,Bewertung_Stammdaten!I$26,IF(AX60&lt;Bewertung_Stammdaten!J$27,Bewertung_Stammdaten!I$27,IF(AX60&lt;Bewertung_Stammdaten!J$28,Bewertung_Stammdaten!I$28,IF(AX60&lt;Bewertung_Stammdaten!J$29,Bewertung_Stammdaten!I$29,IF(AX60&lt;Bewertung_Stammdaten!J$30,Bewertung_Stammdaten!I$30,IF(AX60&lt;Bewertung_Stammdaten!J$31,Bewertung_Stammdaten!I$31,IF(AX60&lt;Bewertung_Stammdaten!J$32,Bewertung_Stammdaten!I$32,Bewertung_Stammdaten!I$33)))))))))</f>
        <v>2</v>
      </c>
      <c r="BB60" s="42">
        <f>IF(AY60&lt;Bewertung_Stammdaten!L$24,Bewertung_Stammdaten!K$24,IF(AY60&lt;Bewertung_Stammdaten!L$25,Bewertung_Stammdaten!K$25,IF(AY60&lt;Bewertung_Stammdaten!L$26,Bewertung_Stammdaten!K$26,IF(AY60&lt;Bewertung_Stammdaten!L$27,Bewertung_Stammdaten!K$27,IF(AY60&lt;Bewertung_Stammdaten!L$28,Bewertung_Stammdaten!K$28,IF(AY60&lt;Bewertung_Stammdaten!L$29,Bewertung_Stammdaten!K$29,IF(AY60&lt;Bewertung_Stammdaten!L$30,Bewertung_Stammdaten!K$30,IF(AY60&lt;Bewertung_Stammdaten!L$31,Bewertung_Stammdaten!K$31,IF(AY60&lt;Bewertung_Stammdaten!L$32,Bewertung_Stammdaten!K$32,Bewertung_Stammdaten!K$33)))))))))</f>
        <v>1</v>
      </c>
      <c r="BC60" s="42">
        <f>IF(AZ60&lt;Bewertung_Stammdaten!N$24,Bewertung_Stammdaten!M$24,IF(AZ60&lt;Bewertung_Stammdaten!N$25,Bewertung_Stammdaten!M$25,IF(AZ60&lt;Bewertung_Stammdaten!N$26,Bewertung_Stammdaten!M$26,IF(AZ60&lt;Bewertung_Stammdaten!N$27,Bewertung_Stammdaten!M$27,IF(AZ60&lt;Bewertung_Stammdaten!N$28,Bewertung_Stammdaten!M$28,IF(AZ60&lt;Bewertung_Stammdaten!N$29,Bewertung_Stammdaten!M$29,IF(AZ60&lt;Bewertung_Stammdaten!N$30,Bewertung_Stammdaten!M$30,IF(AZ60&lt;Bewertung_Stammdaten!N$31,Bewertung_Stammdaten!M$31,IF(AZ60&lt;Bewertung_Stammdaten!N$32,Bewertung_Stammdaten!M$32,Bewertung_Stammdaten!M$33)))))))))</f>
        <v>0.5</v>
      </c>
      <c r="BD60" s="44"/>
      <c r="BE60" s="12">
        <f ca="1">VLOOKUP(A60,Ausschüttungsquote!A3:X68,23,FALSE)</f>
        <v>0.49673414812622302</v>
      </c>
      <c r="BF60" s="12">
        <f>VLOOKUP(A60,Ausschüttungsquote!A3:X68,19,FALSE)</f>
        <v>0.4772639608551304</v>
      </c>
      <c r="BG60" s="12">
        <f ca="1">VLOOKUP(A60,Ausschüttungsquote!A3:X68,24,FALSE)</f>
        <v>4.0795427411294938E-2</v>
      </c>
      <c r="BH60" s="33">
        <f ca="1">IF(BE60&lt;Bewertung_Stammdaten!H$11,Bewertung_Stammdaten!G$11,IF(BE60&lt;Bewertung_Stammdaten!H$12,Bewertung_Stammdaten!G$12,IF(BE60&lt;Bewertung_Stammdaten!H$13,Bewertung_Stammdaten!G$13,IF(BE60&lt;Bewertung_Stammdaten!H$14,Bewertung_Stammdaten!G$14,IF(BE60&lt;Bewertung_Stammdaten!H$15,Bewertung_Stammdaten!G$15,IF(BE60&lt;Bewertung_Stammdaten!H$16,Bewertung_Stammdaten!G$16,IF(BE60&lt;Bewertung_Stammdaten!H$17,Bewertung_Stammdaten!G$17,IF(BE60&lt;Bewertung_Stammdaten!H$18,Bewertung_Stammdaten!G$18,IF(BE60&lt;Bewertung_Stammdaten!H$19,Bewertung_Stammdaten!G$19,Bewertung_Stammdaten!G$20)))))))))</f>
        <v>8</v>
      </c>
      <c r="BI60" s="42">
        <f>IF(BF60&lt;Bewertung_Stammdaten!B$24,Bewertung_Stammdaten!A$24,IF(BF60&lt;Bewertung_Stammdaten!B$25,Bewertung_Stammdaten!A$25,IF(BF60&lt;Bewertung_Stammdaten!B$26,Bewertung_Stammdaten!A$26,IF(BF60&lt;Bewertung_Stammdaten!B$27,Bewertung_Stammdaten!A$27,IF(BF60&lt;Bewertung_Stammdaten!B$28,Bewertung_Stammdaten!A$28,IF(BF60&lt;Bewertung_Stammdaten!B$29,Bewertung_Stammdaten!A$29,IF(BF60&lt;Bewertung_Stammdaten!B$30,Bewertung_Stammdaten!A$30,IF(BF60&lt;Bewertung_Stammdaten!B$31,Bewertung_Stammdaten!A$31,IF(BF60&lt;Bewertung_Stammdaten!B$32,Bewertung_Stammdaten!A$32,Bewertung_Stammdaten!A$33)))))))))</f>
        <v>8</v>
      </c>
      <c r="BJ60" s="33">
        <f ca="1">IF(BG60&lt;Bewertung_Stammdaten!J$11,Bewertung_Stammdaten!I$11,IF(BG60&lt;Bewertung_Stammdaten!J$12,Bewertung_Stammdaten!I$12,IF(BG60&lt;Bewertung_Stammdaten!J$13,Bewertung_Stammdaten!I$13,IF(BG60&lt;Bewertung_Stammdaten!J$14,Bewertung_Stammdaten!I$14,IF(BG60&lt;Bewertung_Stammdaten!J$15,Bewertung_Stammdaten!I$15,IF(BG60&lt;Bewertung_Stammdaten!J$16,Bewertung_Stammdaten!I$16,IF(BG60&lt;Bewertung_Stammdaten!J$17,Bewertung_Stammdaten!I$17,IF(BG60&lt;Bewertung_Stammdaten!J$18,Bewertung_Stammdaten!I$18,IF(BG60&lt;Bewertung_Stammdaten!J$19,Bewertung_Stammdaten!I$19,Bewertung_Stammdaten!I$20)))))))))</f>
        <v>5</v>
      </c>
    </row>
    <row r="61" spans="1:62" x14ac:dyDescent="0.25">
      <c r="A61" s="39" t="s">
        <v>117</v>
      </c>
      <c r="B61" s="39" t="s">
        <v>118</v>
      </c>
      <c r="C61" s="33">
        <f t="shared" ca="1" si="8"/>
        <v>80</v>
      </c>
      <c r="D61" s="44"/>
      <c r="E61" s="11">
        <f ca="1">VLOOKUP(A61,KGV!A3:R68,17,FALSE)</f>
        <v>20.0811685409329</v>
      </c>
      <c r="F61" s="11">
        <f>VLOOKUP(A61,KGV!A3:R68,16,FALSE)</f>
        <v>15.463157894736842</v>
      </c>
      <c r="G61" s="12">
        <f ca="1">VLOOKUP(A61,KGV!A3:R68,18,FALSE)</f>
        <v>0.29864602545175334</v>
      </c>
      <c r="H61" s="16">
        <f t="shared" ca="1" si="9"/>
        <v>67.773943825648544</v>
      </c>
      <c r="I61" s="12">
        <f t="shared" ca="1" si="10"/>
        <v>3.3829303358996681</v>
      </c>
      <c r="J61" s="33">
        <f ca="1">IF(G61&lt;Bewertung_Stammdaten!B$11,Bewertung_Stammdaten!A$11,IF(G61&lt;Bewertung_Stammdaten!B$12,Bewertung_Stammdaten!A$12,IF(G61&lt;Bewertung_Stammdaten!B$13,Bewertung_Stammdaten!A$13,IF(G61&lt;Bewertung_Stammdaten!B$14,Bewertung_Stammdaten!A$14,IF(G61&lt;Bewertung_Stammdaten!B$15,Bewertung_Stammdaten!A$15,IF(G61&lt;Bewertung_Stammdaten!B$16,Bewertung_Stammdaten!A$16,IF(G61&lt;Bewertung_Stammdaten!B$17,Bewertung_Stammdaten!A$17,IF(G61&lt;Bewertung_Stammdaten!B$18,Bewertung_Stammdaten!A$18,IF(G61&lt;Bewertung_Stammdaten!B$19,Bewertung_Stammdaten!A$19,Bewertung_Stammdaten!A$20)))))))))</f>
        <v>3</v>
      </c>
      <c r="K61" s="33">
        <f ca="1">IF(I61&lt;Bewertung_Stammdaten!N$11,Bewertung_Stammdaten!M$11,IF(I61&lt;Bewertung_Stammdaten!N$12,Bewertung_Stammdaten!M$12,IF(I61&lt;Bewertung_Stammdaten!N$13,Bewertung_Stammdaten!M$13,IF(I61&lt;Bewertung_Stammdaten!N$14,Bewertung_Stammdaten!M$14,IF(I61&lt;Bewertung_Stammdaten!N$15,Bewertung_Stammdaten!M$15,IF(I61&lt;Bewertung_Stammdaten!N$16,Bewertung_Stammdaten!M$16,IF(I61&lt;Bewertung_Stammdaten!N$17,Bewertung_Stammdaten!M$17,IF(I61&lt;Bewertung_Stammdaten!N$18,Bewertung_Stammdaten!M$18,IF(I61&lt;Bewertung_Stammdaten!N$19,Bewertung_Stammdaten!M$19,Bewertung_Stammdaten!M$20)))))))))</f>
        <v>1.5</v>
      </c>
      <c r="L61" s="44"/>
      <c r="M61" s="11">
        <f ca="1">VLOOKUP(A61,Buchwert_je_Aktie!A3:AK68,23,FALSE)</f>
        <v>1.135836111111111</v>
      </c>
      <c r="N61" s="11">
        <f>VLOOKUP(A61,Buchwert_je_Aktie!A3:AK68,19,FALSE)</f>
        <v>1.2579230769230767</v>
      </c>
      <c r="O61" s="12">
        <f ca="1">VLOOKUP(A61,Buchwert_je_Aktie!A3:AK68,24,FALSE)</f>
        <v>-9.705439708650121E-2</v>
      </c>
      <c r="P61" s="12">
        <f>VLOOKUP(A61,Buchwert_je_Aktie!A3:AK68,37,FALSE)</f>
        <v>-0.45039999999999991</v>
      </c>
      <c r="Q61" s="16">
        <f t="shared" ca="1" si="11"/>
        <v>0.62425552666666673</v>
      </c>
      <c r="R61" s="12">
        <f t="shared" ca="1" si="12"/>
        <v>-0.503741096638741</v>
      </c>
      <c r="S61" s="53">
        <f ca="1">IF(O61&lt;Bewertung_Stammdaten!D$24,Bewertung_Stammdaten!C$24,IF(O61&lt;Bewertung_Stammdaten!D$25,Bewertung_Stammdaten!C$25,IF(O61&lt;Bewertung_Stammdaten!D$26,Bewertung_Stammdaten!C$26,IF(O61&lt;Bewertung_Stammdaten!D$27,Bewertung_Stammdaten!C$27,IF(O61&lt;Bewertung_Stammdaten!D$28,Bewertung_Stammdaten!C$28,IF(O61&lt;Bewertung_Stammdaten!D$29,Bewertung_Stammdaten!C$29,IF(O61&lt;Bewertung_Stammdaten!D$30,Bewertung_Stammdaten!C$30,IF(O61&lt;Bewertung_Stammdaten!D$31,Bewertung_Stammdaten!C$31,IF(O61&lt;Bewertung_Stammdaten!D$32,Bewertung_Stammdaten!C$32,Bewertung_Stammdaten!C$33)))))))))</f>
        <v>3</v>
      </c>
      <c r="T61" s="53">
        <f>IF(P61&lt;Bewertung_Stammdaten!F$24,Bewertung_Stammdaten!E$24,IF(P61&lt;Bewertung_Stammdaten!F$25,Bewertung_Stammdaten!E$25,IF(P61&lt;Bewertung_Stammdaten!F$26,Bewertung_Stammdaten!E$26,IF(P61&lt;Bewertung_Stammdaten!F$27,Bewertung_Stammdaten!E$27,IF(P61&lt;Bewertung_Stammdaten!F$28,Bewertung_Stammdaten!E$28,IF(P61&lt;Bewertung_Stammdaten!F$29,Bewertung_Stammdaten!E$29,IF(P61&lt;Bewertung_Stammdaten!F$30,Bewertung_Stammdaten!E$30,IF(P61&lt;Bewertung_Stammdaten!F$31,Bewertung_Stammdaten!E$31,IF(P61&lt;Bewertung_Stammdaten!F$32,Bewertung_Stammdaten!E$32,Bewertung_Stammdaten!E$33)))))))))</f>
        <v>1.5</v>
      </c>
      <c r="U61" s="53">
        <f ca="1">IF(R61&lt;Bewertung_Stammdaten!H$24,Bewertung_Stammdaten!G$24,IF(R61&lt;Bewertung_Stammdaten!H$25,Bewertung_Stammdaten!G$25,IF(R61&lt;Bewertung_Stammdaten!H$26,Bewertung_Stammdaten!G$26,IF(R61&lt;Bewertung_Stammdaten!H$27,Bewertung_Stammdaten!G$27,IF(R61&lt;Bewertung_Stammdaten!H$28,Bewertung_Stammdaten!G$28,IF(R61&lt;Bewertung_Stammdaten!H$29,Bewertung_Stammdaten!G$29,IF(R61&lt;Bewertung_Stammdaten!H$30,Bewertung_Stammdaten!G$30,IF(R61&lt;Bewertung_Stammdaten!H$31,Bewertung_Stammdaten!G$31,IF(R61&lt;Bewertung_Stammdaten!H$32,Bewertung_Stammdaten!G$32,Bewertung_Stammdaten!G$33)))))))))</f>
        <v>1</v>
      </c>
      <c r="V61" s="44"/>
      <c r="W61" s="14">
        <f ca="1">VLOOKUP(A61,Ergebnis_je_Aktie_verwässert!A3:AK68,23,FALSE)</f>
        <v>0.77684722222222224</v>
      </c>
      <c r="X61" s="14">
        <f>VLOOKUP(A61,Ergebnis_je_Aktie_verwässert!A3:AK68,19,FALSE)</f>
        <v>0.84299999999999997</v>
      </c>
      <c r="Y61" s="12">
        <f ca="1">VLOOKUP(A61,Ergebnis_je_Aktie_verwässert!A3:AK68,24,FALSE)</f>
        <v>-7.8473045999736368E-2</v>
      </c>
      <c r="Z61" s="41">
        <f>VLOOKUP(A61,Ergebnis_je_Aktie_verwässert!A3:AK68,37,FALSE)</f>
        <v>-0.70370370370370372</v>
      </c>
      <c r="AA61" s="16">
        <f t="shared" ca="1" si="13"/>
        <v>0.23017695473251029</v>
      </c>
      <c r="AB61" s="12">
        <f t="shared" ca="1" si="14"/>
        <v>-0.72695497659251451</v>
      </c>
      <c r="AC61" s="33">
        <f ca="1">IF(Y61&lt;Bewertung_Stammdaten!L$11,Bewertung_Stammdaten!K$11,IF(Y61&lt;Bewertung_Stammdaten!L$12,Bewertung_Stammdaten!K$12,IF(Y61&lt;Bewertung_Stammdaten!L$13,Bewertung_Stammdaten!K$13,IF(Y61&lt;Bewertung_Stammdaten!L$14,Bewertung_Stammdaten!K$14,IF(Y61&lt;Bewertung_Stammdaten!L$15,Bewertung_Stammdaten!K$15,IF(Y61&lt;Bewertung_Stammdaten!L$16,Bewertung_Stammdaten!K$16,IF(Y61&lt;Bewertung_Stammdaten!L$17,Bewertung_Stammdaten!K$17,IF(Y61&lt;Bewertung_Stammdaten!L$18,Bewertung_Stammdaten!K$18,IF(Y61&lt;Bewertung_Stammdaten!L$19,Bewertung_Stammdaten!K$19,Bewertung_Stammdaten!K$20)))))))))</f>
        <v>4</v>
      </c>
      <c r="AD61" s="33">
        <f>IF(Z61&lt;Bewertung_Stammdaten!R$11,Bewertung_Stammdaten!Q$11,IF(Z61&lt;Bewertung_Stammdaten!R$12,Bewertung_Stammdaten!Q$12,IF(Z61&lt;Bewertung_Stammdaten!R$13,Bewertung_Stammdaten!Q$13,IF(Z61&lt;Bewertung_Stammdaten!R$14,Bewertung_Stammdaten!Q$14,IF(Z61&lt;Bewertung_Stammdaten!R$15,Bewertung_Stammdaten!Q$15,IF(Z61&lt;Bewertung_Stammdaten!R$16,Bewertung_Stammdaten!Q$16,IF(Z61&lt;Bewertung_Stammdaten!R$17,Bewertung_Stammdaten!Q$17,IF(Z61&lt;Bewertung_Stammdaten!R$18,Bewertung_Stammdaten!Q$18,IF(Z61&lt;Bewertung_Stammdaten!R$19,Bewertung_Stammdaten!Q$19,Bewertung_Stammdaten!Q$20)))))))))</f>
        <v>1</v>
      </c>
      <c r="AE61" s="33">
        <f ca="1">IF(AB61&lt;Bewertung_Stammdaten!P$11,Bewertung_Stammdaten!O$11,IF(AB61&lt;Bewertung_Stammdaten!P$12,Bewertung_Stammdaten!O$12,IF(AB61&lt;Bewertung_Stammdaten!P$13,Bewertung_Stammdaten!O$13,IF(AB61&lt;Bewertung_Stammdaten!P$14,Bewertung_Stammdaten!O$14,IF(AB61&lt;Bewertung_Stammdaten!P$15,Bewertung_Stammdaten!O$15,IF(AB61&lt;Bewertung_Stammdaten!P$16,Bewertung_Stammdaten!O$16,IF(AB61&lt;Bewertung_Stammdaten!P$17,Bewertung_Stammdaten!O$17,IF(AB61&lt;Bewertung_Stammdaten!P$18,Bewertung_Stammdaten!O$18,IF(AB61&lt;Bewertung_Stammdaten!P$19,Bewertung_Stammdaten!O$19,Bewertung_Stammdaten!O$20)))))))))</f>
        <v>1</v>
      </c>
      <c r="AF61" s="44"/>
      <c r="AG61" s="14">
        <f ca="1">VLOOKUP(A61,Dividende_je_Aktie!A3:AM68,24,FALSE)</f>
        <v>0.80759444444444439</v>
      </c>
      <c r="AH61" s="14">
        <f>VLOOKUP(A61,Dividende_je_Aktie!A3:AM68,20,FALSE)</f>
        <v>0.65335714285714286</v>
      </c>
      <c r="AI61" s="12">
        <f ca="1">VLOOKUP(A61,Dividende_je_Aktie!A3:AM68,25,FALSE)</f>
        <v>0.23606889933554398</v>
      </c>
      <c r="AJ61" s="41">
        <f>VLOOKUP(A61,Dividende_je_Aktie!A3:AM68,39,FALSE)</f>
        <v>-2.4752475247524774E-3</v>
      </c>
      <c r="AK61" s="16">
        <f t="shared" ca="1" si="6"/>
        <v>0.80559544829482943</v>
      </c>
      <c r="AL61" s="12">
        <f t="shared" ca="1" si="7"/>
        <v>0.23300932285204023</v>
      </c>
      <c r="AM61" s="33">
        <f ca="1">IF(AI61&lt;Bewertung_Stammdaten!P$24,Bewertung_Stammdaten!O$24,IF(AI61&lt;Bewertung_Stammdaten!P$25,Bewertung_Stammdaten!O$25,IF(AI61&lt;Bewertung_Stammdaten!P$26,Bewertung_Stammdaten!O$26,IF(AI61&lt;Bewertung_Stammdaten!P$27,Bewertung_Stammdaten!O$27,IF(AI61&lt;Bewertung_Stammdaten!P$28,Bewertung_Stammdaten!O$28,IF(AI61&lt;Bewertung_Stammdaten!P$29,Bewertung_Stammdaten!O$29,IF(AI61&lt;Bewertung_Stammdaten!P$30,Bewertung_Stammdaten!O$30,IF(AI61&lt;Bewertung_Stammdaten!P$31,Bewertung_Stammdaten!O$31,IF(AI61&lt;Bewertung_Stammdaten!P$32,Bewertung_Stammdaten!O$32,Bewertung_Stammdaten!O$33)))))))))</f>
        <v>10</v>
      </c>
      <c r="AN61" s="33">
        <f>IF(AJ61&lt;Bewertung_Stammdaten!R$24,Bewertung_Stammdaten!Q$24,IF(AJ61&lt;Bewertung_Stammdaten!R$25,Bewertung_Stammdaten!Q$25,IF(AJ61&lt;Bewertung_Stammdaten!R$26,Bewertung_Stammdaten!Q$26,IF(AJ61&lt;Bewertung_Stammdaten!R$27,Bewertung_Stammdaten!Q$27,IF(AJ61&lt;Bewertung_Stammdaten!R$28,Bewertung_Stammdaten!Q$28,IF(AJ61&lt;Bewertung_Stammdaten!R$29,Bewertung_Stammdaten!Q$29,IF(AJ61&lt;Bewertung_Stammdaten!R$30,Bewertung_Stammdaten!Q$30,IF(AJ61&lt;Bewertung_Stammdaten!R$31,Bewertung_Stammdaten!Q$31,IF(AJ61&lt;Bewertung_Stammdaten!R$32,Bewertung_Stammdaten!Q$32,Bewertung_Stammdaten!Q$33)))))))))</f>
        <v>7</v>
      </c>
      <c r="AO61" s="33">
        <f ca="1">IF(AL61&lt;Bewertung_Stammdaten!T$24,Bewertung_Stammdaten!S$24,IF(AL61&lt;Bewertung_Stammdaten!T$25,Bewertung_Stammdaten!S$25,IF(AL61&lt;Bewertung_Stammdaten!T$26,Bewertung_Stammdaten!S$26,IF(AL61&lt;Bewertung_Stammdaten!T$27,Bewertung_Stammdaten!S$27,IF(AL61&lt;Bewertung_Stammdaten!T$28,Bewertung_Stammdaten!S$28,IF(AL61&lt;Bewertung_Stammdaten!T$29,Bewertung_Stammdaten!S$29,IF(AL61&lt;Bewertung_Stammdaten!T$30,Bewertung_Stammdaten!S$30,IF(AL61&lt;Bewertung_Stammdaten!T$31,Bewertung_Stammdaten!S$31,IF(AL61&lt;Bewertung_Stammdaten!T$32,Bewertung_Stammdaten!S$32,Bewertung_Stammdaten!S$33)))))))))</f>
        <v>6</v>
      </c>
      <c r="AP61" s="44"/>
      <c r="AQ61" s="12">
        <f ca="1">VLOOKUP(A61,Dividendenrendite!A3:R68,17,FALSE)</f>
        <v>5.1768874643874641E-2</v>
      </c>
      <c r="AR61" s="12">
        <f>VLOOKUP(A61,Dividendenrendite!A3:R68,16,FALSE)</f>
        <v>4.5961828865179327E-2</v>
      </c>
      <c r="AS61" s="12">
        <f ca="1">VLOOKUP(A61,Dividendenrendite!A3:R68,18,FALSE)</f>
        <v>0.12634496759755209</v>
      </c>
      <c r="AT61" s="33">
        <f ca="1">IF(AQ61&lt;Bewertung_Stammdaten!D$11,Bewertung_Stammdaten!C$11,IF(AQ61&lt;Bewertung_Stammdaten!D$12,Bewertung_Stammdaten!C$12,IF(AQ61&lt;Bewertung_Stammdaten!D$13,Bewertung_Stammdaten!C$13,IF(AQ61&lt;Bewertung_Stammdaten!D$14,Bewertung_Stammdaten!C$14,IF(AQ61&lt;Bewertung_Stammdaten!D$15,Bewertung_Stammdaten!C$15,IF(AQ61&lt;Bewertung_Stammdaten!D$16,Bewertung_Stammdaten!C$16,IF(AQ61&lt;Bewertung_Stammdaten!D$17,Bewertung_Stammdaten!C$17,IF(AQ61&lt;Bewertung_Stammdaten!D$18,Bewertung_Stammdaten!C$18,IF(AQ61&lt;Bewertung_Stammdaten!D$19,Bewertung_Stammdaten!C$19,Bewertung_Stammdaten!C$20)))))))))</f>
        <v>15</v>
      </c>
      <c r="AU61" s="33">
        <f>IF(AR61&lt;Bewertung_Stammdaten!T$11,Bewertung_Stammdaten!S$11,IF(AR61&lt;Bewertung_Stammdaten!T$12,Bewertung_Stammdaten!S$12,IF(AR61&lt;Bewertung_Stammdaten!T$13,Bewertung_Stammdaten!S$13,IF(AR61&lt;Bewertung_Stammdaten!T$14,Bewertung_Stammdaten!S$14,IF(AR61&lt;Bewertung_Stammdaten!T$15,Bewertung_Stammdaten!S$15,IF(AR61&lt;Bewertung_Stammdaten!T$16,Bewertung_Stammdaten!S$16,IF(AR61&lt;Bewertung_Stammdaten!T$17,Bewertung_Stammdaten!S$17,IF(AR61&lt;Bewertung_Stammdaten!T$18,Bewertung_Stammdaten!S$18,IF(AR61&lt;Bewertung_Stammdaten!T$19,Bewertung_Stammdaten!S$19,Bewertung_Stammdaten!S$20)))))))))</f>
        <v>10</v>
      </c>
      <c r="AV61" s="33">
        <f ca="1">IF(AS61&lt;Bewertung_Stammdaten!F$11,Bewertung_Stammdaten!E$11,IF(AS61&lt;Bewertung_Stammdaten!F$12,Bewertung_Stammdaten!E$12,IF(AS61&lt;Bewertung_Stammdaten!F$13,Bewertung_Stammdaten!E$13,IF(AS61&lt;Bewertung_Stammdaten!F$14,Bewertung_Stammdaten!E$14,IF(AS61&lt;Bewertung_Stammdaten!F$15,Bewertung_Stammdaten!E$15,IF(AS61&lt;Bewertung_Stammdaten!F$16,Bewertung_Stammdaten!E$16,IF(AS61&lt;Bewertung_Stammdaten!F$17,Bewertung_Stammdaten!E$17,IF(AS61&lt;Bewertung_Stammdaten!F$18,Bewertung_Stammdaten!E$18,IF(AS61&lt;Bewertung_Stammdaten!F$19,Bewertung_Stammdaten!E$19,Bewertung_Stammdaten!E$20)))))))))</f>
        <v>4</v>
      </c>
      <c r="AW61" s="44"/>
      <c r="AX61" s="12">
        <f>VLOOKUP(A61,Aktien_im_Umlauf_splitbereinigt!A3:Z68,26,FALSE)</f>
        <v>2.4335454885811014E-3</v>
      </c>
      <c r="AY61" s="12">
        <f>VLOOKUP(A61,Aktien_im_Umlauf_splitbereinigt!A3:Y68,24,FALSE)</f>
        <v>-1.167581807320576E-2</v>
      </c>
      <c r="AZ61" s="12">
        <f>VLOOKUP(A61,Aktien_im_Umlauf_splitbereinigt!A3:Y68,25,FALSE)</f>
        <v>-1.2084261225485964</v>
      </c>
      <c r="BA61" s="42">
        <f>IF(AX61&lt;Bewertung_Stammdaten!J$24,Bewertung_Stammdaten!I$24,IF(AX61&lt;Bewertung_Stammdaten!J$25,Bewertung_Stammdaten!I$25,IF(AX61&lt;Bewertung_Stammdaten!J$26,Bewertung_Stammdaten!I$26,IF(AX61&lt;Bewertung_Stammdaten!J$27,Bewertung_Stammdaten!I$27,IF(AX61&lt;Bewertung_Stammdaten!J$28,Bewertung_Stammdaten!I$28,IF(AX61&lt;Bewertung_Stammdaten!J$29,Bewertung_Stammdaten!I$29,IF(AX61&lt;Bewertung_Stammdaten!J$30,Bewertung_Stammdaten!I$30,IF(AX61&lt;Bewertung_Stammdaten!J$31,Bewertung_Stammdaten!I$31,IF(AX61&lt;Bewertung_Stammdaten!J$32,Bewertung_Stammdaten!I$32,Bewertung_Stammdaten!I$33)))))))))</f>
        <v>2</v>
      </c>
      <c r="BB61" s="42">
        <f>IF(AY61&lt;Bewertung_Stammdaten!L$24,Bewertung_Stammdaten!K$24,IF(AY61&lt;Bewertung_Stammdaten!L$25,Bewertung_Stammdaten!K$25,IF(AY61&lt;Bewertung_Stammdaten!L$26,Bewertung_Stammdaten!K$26,IF(AY61&lt;Bewertung_Stammdaten!L$27,Bewertung_Stammdaten!K$27,IF(AY61&lt;Bewertung_Stammdaten!L$28,Bewertung_Stammdaten!K$28,IF(AY61&lt;Bewertung_Stammdaten!L$29,Bewertung_Stammdaten!K$29,IF(AY61&lt;Bewertung_Stammdaten!L$30,Bewertung_Stammdaten!K$30,IF(AY61&lt;Bewertung_Stammdaten!L$31,Bewertung_Stammdaten!K$31,IF(AY61&lt;Bewertung_Stammdaten!L$32,Bewertung_Stammdaten!K$32,Bewertung_Stammdaten!K$33)))))))))</f>
        <v>5</v>
      </c>
      <c r="BC61" s="42">
        <f>IF(AZ61&lt;Bewertung_Stammdaten!N$24,Bewertung_Stammdaten!M$24,IF(AZ61&lt;Bewertung_Stammdaten!N$25,Bewertung_Stammdaten!M$25,IF(AZ61&lt;Bewertung_Stammdaten!N$26,Bewertung_Stammdaten!M$26,IF(AZ61&lt;Bewertung_Stammdaten!N$27,Bewertung_Stammdaten!M$27,IF(AZ61&lt;Bewertung_Stammdaten!N$28,Bewertung_Stammdaten!M$28,IF(AZ61&lt;Bewertung_Stammdaten!N$29,Bewertung_Stammdaten!M$29,IF(AZ61&lt;Bewertung_Stammdaten!N$30,Bewertung_Stammdaten!M$30,IF(AZ61&lt;Bewertung_Stammdaten!N$31,Bewertung_Stammdaten!M$31,IF(AZ61&lt;Bewertung_Stammdaten!N$32,Bewertung_Stammdaten!M$32,Bewertung_Stammdaten!M$33)))))))))</f>
        <v>1</v>
      </c>
      <c r="BD61" s="44"/>
      <c r="BE61" s="12">
        <f ca="1">VLOOKUP(A61,Ausschüttungsquote!A3:X68,23,FALSE)</f>
        <v>1.0404288520624279</v>
      </c>
      <c r="BF61" s="12">
        <f>VLOOKUP(A61,Ausschüttungsquote!A3:X68,19,FALSE)</f>
        <v>0.88911540876981754</v>
      </c>
      <c r="BG61" s="12">
        <f ca="1">VLOOKUP(A61,Ausschüttungsquote!A3:X68,24,FALSE)</f>
        <v>0.17018425482240596</v>
      </c>
      <c r="BH61" s="33">
        <f ca="1">IF(BE61&lt;Bewertung_Stammdaten!H$11,Bewertung_Stammdaten!G$11,IF(BE61&lt;Bewertung_Stammdaten!H$12,Bewertung_Stammdaten!G$12,IF(BE61&lt;Bewertung_Stammdaten!H$13,Bewertung_Stammdaten!G$13,IF(BE61&lt;Bewertung_Stammdaten!H$14,Bewertung_Stammdaten!G$14,IF(BE61&lt;Bewertung_Stammdaten!H$15,Bewertung_Stammdaten!G$15,IF(BE61&lt;Bewertung_Stammdaten!H$16,Bewertung_Stammdaten!G$16,IF(BE61&lt;Bewertung_Stammdaten!H$17,Bewertung_Stammdaten!G$17,IF(BE61&lt;Bewertung_Stammdaten!H$18,Bewertung_Stammdaten!G$18,IF(BE61&lt;Bewertung_Stammdaten!H$19,Bewertung_Stammdaten!G$19,Bewertung_Stammdaten!G$20)))))))))</f>
        <v>1</v>
      </c>
      <c r="BI61" s="42">
        <f>IF(BF61&lt;Bewertung_Stammdaten!B$24,Bewertung_Stammdaten!A$24,IF(BF61&lt;Bewertung_Stammdaten!B$25,Bewertung_Stammdaten!A$25,IF(BF61&lt;Bewertung_Stammdaten!B$26,Bewertung_Stammdaten!A$26,IF(BF61&lt;Bewertung_Stammdaten!B$27,Bewertung_Stammdaten!A$27,IF(BF61&lt;Bewertung_Stammdaten!B$28,Bewertung_Stammdaten!A$28,IF(BF61&lt;Bewertung_Stammdaten!B$29,Bewertung_Stammdaten!A$29,IF(BF61&lt;Bewertung_Stammdaten!B$30,Bewertung_Stammdaten!A$30,IF(BF61&lt;Bewertung_Stammdaten!B$31,Bewertung_Stammdaten!A$31,IF(BF61&lt;Bewertung_Stammdaten!B$32,Bewertung_Stammdaten!A$32,Bewertung_Stammdaten!A$33)))))))))</f>
        <v>1</v>
      </c>
      <c r="BJ61" s="33">
        <f ca="1">IF(BG61&lt;Bewertung_Stammdaten!J$11,Bewertung_Stammdaten!I$11,IF(BG61&lt;Bewertung_Stammdaten!J$12,Bewertung_Stammdaten!I$12,IF(BG61&lt;Bewertung_Stammdaten!J$13,Bewertung_Stammdaten!I$13,IF(BG61&lt;Bewertung_Stammdaten!J$14,Bewertung_Stammdaten!I$14,IF(BG61&lt;Bewertung_Stammdaten!J$15,Bewertung_Stammdaten!I$15,IF(BG61&lt;Bewertung_Stammdaten!J$16,Bewertung_Stammdaten!I$16,IF(BG61&lt;Bewertung_Stammdaten!J$17,Bewertung_Stammdaten!I$17,IF(BG61&lt;Bewertung_Stammdaten!J$18,Bewertung_Stammdaten!I$18,IF(BG61&lt;Bewertung_Stammdaten!J$19,Bewertung_Stammdaten!I$19,Bewertung_Stammdaten!I$20)))))))))</f>
        <v>2</v>
      </c>
    </row>
    <row r="62" spans="1:62" x14ac:dyDescent="0.25">
      <c r="A62" s="39" t="s">
        <v>119</v>
      </c>
      <c r="B62" s="39" t="s">
        <v>120</v>
      </c>
      <c r="C62" s="33">
        <f t="shared" ca="1" si="8"/>
        <v>98</v>
      </c>
      <c r="D62" s="44"/>
      <c r="E62" s="11">
        <f ca="1">VLOOKUP(A62,KGV!A3:R68,17,FALSE)</f>
        <v>23.910472204530979</v>
      </c>
      <c r="F62" s="11">
        <f>VLOOKUP(A62,KGV!A3:R68,16,FALSE)</f>
        <v>15.775062761506275</v>
      </c>
      <c r="G62" s="12">
        <f ca="1">VLOOKUP(A62,KGV!A3:R68,18,FALSE)</f>
        <v>0.51571328533008631</v>
      </c>
      <c r="H62" s="16">
        <f t="shared" ca="1" si="9"/>
        <v>43.753187726963326</v>
      </c>
      <c r="I62" s="12">
        <f t="shared" ca="1" si="10"/>
        <v>1.7735666341517344</v>
      </c>
      <c r="J62" s="33">
        <f ca="1">IF(G62&lt;Bewertung_Stammdaten!B$11,Bewertung_Stammdaten!A$11,IF(G62&lt;Bewertung_Stammdaten!B$12,Bewertung_Stammdaten!A$12,IF(G62&lt;Bewertung_Stammdaten!B$13,Bewertung_Stammdaten!A$13,IF(G62&lt;Bewertung_Stammdaten!B$14,Bewertung_Stammdaten!A$14,IF(G62&lt;Bewertung_Stammdaten!B$15,Bewertung_Stammdaten!A$15,IF(G62&lt;Bewertung_Stammdaten!B$16,Bewertung_Stammdaten!A$16,IF(G62&lt;Bewertung_Stammdaten!B$17,Bewertung_Stammdaten!A$17,IF(G62&lt;Bewertung_Stammdaten!B$18,Bewertung_Stammdaten!A$18,IF(G62&lt;Bewertung_Stammdaten!B$19,Bewertung_Stammdaten!A$19,Bewertung_Stammdaten!A$20)))))))))</f>
        <v>3</v>
      </c>
      <c r="K62" s="33">
        <f ca="1">IF(I62&lt;Bewertung_Stammdaten!N$11,Bewertung_Stammdaten!M$11,IF(I62&lt;Bewertung_Stammdaten!N$12,Bewertung_Stammdaten!M$12,IF(I62&lt;Bewertung_Stammdaten!N$13,Bewertung_Stammdaten!M$13,IF(I62&lt;Bewertung_Stammdaten!N$14,Bewertung_Stammdaten!M$14,IF(I62&lt;Bewertung_Stammdaten!N$15,Bewertung_Stammdaten!M$15,IF(I62&lt;Bewertung_Stammdaten!N$16,Bewertung_Stammdaten!M$16,IF(I62&lt;Bewertung_Stammdaten!N$17,Bewertung_Stammdaten!M$17,IF(I62&lt;Bewertung_Stammdaten!N$18,Bewertung_Stammdaten!M$18,IF(I62&lt;Bewertung_Stammdaten!N$19,Bewertung_Stammdaten!M$19,Bewertung_Stammdaten!M$20)))))))))</f>
        <v>1.5</v>
      </c>
      <c r="L62" s="44"/>
      <c r="M62" s="11">
        <f ca="1">VLOOKUP(A62,Buchwert_je_Aktie!A3:AK68,23,FALSE)</f>
        <v>10.184249999999999</v>
      </c>
      <c r="N62" s="11">
        <f>VLOOKUP(A62,Buchwert_je_Aktie!A3:AK68,19,FALSE)</f>
        <v>7.8599999999999994</v>
      </c>
      <c r="O62" s="12">
        <f ca="1">VLOOKUP(A62,Buchwert_je_Aktie!A3:AK68,24,FALSE)</f>
        <v>0.29570610687022891</v>
      </c>
      <c r="P62" s="12">
        <f>VLOOKUP(A62,Buchwert_je_Aktie!A3:AK68,37,FALSE)</f>
        <v>2.8061224489795977E-2</v>
      </c>
      <c r="Q62" s="16">
        <f t="shared" ca="1" si="11"/>
        <v>10.184249999999999</v>
      </c>
      <c r="R62" s="12">
        <f t="shared" ca="1" si="12"/>
        <v>0.29570610687022891</v>
      </c>
      <c r="S62" s="53">
        <f ca="1">IF(O62&lt;Bewertung_Stammdaten!D$24,Bewertung_Stammdaten!C$24,IF(O62&lt;Bewertung_Stammdaten!D$25,Bewertung_Stammdaten!C$25,IF(O62&lt;Bewertung_Stammdaten!D$26,Bewertung_Stammdaten!C$26,IF(O62&lt;Bewertung_Stammdaten!D$27,Bewertung_Stammdaten!C$27,IF(O62&lt;Bewertung_Stammdaten!D$28,Bewertung_Stammdaten!C$28,IF(O62&lt;Bewertung_Stammdaten!D$29,Bewertung_Stammdaten!C$29,IF(O62&lt;Bewertung_Stammdaten!D$30,Bewertung_Stammdaten!C$30,IF(O62&lt;Bewertung_Stammdaten!D$31,Bewertung_Stammdaten!C$31,IF(O62&lt;Bewertung_Stammdaten!D$32,Bewertung_Stammdaten!C$32,Bewertung_Stammdaten!C$33)))))))))</f>
        <v>7.5</v>
      </c>
      <c r="T62" s="53">
        <f>IF(P62&lt;Bewertung_Stammdaten!F$24,Bewertung_Stammdaten!E$24,IF(P62&lt;Bewertung_Stammdaten!F$25,Bewertung_Stammdaten!E$25,IF(P62&lt;Bewertung_Stammdaten!F$26,Bewertung_Stammdaten!E$26,IF(P62&lt;Bewertung_Stammdaten!F$27,Bewertung_Stammdaten!E$27,IF(P62&lt;Bewertung_Stammdaten!F$28,Bewertung_Stammdaten!E$28,IF(P62&lt;Bewertung_Stammdaten!F$29,Bewertung_Stammdaten!E$29,IF(P62&lt;Bewertung_Stammdaten!F$30,Bewertung_Stammdaten!E$30,IF(P62&lt;Bewertung_Stammdaten!F$31,Bewertung_Stammdaten!E$31,IF(P62&lt;Bewertung_Stammdaten!F$32,Bewertung_Stammdaten!E$32,Bewertung_Stammdaten!E$33)))))))))</f>
        <v>12</v>
      </c>
      <c r="U62" s="53">
        <f ca="1">IF(R62&lt;Bewertung_Stammdaten!H$24,Bewertung_Stammdaten!G$24,IF(R62&lt;Bewertung_Stammdaten!H$25,Bewertung_Stammdaten!G$25,IF(R62&lt;Bewertung_Stammdaten!H$26,Bewertung_Stammdaten!G$26,IF(R62&lt;Bewertung_Stammdaten!H$27,Bewertung_Stammdaten!G$27,IF(R62&lt;Bewertung_Stammdaten!H$28,Bewertung_Stammdaten!G$28,IF(R62&lt;Bewertung_Stammdaten!H$29,Bewertung_Stammdaten!G$29,IF(R62&lt;Bewertung_Stammdaten!H$30,Bewertung_Stammdaten!G$30,IF(R62&lt;Bewertung_Stammdaten!H$31,Bewertung_Stammdaten!G$31,IF(R62&lt;Bewertung_Stammdaten!H$32,Bewertung_Stammdaten!G$32,Bewertung_Stammdaten!G$33)))))))))</f>
        <v>5</v>
      </c>
      <c r="V62" s="44"/>
      <c r="W62" s="14">
        <f ca="1">VLOOKUP(A62,Ergebnis_je_Aktie_verwässert!A3:AK68,23,FALSE)</f>
        <v>2.4424444444444444</v>
      </c>
      <c r="X62" s="14">
        <f>VLOOKUP(A62,Ergebnis_je_Aktie_verwässert!A3:AK68,19,FALSE)</f>
        <v>2.393636363636364</v>
      </c>
      <c r="Y62" s="12">
        <f ca="1">VLOOKUP(A62,Ergebnis_je_Aktie_verwässert!A3:AK68,24,FALSE)</f>
        <v>2.0390766763725088E-2</v>
      </c>
      <c r="Z62" s="41">
        <f>VLOOKUP(A62,Ergebnis_je_Aktie_verwässert!A3:AK68,37,FALSE)</f>
        <v>-0.45351473922902497</v>
      </c>
      <c r="AA62" s="16">
        <f t="shared" ca="1" si="13"/>
        <v>1.3347598891408414</v>
      </c>
      <c r="AB62" s="12">
        <f t="shared" ca="1" si="14"/>
        <v>-0.44237148573683049</v>
      </c>
      <c r="AC62" s="33">
        <f ca="1">IF(Y62&lt;Bewertung_Stammdaten!L$11,Bewertung_Stammdaten!K$11,IF(Y62&lt;Bewertung_Stammdaten!L$12,Bewertung_Stammdaten!K$12,IF(Y62&lt;Bewertung_Stammdaten!L$13,Bewertung_Stammdaten!K$13,IF(Y62&lt;Bewertung_Stammdaten!L$14,Bewertung_Stammdaten!K$14,IF(Y62&lt;Bewertung_Stammdaten!L$15,Bewertung_Stammdaten!K$15,IF(Y62&lt;Bewertung_Stammdaten!L$16,Bewertung_Stammdaten!K$16,IF(Y62&lt;Bewertung_Stammdaten!L$17,Bewertung_Stammdaten!K$17,IF(Y62&lt;Bewertung_Stammdaten!L$18,Bewertung_Stammdaten!K$18,IF(Y62&lt;Bewertung_Stammdaten!L$19,Bewertung_Stammdaten!K$19,Bewertung_Stammdaten!K$20)))))))))</f>
        <v>6</v>
      </c>
      <c r="AD62" s="33">
        <f>IF(Z62&lt;Bewertung_Stammdaten!R$11,Bewertung_Stammdaten!Q$11,IF(Z62&lt;Bewertung_Stammdaten!R$12,Bewertung_Stammdaten!Q$12,IF(Z62&lt;Bewertung_Stammdaten!R$13,Bewertung_Stammdaten!Q$13,IF(Z62&lt;Bewertung_Stammdaten!R$14,Bewertung_Stammdaten!Q$14,IF(Z62&lt;Bewertung_Stammdaten!R$15,Bewertung_Stammdaten!Q$15,IF(Z62&lt;Bewertung_Stammdaten!R$16,Bewertung_Stammdaten!Q$16,IF(Z62&lt;Bewertung_Stammdaten!R$17,Bewertung_Stammdaten!Q$17,IF(Z62&lt;Bewertung_Stammdaten!R$18,Bewertung_Stammdaten!Q$18,IF(Z62&lt;Bewertung_Stammdaten!R$19,Bewertung_Stammdaten!Q$19,Bewertung_Stammdaten!Q$20)))))))))</f>
        <v>3</v>
      </c>
      <c r="AE62" s="33">
        <f ca="1">IF(AB62&lt;Bewertung_Stammdaten!P$11,Bewertung_Stammdaten!O$11,IF(AB62&lt;Bewertung_Stammdaten!P$12,Bewertung_Stammdaten!O$12,IF(AB62&lt;Bewertung_Stammdaten!P$13,Bewertung_Stammdaten!O$13,IF(AB62&lt;Bewertung_Stammdaten!P$14,Bewertung_Stammdaten!O$14,IF(AB62&lt;Bewertung_Stammdaten!P$15,Bewertung_Stammdaten!O$15,IF(AB62&lt;Bewertung_Stammdaten!P$16,Bewertung_Stammdaten!O$16,IF(AB62&lt;Bewertung_Stammdaten!P$17,Bewertung_Stammdaten!O$17,IF(AB62&lt;Bewertung_Stammdaten!P$18,Bewertung_Stammdaten!O$18,IF(AB62&lt;Bewertung_Stammdaten!P$19,Bewertung_Stammdaten!O$19,Bewertung_Stammdaten!O$20)))))))))</f>
        <v>1</v>
      </c>
      <c r="AF62" s="44"/>
      <c r="AG62" s="14">
        <f ca="1">VLOOKUP(A62,Dividende_je_Aktie!A3:AM68,24,FALSE)</f>
        <v>1.2962222222222222</v>
      </c>
      <c r="AH62" s="14">
        <f>VLOOKUP(A62,Dividende_je_Aktie!A3:AM68,20,FALSE)</f>
        <v>1.1527272727272726</v>
      </c>
      <c r="AI62" s="12">
        <f ca="1">VLOOKUP(A62,Dividende_je_Aktie!A3:AM68,25,FALSE)</f>
        <v>0.12448300035050841</v>
      </c>
      <c r="AJ62" s="41">
        <f>VLOOKUP(A62,Dividende_je_Aktie!A3:AM68,39,FALSE)</f>
        <v>-5.8823529411764719E-2</v>
      </c>
      <c r="AK62" s="16">
        <f t="shared" ca="1" si="6"/>
        <v>1.2199738562091502</v>
      </c>
      <c r="AL62" s="12">
        <f t="shared" ca="1" si="7"/>
        <v>5.8336941506360818E-2</v>
      </c>
      <c r="AM62" s="33">
        <f ca="1">IF(AI62&lt;Bewertung_Stammdaten!P$24,Bewertung_Stammdaten!O$24,IF(AI62&lt;Bewertung_Stammdaten!P$25,Bewertung_Stammdaten!O$25,IF(AI62&lt;Bewertung_Stammdaten!P$26,Bewertung_Stammdaten!O$26,IF(AI62&lt;Bewertung_Stammdaten!P$27,Bewertung_Stammdaten!O$27,IF(AI62&lt;Bewertung_Stammdaten!P$28,Bewertung_Stammdaten!O$28,IF(AI62&lt;Bewertung_Stammdaten!P$29,Bewertung_Stammdaten!O$29,IF(AI62&lt;Bewertung_Stammdaten!P$30,Bewertung_Stammdaten!O$30,IF(AI62&lt;Bewertung_Stammdaten!P$31,Bewertung_Stammdaten!O$31,IF(AI62&lt;Bewertung_Stammdaten!P$32,Bewertung_Stammdaten!O$32,Bewertung_Stammdaten!O$33)))))))))</f>
        <v>8</v>
      </c>
      <c r="AN62" s="33">
        <f>IF(AJ62&lt;Bewertung_Stammdaten!R$24,Bewertung_Stammdaten!Q$24,IF(AJ62&lt;Bewertung_Stammdaten!R$25,Bewertung_Stammdaten!Q$25,IF(AJ62&lt;Bewertung_Stammdaten!R$26,Bewertung_Stammdaten!Q$26,IF(AJ62&lt;Bewertung_Stammdaten!R$27,Bewertung_Stammdaten!Q$27,IF(AJ62&lt;Bewertung_Stammdaten!R$28,Bewertung_Stammdaten!Q$28,IF(AJ62&lt;Bewertung_Stammdaten!R$29,Bewertung_Stammdaten!Q$29,IF(AJ62&lt;Bewertung_Stammdaten!R$30,Bewertung_Stammdaten!Q$30,IF(AJ62&lt;Bewertung_Stammdaten!R$31,Bewertung_Stammdaten!Q$31,IF(AJ62&lt;Bewertung_Stammdaten!R$32,Bewertung_Stammdaten!Q$32,Bewertung_Stammdaten!Q$33)))))))))</f>
        <v>7</v>
      </c>
      <c r="AO62" s="33">
        <f ca="1">IF(AL62&lt;Bewertung_Stammdaten!T$24,Bewertung_Stammdaten!S$24,IF(AL62&lt;Bewertung_Stammdaten!T$25,Bewertung_Stammdaten!S$25,IF(AL62&lt;Bewertung_Stammdaten!T$26,Bewertung_Stammdaten!S$26,IF(AL62&lt;Bewertung_Stammdaten!T$27,Bewertung_Stammdaten!S$27,IF(AL62&lt;Bewertung_Stammdaten!T$28,Bewertung_Stammdaten!S$28,IF(AL62&lt;Bewertung_Stammdaten!T$29,Bewertung_Stammdaten!S$29,IF(AL62&lt;Bewertung_Stammdaten!T$30,Bewertung_Stammdaten!S$30,IF(AL62&lt;Bewertung_Stammdaten!T$31,Bewertung_Stammdaten!S$31,IF(AL62&lt;Bewertung_Stammdaten!T$32,Bewertung_Stammdaten!S$32,Bewertung_Stammdaten!S$33)))))))))</f>
        <v>5</v>
      </c>
      <c r="AP62" s="44"/>
      <c r="AQ62" s="12">
        <f ca="1">VLOOKUP(A62,Dividendenrendite!A3:R68,17,FALSE)</f>
        <v>2.2195585996955858E-2</v>
      </c>
      <c r="AR62" s="12">
        <f>VLOOKUP(A62,Dividendenrendite!A3:R68,16,FALSE)</f>
        <v>2.1793822928947305E-2</v>
      </c>
      <c r="AS62" s="12">
        <f ca="1">VLOOKUP(A62,Dividendenrendite!A3:R68,18,FALSE)</f>
        <v>1.8434722045709506E-2</v>
      </c>
      <c r="AT62" s="33">
        <f ca="1">IF(AQ62&lt;Bewertung_Stammdaten!D$11,Bewertung_Stammdaten!C$11,IF(AQ62&lt;Bewertung_Stammdaten!D$12,Bewertung_Stammdaten!C$12,IF(AQ62&lt;Bewertung_Stammdaten!D$13,Bewertung_Stammdaten!C$13,IF(AQ62&lt;Bewertung_Stammdaten!D$14,Bewertung_Stammdaten!C$14,IF(AQ62&lt;Bewertung_Stammdaten!D$15,Bewertung_Stammdaten!C$15,IF(AQ62&lt;Bewertung_Stammdaten!D$16,Bewertung_Stammdaten!C$16,IF(AQ62&lt;Bewertung_Stammdaten!D$17,Bewertung_Stammdaten!C$17,IF(AQ62&lt;Bewertung_Stammdaten!D$18,Bewertung_Stammdaten!C$18,IF(AQ62&lt;Bewertung_Stammdaten!D$19,Bewertung_Stammdaten!C$19,Bewertung_Stammdaten!C$20)))))))))</f>
        <v>7.5</v>
      </c>
      <c r="AU62" s="33">
        <f>IF(AR62&lt;Bewertung_Stammdaten!T$11,Bewertung_Stammdaten!S$11,IF(AR62&lt;Bewertung_Stammdaten!T$12,Bewertung_Stammdaten!S$12,IF(AR62&lt;Bewertung_Stammdaten!T$13,Bewertung_Stammdaten!S$13,IF(AR62&lt;Bewertung_Stammdaten!T$14,Bewertung_Stammdaten!S$14,IF(AR62&lt;Bewertung_Stammdaten!T$15,Bewertung_Stammdaten!S$15,IF(AR62&lt;Bewertung_Stammdaten!T$16,Bewertung_Stammdaten!S$16,IF(AR62&lt;Bewertung_Stammdaten!T$17,Bewertung_Stammdaten!S$17,IF(AR62&lt;Bewertung_Stammdaten!T$18,Bewertung_Stammdaten!S$18,IF(AR62&lt;Bewertung_Stammdaten!T$19,Bewertung_Stammdaten!S$19,Bewertung_Stammdaten!S$20)))))))))</f>
        <v>5</v>
      </c>
      <c r="AV62" s="33">
        <f ca="1">IF(AS62&lt;Bewertung_Stammdaten!F$11,Bewertung_Stammdaten!E$11,IF(AS62&lt;Bewertung_Stammdaten!F$12,Bewertung_Stammdaten!E$12,IF(AS62&lt;Bewertung_Stammdaten!F$13,Bewertung_Stammdaten!E$13,IF(AS62&lt;Bewertung_Stammdaten!F$14,Bewertung_Stammdaten!E$14,IF(AS62&lt;Bewertung_Stammdaten!F$15,Bewertung_Stammdaten!E$15,IF(AS62&lt;Bewertung_Stammdaten!F$16,Bewertung_Stammdaten!E$16,IF(AS62&lt;Bewertung_Stammdaten!F$17,Bewertung_Stammdaten!E$17,IF(AS62&lt;Bewertung_Stammdaten!F$18,Bewertung_Stammdaten!E$18,IF(AS62&lt;Bewertung_Stammdaten!F$19,Bewertung_Stammdaten!E$19,Bewertung_Stammdaten!E$20)))))))))</f>
        <v>3</v>
      </c>
      <c r="AW62" s="44"/>
      <c r="AX62" s="12">
        <f>VLOOKUP(A62,Aktien_im_Umlauf_splitbereinigt!A3:Z68,26,FALSE)</f>
        <v>0</v>
      </c>
      <c r="AY62" s="12">
        <f>VLOOKUP(A62,Aktien_im_Umlauf_splitbereinigt!A3:Y68,24,FALSE)</f>
        <v>2.7688359974270072E-3</v>
      </c>
      <c r="AZ62" s="12">
        <f>VLOOKUP(A62,Aktien_im_Umlauf_splitbereinigt!A3:Y68,25,FALSE)</f>
        <v>-99.999989999999997</v>
      </c>
      <c r="BA62" s="42">
        <f>IF(AX62&lt;Bewertung_Stammdaten!J$24,Bewertung_Stammdaten!I$24,IF(AX62&lt;Bewertung_Stammdaten!J$25,Bewertung_Stammdaten!I$25,IF(AX62&lt;Bewertung_Stammdaten!J$26,Bewertung_Stammdaten!I$26,IF(AX62&lt;Bewertung_Stammdaten!J$27,Bewertung_Stammdaten!I$27,IF(AX62&lt;Bewertung_Stammdaten!J$28,Bewertung_Stammdaten!I$28,IF(AX62&lt;Bewertung_Stammdaten!J$29,Bewertung_Stammdaten!I$29,IF(AX62&lt;Bewertung_Stammdaten!J$30,Bewertung_Stammdaten!I$30,IF(AX62&lt;Bewertung_Stammdaten!J$31,Bewertung_Stammdaten!I$31,IF(AX62&lt;Bewertung_Stammdaten!J$32,Bewertung_Stammdaten!I$32,Bewertung_Stammdaten!I$33)))))))))</f>
        <v>2</v>
      </c>
      <c r="BB62" s="42">
        <f>IF(AY62&lt;Bewertung_Stammdaten!L$24,Bewertung_Stammdaten!K$24,IF(AY62&lt;Bewertung_Stammdaten!L$25,Bewertung_Stammdaten!K$25,IF(AY62&lt;Bewertung_Stammdaten!L$26,Bewertung_Stammdaten!K$26,IF(AY62&lt;Bewertung_Stammdaten!L$27,Bewertung_Stammdaten!K$27,IF(AY62&lt;Bewertung_Stammdaten!L$28,Bewertung_Stammdaten!K$28,IF(AY62&lt;Bewertung_Stammdaten!L$29,Bewertung_Stammdaten!K$29,IF(AY62&lt;Bewertung_Stammdaten!L$30,Bewertung_Stammdaten!K$30,IF(AY62&lt;Bewertung_Stammdaten!L$31,Bewertung_Stammdaten!K$31,IF(AY62&lt;Bewertung_Stammdaten!L$32,Bewertung_Stammdaten!K$32,Bewertung_Stammdaten!K$33)))))))))</f>
        <v>2</v>
      </c>
      <c r="BC62" s="42">
        <f>IF(AZ62&lt;Bewertung_Stammdaten!N$24,Bewertung_Stammdaten!M$24,IF(AZ62&lt;Bewertung_Stammdaten!N$25,Bewertung_Stammdaten!M$25,IF(AZ62&lt;Bewertung_Stammdaten!N$26,Bewertung_Stammdaten!M$26,IF(AZ62&lt;Bewertung_Stammdaten!N$27,Bewertung_Stammdaten!M$27,IF(AZ62&lt;Bewertung_Stammdaten!N$28,Bewertung_Stammdaten!M$28,IF(AZ62&lt;Bewertung_Stammdaten!N$29,Bewertung_Stammdaten!M$29,IF(AZ62&lt;Bewertung_Stammdaten!N$30,Bewertung_Stammdaten!M$30,IF(AZ62&lt;Bewertung_Stammdaten!N$31,Bewertung_Stammdaten!M$31,IF(AZ62&lt;Bewertung_Stammdaten!N$32,Bewertung_Stammdaten!M$32,Bewertung_Stammdaten!M$33)))))))))</f>
        <v>0.5</v>
      </c>
      <c r="BD62" s="44"/>
      <c r="BE62" s="12">
        <f ca="1">VLOOKUP(A62,Ausschüttungsquote!A3:X68,23,FALSE)</f>
        <v>0.5307274596229502</v>
      </c>
      <c r="BF62" s="12">
        <f>VLOOKUP(A62,Ausschüttungsquote!A3:X68,19,FALSE)</f>
        <v>0.48832110553584462</v>
      </c>
      <c r="BG62" s="12">
        <f ca="1">VLOOKUP(A62,Ausschüttungsquote!A3:X68,24,FALSE)</f>
        <v>8.6841124838485495E-2</v>
      </c>
      <c r="BH62" s="33">
        <f ca="1">IF(BE62&lt;Bewertung_Stammdaten!H$11,Bewertung_Stammdaten!G$11,IF(BE62&lt;Bewertung_Stammdaten!H$12,Bewertung_Stammdaten!G$12,IF(BE62&lt;Bewertung_Stammdaten!H$13,Bewertung_Stammdaten!G$13,IF(BE62&lt;Bewertung_Stammdaten!H$14,Bewertung_Stammdaten!G$14,IF(BE62&lt;Bewertung_Stammdaten!H$15,Bewertung_Stammdaten!G$15,IF(BE62&lt;Bewertung_Stammdaten!H$16,Bewertung_Stammdaten!G$16,IF(BE62&lt;Bewertung_Stammdaten!H$17,Bewertung_Stammdaten!G$17,IF(BE62&lt;Bewertung_Stammdaten!H$18,Bewertung_Stammdaten!G$18,IF(BE62&lt;Bewertung_Stammdaten!H$19,Bewertung_Stammdaten!G$19,Bewertung_Stammdaten!G$20)))))))))</f>
        <v>7</v>
      </c>
      <c r="BI62" s="42">
        <f>IF(BF62&lt;Bewertung_Stammdaten!B$24,Bewertung_Stammdaten!A$24,IF(BF62&lt;Bewertung_Stammdaten!B$25,Bewertung_Stammdaten!A$25,IF(BF62&lt;Bewertung_Stammdaten!B$26,Bewertung_Stammdaten!A$26,IF(BF62&lt;Bewertung_Stammdaten!B$27,Bewertung_Stammdaten!A$27,IF(BF62&lt;Bewertung_Stammdaten!B$28,Bewertung_Stammdaten!A$28,IF(BF62&lt;Bewertung_Stammdaten!B$29,Bewertung_Stammdaten!A$29,IF(BF62&lt;Bewertung_Stammdaten!B$30,Bewertung_Stammdaten!A$30,IF(BF62&lt;Bewertung_Stammdaten!B$31,Bewertung_Stammdaten!A$31,IF(BF62&lt;Bewertung_Stammdaten!B$32,Bewertung_Stammdaten!A$32,Bewertung_Stammdaten!A$33)))))))))</f>
        <v>8</v>
      </c>
      <c r="BJ62" s="33">
        <f ca="1">IF(BG62&lt;Bewertung_Stammdaten!J$11,Bewertung_Stammdaten!I$11,IF(BG62&lt;Bewertung_Stammdaten!J$12,Bewertung_Stammdaten!I$12,IF(BG62&lt;Bewertung_Stammdaten!J$13,Bewertung_Stammdaten!I$13,IF(BG62&lt;Bewertung_Stammdaten!J$14,Bewertung_Stammdaten!I$14,IF(BG62&lt;Bewertung_Stammdaten!J$15,Bewertung_Stammdaten!I$15,IF(BG62&lt;Bewertung_Stammdaten!J$16,Bewertung_Stammdaten!I$16,IF(BG62&lt;Bewertung_Stammdaten!J$17,Bewertung_Stammdaten!I$17,IF(BG62&lt;Bewertung_Stammdaten!J$18,Bewertung_Stammdaten!I$18,IF(BG62&lt;Bewertung_Stammdaten!J$19,Bewertung_Stammdaten!I$19,Bewertung_Stammdaten!I$20)))))))))</f>
        <v>4</v>
      </c>
    </row>
    <row r="63" spans="1:62" x14ac:dyDescent="0.25">
      <c r="A63" s="39" t="s">
        <v>121</v>
      </c>
      <c r="B63" s="39" t="s">
        <v>122</v>
      </c>
      <c r="C63" s="33">
        <f t="shared" ca="1" si="8"/>
        <v>119.5</v>
      </c>
      <c r="D63" s="44"/>
      <c r="E63" s="11">
        <f ca="1">VLOOKUP(A63,KGV!A3:R68,17,FALSE)</f>
        <v>18.065738335644397</v>
      </c>
      <c r="F63" s="11">
        <f>VLOOKUP(A63,KGV!A3:R68,16,FALSE)</f>
        <v>14.99609375</v>
      </c>
      <c r="G63" s="12">
        <f ca="1">VLOOKUP(A63,KGV!A3:R68,18,FALSE)</f>
        <v>0.20469627869887108</v>
      </c>
      <c r="H63" s="16">
        <f t="shared" ca="1" si="9"/>
        <v>20.599347980277454</v>
      </c>
      <c r="I63" s="12">
        <f t="shared" ca="1" si="10"/>
        <v>0.37364758607737114</v>
      </c>
      <c r="J63" s="33">
        <f ca="1">IF(G63&lt;Bewertung_Stammdaten!B$11,Bewertung_Stammdaten!A$11,IF(G63&lt;Bewertung_Stammdaten!B$12,Bewertung_Stammdaten!A$12,IF(G63&lt;Bewertung_Stammdaten!B$13,Bewertung_Stammdaten!A$13,IF(G63&lt;Bewertung_Stammdaten!B$14,Bewertung_Stammdaten!A$14,IF(G63&lt;Bewertung_Stammdaten!B$15,Bewertung_Stammdaten!A$15,IF(G63&lt;Bewertung_Stammdaten!B$16,Bewertung_Stammdaten!A$16,IF(G63&lt;Bewertung_Stammdaten!B$17,Bewertung_Stammdaten!A$17,IF(G63&lt;Bewertung_Stammdaten!B$18,Bewertung_Stammdaten!A$18,IF(G63&lt;Bewertung_Stammdaten!B$19,Bewertung_Stammdaten!A$19,Bewertung_Stammdaten!A$20)))))))))</f>
        <v>6</v>
      </c>
      <c r="K63" s="33">
        <f ca="1">IF(I63&lt;Bewertung_Stammdaten!N$11,Bewertung_Stammdaten!M$11,IF(I63&lt;Bewertung_Stammdaten!N$12,Bewertung_Stammdaten!M$12,IF(I63&lt;Bewertung_Stammdaten!N$13,Bewertung_Stammdaten!M$13,IF(I63&lt;Bewertung_Stammdaten!N$14,Bewertung_Stammdaten!M$14,IF(I63&lt;Bewertung_Stammdaten!N$15,Bewertung_Stammdaten!M$15,IF(I63&lt;Bewertung_Stammdaten!N$16,Bewertung_Stammdaten!M$16,IF(I63&lt;Bewertung_Stammdaten!N$17,Bewertung_Stammdaten!M$17,IF(I63&lt;Bewertung_Stammdaten!N$18,Bewertung_Stammdaten!M$18,IF(I63&lt;Bewertung_Stammdaten!N$19,Bewertung_Stammdaten!M$19,Bewertung_Stammdaten!M$20)))))))))</f>
        <v>3</v>
      </c>
      <c r="L63" s="44"/>
      <c r="M63" s="11">
        <f ca="1">VLOOKUP(A63,Buchwert_je_Aktie!A3:AK68,23,FALSE)</f>
        <v>2.3188888888888886</v>
      </c>
      <c r="N63" s="11">
        <f>VLOOKUP(A63,Buchwert_je_Aktie!A3:AK68,19,FALSE)</f>
        <v>1.9344444444444444</v>
      </c>
      <c r="O63" s="12">
        <f ca="1">VLOOKUP(A63,Buchwert_je_Aktie!A3:AK68,24,FALSE)</f>
        <v>0.19873635841470394</v>
      </c>
      <c r="P63" s="12">
        <f>VLOOKUP(A63,Buchwert_je_Aktie!A3:AK68,37,FALSE)</f>
        <v>-0.27710843373493976</v>
      </c>
      <c r="Q63" s="16">
        <f t="shared" ca="1" si="11"/>
        <v>1.6763052208835338</v>
      </c>
      <c r="R63" s="12">
        <f t="shared" ca="1" si="12"/>
        <v>-0.13344359632671998</v>
      </c>
      <c r="S63" s="53">
        <f ca="1">IF(O63&lt;Bewertung_Stammdaten!D$24,Bewertung_Stammdaten!C$24,IF(O63&lt;Bewertung_Stammdaten!D$25,Bewertung_Stammdaten!C$25,IF(O63&lt;Bewertung_Stammdaten!D$26,Bewertung_Stammdaten!C$26,IF(O63&lt;Bewertung_Stammdaten!D$27,Bewertung_Stammdaten!C$27,IF(O63&lt;Bewertung_Stammdaten!D$28,Bewertung_Stammdaten!C$28,IF(O63&lt;Bewertung_Stammdaten!D$29,Bewertung_Stammdaten!C$29,IF(O63&lt;Bewertung_Stammdaten!D$30,Bewertung_Stammdaten!C$30,IF(O63&lt;Bewertung_Stammdaten!D$31,Bewertung_Stammdaten!C$31,IF(O63&lt;Bewertung_Stammdaten!D$32,Bewertung_Stammdaten!C$32,Bewertung_Stammdaten!C$33)))))))))</f>
        <v>6</v>
      </c>
      <c r="T63" s="53">
        <f>IF(P63&lt;Bewertung_Stammdaten!F$24,Bewertung_Stammdaten!E$24,IF(P63&lt;Bewertung_Stammdaten!F$25,Bewertung_Stammdaten!E$25,IF(P63&lt;Bewertung_Stammdaten!F$26,Bewertung_Stammdaten!E$26,IF(P63&lt;Bewertung_Stammdaten!F$27,Bewertung_Stammdaten!E$27,IF(P63&lt;Bewertung_Stammdaten!F$28,Bewertung_Stammdaten!E$28,IF(P63&lt;Bewertung_Stammdaten!F$29,Bewertung_Stammdaten!E$29,IF(P63&lt;Bewertung_Stammdaten!F$30,Bewertung_Stammdaten!E$30,IF(P63&lt;Bewertung_Stammdaten!F$31,Bewertung_Stammdaten!E$31,IF(P63&lt;Bewertung_Stammdaten!F$32,Bewertung_Stammdaten!E$32,Bewertung_Stammdaten!E$33)))))))))</f>
        <v>3</v>
      </c>
      <c r="U63" s="53">
        <f ca="1">IF(R63&lt;Bewertung_Stammdaten!H$24,Bewertung_Stammdaten!G$24,IF(R63&lt;Bewertung_Stammdaten!H$25,Bewertung_Stammdaten!G$25,IF(R63&lt;Bewertung_Stammdaten!H$26,Bewertung_Stammdaten!G$26,IF(R63&lt;Bewertung_Stammdaten!H$27,Bewertung_Stammdaten!G$27,IF(R63&lt;Bewertung_Stammdaten!H$28,Bewertung_Stammdaten!G$28,IF(R63&lt;Bewertung_Stammdaten!H$29,Bewertung_Stammdaten!G$29,IF(R63&lt;Bewertung_Stammdaten!H$30,Bewertung_Stammdaten!G$30,IF(R63&lt;Bewertung_Stammdaten!H$31,Bewertung_Stammdaten!G$31,IF(R63&lt;Bewertung_Stammdaten!H$32,Bewertung_Stammdaten!G$32,Bewertung_Stammdaten!G$33)))))))))</f>
        <v>1</v>
      </c>
      <c r="V63" s="44"/>
      <c r="W63" s="14">
        <f ca="1">VLOOKUP(A63,Ergebnis_je_Aktie_verwässert!A3:AK68,23,FALSE)</f>
        <v>2.844611111111111</v>
      </c>
      <c r="X63" s="14">
        <f>VLOOKUP(A63,Ergebnis_je_Aktie_verwässert!A3:AK68,19,FALSE)</f>
        <v>2.0515384615384615</v>
      </c>
      <c r="Y63" s="12">
        <f ca="1">VLOOKUP(A63,Ergebnis_je_Aktie_verwässert!A3:AK68,24,FALSE)</f>
        <v>0.38657459484231138</v>
      </c>
      <c r="Z63" s="41">
        <f>VLOOKUP(A63,Ergebnis_je_Aktie_verwässert!A3:AK68,37,FALSE)</f>
        <v>-0.12299465240641716</v>
      </c>
      <c r="AA63" s="16">
        <f t="shared" ca="1" si="13"/>
        <v>2.4947391562685679</v>
      </c>
      <c r="AB63" s="12">
        <f t="shared" ca="1" si="14"/>
        <v>0.21603333451411255</v>
      </c>
      <c r="AC63" s="33">
        <f ca="1">IF(Y63&lt;Bewertung_Stammdaten!L$11,Bewertung_Stammdaten!K$11,IF(Y63&lt;Bewertung_Stammdaten!L$12,Bewertung_Stammdaten!K$12,IF(Y63&lt;Bewertung_Stammdaten!L$13,Bewertung_Stammdaten!K$13,IF(Y63&lt;Bewertung_Stammdaten!L$14,Bewertung_Stammdaten!K$14,IF(Y63&lt;Bewertung_Stammdaten!L$15,Bewertung_Stammdaten!K$15,IF(Y63&lt;Bewertung_Stammdaten!L$16,Bewertung_Stammdaten!K$16,IF(Y63&lt;Bewertung_Stammdaten!L$17,Bewertung_Stammdaten!K$17,IF(Y63&lt;Bewertung_Stammdaten!L$18,Bewertung_Stammdaten!K$18,IF(Y63&lt;Bewertung_Stammdaten!L$19,Bewertung_Stammdaten!K$19,Bewertung_Stammdaten!K$20)))))))))</f>
        <v>12</v>
      </c>
      <c r="AD63" s="33">
        <f>IF(Z63&lt;Bewertung_Stammdaten!R$11,Bewertung_Stammdaten!Q$11,IF(Z63&lt;Bewertung_Stammdaten!R$12,Bewertung_Stammdaten!Q$12,IF(Z63&lt;Bewertung_Stammdaten!R$13,Bewertung_Stammdaten!Q$13,IF(Z63&lt;Bewertung_Stammdaten!R$14,Bewertung_Stammdaten!Q$14,IF(Z63&lt;Bewertung_Stammdaten!R$15,Bewertung_Stammdaten!Q$15,IF(Z63&lt;Bewertung_Stammdaten!R$16,Bewertung_Stammdaten!Q$16,IF(Z63&lt;Bewertung_Stammdaten!R$17,Bewertung_Stammdaten!Q$17,IF(Z63&lt;Bewertung_Stammdaten!R$18,Bewertung_Stammdaten!Q$18,IF(Z63&lt;Bewertung_Stammdaten!R$19,Bewertung_Stammdaten!Q$19,Bewertung_Stammdaten!Q$20)))))))))</f>
        <v>6</v>
      </c>
      <c r="AE63" s="33">
        <f ca="1">IF(AB63&lt;Bewertung_Stammdaten!P$11,Bewertung_Stammdaten!O$11,IF(AB63&lt;Bewertung_Stammdaten!P$12,Bewertung_Stammdaten!O$12,IF(AB63&lt;Bewertung_Stammdaten!P$13,Bewertung_Stammdaten!O$13,IF(AB63&lt;Bewertung_Stammdaten!P$14,Bewertung_Stammdaten!O$14,IF(AB63&lt;Bewertung_Stammdaten!P$15,Bewertung_Stammdaten!O$15,IF(AB63&lt;Bewertung_Stammdaten!P$16,Bewertung_Stammdaten!O$16,IF(AB63&lt;Bewertung_Stammdaten!P$17,Bewertung_Stammdaten!O$17,IF(AB63&lt;Bewertung_Stammdaten!P$18,Bewertung_Stammdaten!O$18,IF(AB63&lt;Bewertung_Stammdaten!P$19,Bewertung_Stammdaten!O$19,Bewertung_Stammdaten!O$20)))))))))</f>
        <v>6</v>
      </c>
      <c r="AF63" s="44"/>
      <c r="AG63" s="14">
        <f ca="1">VLOOKUP(A63,Dividende_je_Aktie!A3:AM68,24,FALSE)</f>
        <v>2.2124444444444449</v>
      </c>
      <c r="AH63" s="14">
        <f>VLOOKUP(A63,Dividende_je_Aktie!A3:AM68,20,FALSE)</f>
        <v>1.4963571428571427</v>
      </c>
      <c r="AI63" s="12">
        <f ca="1">VLOOKUP(A63,Dividende_je_Aktie!A3:AM68,25,FALSE)</f>
        <v>0.47855373632260401</v>
      </c>
      <c r="AJ63" s="41">
        <f>VLOOKUP(A63,Dividende_je_Aktie!A3:AM68,39,FALSE)</f>
        <v>-8.2794307891332575E-2</v>
      </c>
      <c r="AK63" s="16">
        <f t="shared" ca="1" si="6"/>
        <v>2.0292666379186435</v>
      </c>
      <c r="AL63" s="12">
        <f t="shared" ca="1" si="7"/>
        <v>0.35613790304363024</v>
      </c>
      <c r="AM63" s="33">
        <f ca="1">IF(AI63&lt;Bewertung_Stammdaten!P$24,Bewertung_Stammdaten!O$24,IF(AI63&lt;Bewertung_Stammdaten!P$25,Bewertung_Stammdaten!O$25,IF(AI63&lt;Bewertung_Stammdaten!P$26,Bewertung_Stammdaten!O$26,IF(AI63&lt;Bewertung_Stammdaten!P$27,Bewertung_Stammdaten!O$27,IF(AI63&lt;Bewertung_Stammdaten!P$28,Bewertung_Stammdaten!O$28,IF(AI63&lt;Bewertung_Stammdaten!P$29,Bewertung_Stammdaten!O$29,IF(AI63&lt;Bewertung_Stammdaten!P$30,Bewertung_Stammdaten!O$30,IF(AI63&lt;Bewertung_Stammdaten!P$31,Bewertung_Stammdaten!O$31,IF(AI63&lt;Bewertung_Stammdaten!P$32,Bewertung_Stammdaten!O$32,Bewertung_Stammdaten!O$33)))))))))</f>
        <v>14</v>
      </c>
      <c r="AN63" s="33">
        <f>IF(AJ63&lt;Bewertung_Stammdaten!R$24,Bewertung_Stammdaten!Q$24,IF(AJ63&lt;Bewertung_Stammdaten!R$25,Bewertung_Stammdaten!Q$25,IF(AJ63&lt;Bewertung_Stammdaten!R$26,Bewertung_Stammdaten!Q$26,IF(AJ63&lt;Bewertung_Stammdaten!R$27,Bewertung_Stammdaten!Q$27,IF(AJ63&lt;Bewertung_Stammdaten!R$28,Bewertung_Stammdaten!Q$28,IF(AJ63&lt;Bewertung_Stammdaten!R$29,Bewertung_Stammdaten!Q$29,IF(AJ63&lt;Bewertung_Stammdaten!R$30,Bewertung_Stammdaten!Q$30,IF(AJ63&lt;Bewertung_Stammdaten!R$31,Bewertung_Stammdaten!Q$31,IF(AJ63&lt;Bewertung_Stammdaten!R$32,Bewertung_Stammdaten!Q$32,Bewertung_Stammdaten!Q$33)))))))))</f>
        <v>7</v>
      </c>
      <c r="AO63" s="33">
        <f ca="1">IF(AL63&lt;Bewertung_Stammdaten!T$24,Bewertung_Stammdaten!S$24,IF(AL63&lt;Bewertung_Stammdaten!T$25,Bewertung_Stammdaten!S$25,IF(AL63&lt;Bewertung_Stammdaten!T$26,Bewertung_Stammdaten!S$26,IF(AL63&lt;Bewertung_Stammdaten!T$27,Bewertung_Stammdaten!S$27,IF(AL63&lt;Bewertung_Stammdaten!T$28,Bewertung_Stammdaten!S$28,IF(AL63&lt;Bewertung_Stammdaten!T$29,Bewertung_Stammdaten!S$29,IF(AL63&lt;Bewertung_Stammdaten!T$30,Bewertung_Stammdaten!S$30,IF(AL63&lt;Bewertung_Stammdaten!T$31,Bewertung_Stammdaten!S$31,IF(AL63&lt;Bewertung_Stammdaten!T$32,Bewertung_Stammdaten!S$32,Bewertung_Stammdaten!S$33)))))))))</f>
        <v>8</v>
      </c>
      <c r="AP63" s="44"/>
      <c r="AQ63" s="12">
        <f ca="1">VLOOKUP(A63,Dividendenrendite!A3:R68,17,FALSE)</f>
        <v>4.3052042118008269E-2</v>
      </c>
      <c r="AR63" s="12">
        <f>VLOOKUP(A63,Dividendenrendite!A3:R68,16,FALSE)</f>
        <v>5.2153684010019956E-2</v>
      </c>
      <c r="AS63" s="12">
        <f ca="1">VLOOKUP(A63,Dividendenrendite!A3:R68,18,FALSE)</f>
        <v>-0.17451580007776724</v>
      </c>
      <c r="AT63" s="33">
        <f ca="1">IF(AQ63&lt;Bewertung_Stammdaten!D$11,Bewertung_Stammdaten!C$11,IF(AQ63&lt;Bewertung_Stammdaten!D$12,Bewertung_Stammdaten!C$12,IF(AQ63&lt;Bewertung_Stammdaten!D$13,Bewertung_Stammdaten!C$13,IF(AQ63&lt;Bewertung_Stammdaten!D$14,Bewertung_Stammdaten!C$14,IF(AQ63&lt;Bewertung_Stammdaten!D$15,Bewertung_Stammdaten!C$15,IF(AQ63&lt;Bewertung_Stammdaten!D$16,Bewertung_Stammdaten!C$16,IF(AQ63&lt;Bewertung_Stammdaten!D$17,Bewertung_Stammdaten!C$17,IF(AQ63&lt;Bewertung_Stammdaten!D$18,Bewertung_Stammdaten!C$18,IF(AQ63&lt;Bewertung_Stammdaten!D$19,Bewertung_Stammdaten!C$19,Bewertung_Stammdaten!C$20)))))))))</f>
        <v>13.5</v>
      </c>
      <c r="AU63" s="33">
        <f>IF(AR63&lt;Bewertung_Stammdaten!T$11,Bewertung_Stammdaten!S$11,IF(AR63&lt;Bewertung_Stammdaten!T$12,Bewertung_Stammdaten!S$12,IF(AR63&lt;Bewertung_Stammdaten!T$13,Bewertung_Stammdaten!S$13,IF(AR63&lt;Bewertung_Stammdaten!T$14,Bewertung_Stammdaten!S$14,IF(AR63&lt;Bewertung_Stammdaten!T$15,Bewertung_Stammdaten!S$15,IF(AR63&lt;Bewertung_Stammdaten!T$16,Bewertung_Stammdaten!S$16,IF(AR63&lt;Bewertung_Stammdaten!T$17,Bewertung_Stammdaten!S$17,IF(AR63&lt;Bewertung_Stammdaten!T$18,Bewertung_Stammdaten!S$18,IF(AR63&lt;Bewertung_Stammdaten!T$19,Bewertung_Stammdaten!S$19,Bewertung_Stammdaten!S$20)))))))))</f>
        <v>10</v>
      </c>
      <c r="AV63" s="33">
        <f ca="1">IF(AS63&lt;Bewertung_Stammdaten!F$11,Bewertung_Stammdaten!E$11,IF(AS63&lt;Bewertung_Stammdaten!F$12,Bewertung_Stammdaten!E$12,IF(AS63&lt;Bewertung_Stammdaten!F$13,Bewertung_Stammdaten!E$13,IF(AS63&lt;Bewertung_Stammdaten!F$14,Bewertung_Stammdaten!E$14,IF(AS63&lt;Bewertung_Stammdaten!F$15,Bewertung_Stammdaten!E$15,IF(AS63&lt;Bewertung_Stammdaten!F$16,Bewertung_Stammdaten!E$16,IF(AS63&lt;Bewertung_Stammdaten!F$17,Bewertung_Stammdaten!E$17,IF(AS63&lt;Bewertung_Stammdaten!F$18,Bewertung_Stammdaten!E$18,IF(AS63&lt;Bewertung_Stammdaten!F$19,Bewertung_Stammdaten!E$19,Bewertung_Stammdaten!E$20)))))))))</f>
        <v>1</v>
      </c>
      <c r="AW63" s="44"/>
      <c r="AX63" s="12">
        <f>VLOOKUP(A63,Aktien_im_Umlauf_splitbereinigt!A3:Z68,26,FALSE)</f>
        <v>-1.0536879076768702E-2</v>
      </c>
      <c r="AY63" s="12">
        <f>VLOOKUP(A63,Aktien_im_Umlauf_splitbereinigt!A3:Y68,24,FALSE)</f>
        <v>-6.0486666152821016E-3</v>
      </c>
      <c r="AZ63" s="12">
        <f>VLOOKUP(A63,Aktien_im_Umlauf_splitbereinigt!A3:Y68,25,FALSE)</f>
        <v>0.74201683560258114</v>
      </c>
      <c r="BA63" s="42">
        <f>IF(AX63&lt;Bewertung_Stammdaten!J$24,Bewertung_Stammdaten!I$24,IF(AX63&lt;Bewertung_Stammdaten!J$25,Bewertung_Stammdaten!I$25,IF(AX63&lt;Bewertung_Stammdaten!J$26,Bewertung_Stammdaten!I$26,IF(AX63&lt;Bewertung_Stammdaten!J$27,Bewertung_Stammdaten!I$27,IF(AX63&lt;Bewertung_Stammdaten!J$28,Bewertung_Stammdaten!I$28,IF(AX63&lt;Bewertung_Stammdaten!J$29,Bewertung_Stammdaten!I$29,IF(AX63&lt;Bewertung_Stammdaten!J$30,Bewertung_Stammdaten!I$30,IF(AX63&lt;Bewertung_Stammdaten!J$31,Bewertung_Stammdaten!I$31,IF(AX63&lt;Bewertung_Stammdaten!J$32,Bewertung_Stammdaten!I$32,Bewertung_Stammdaten!I$33)))))))))</f>
        <v>5</v>
      </c>
      <c r="BB63" s="42">
        <f>IF(AY63&lt;Bewertung_Stammdaten!L$24,Bewertung_Stammdaten!K$24,IF(AY63&lt;Bewertung_Stammdaten!L$25,Bewertung_Stammdaten!K$25,IF(AY63&lt;Bewertung_Stammdaten!L$26,Bewertung_Stammdaten!K$26,IF(AY63&lt;Bewertung_Stammdaten!L$27,Bewertung_Stammdaten!K$27,IF(AY63&lt;Bewertung_Stammdaten!L$28,Bewertung_Stammdaten!K$28,IF(AY63&lt;Bewertung_Stammdaten!L$29,Bewertung_Stammdaten!K$29,IF(AY63&lt;Bewertung_Stammdaten!L$30,Bewertung_Stammdaten!K$30,IF(AY63&lt;Bewertung_Stammdaten!L$31,Bewertung_Stammdaten!K$31,IF(AY63&lt;Bewertung_Stammdaten!L$32,Bewertung_Stammdaten!K$32,Bewertung_Stammdaten!K$33)))))))))</f>
        <v>4</v>
      </c>
      <c r="BC63" s="42">
        <f>IF(AZ63&lt;Bewertung_Stammdaten!N$24,Bewertung_Stammdaten!M$24,IF(AZ63&lt;Bewertung_Stammdaten!N$25,Bewertung_Stammdaten!M$25,IF(AZ63&lt;Bewertung_Stammdaten!N$26,Bewertung_Stammdaten!M$26,IF(AZ63&lt;Bewertung_Stammdaten!N$27,Bewertung_Stammdaten!M$27,IF(AZ63&lt;Bewertung_Stammdaten!N$28,Bewertung_Stammdaten!M$28,IF(AZ63&lt;Bewertung_Stammdaten!N$29,Bewertung_Stammdaten!M$29,IF(AZ63&lt;Bewertung_Stammdaten!N$30,Bewertung_Stammdaten!M$30,IF(AZ63&lt;Bewertung_Stammdaten!N$31,Bewertung_Stammdaten!M$31,IF(AZ63&lt;Bewertung_Stammdaten!N$32,Bewertung_Stammdaten!M$32,Bewertung_Stammdaten!M$33)))))))))</f>
        <v>4</v>
      </c>
      <c r="BD63" s="44"/>
      <c r="BE63" s="12">
        <f ca="1">VLOOKUP(A63,Ausschüttungsquote!A3:X68,23,FALSE)</f>
        <v>0.77781364974245781</v>
      </c>
      <c r="BF63" s="12">
        <f>VLOOKUP(A63,Ausschüttungsquote!A3:X68,19,FALSE)</f>
        <v>0.74729039437689093</v>
      </c>
      <c r="BG63" s="12">
        <f ca="1">VLOOKUP(A63,Ausschüttungsquote!A3:X68,24,FALSE)</f>
        <v>4.0845239809375489E-2</v>
      </c>
      <c r="BH63" s="33">
        <f ca="1">IF(BE63&lt;Bewertung_Stammdaten!H$11,Bewertung_Stammdaten!G$11,IF(BE63&lt;Bewertung_Stammdaten!H$12,Bewertung_Stammdaten!G$12,IF(BE63&lt;Bewertung_Stammdaten!H$13,Bewertung_Stammdaten!G$13,IF(BE63&lt;Bewertung_Stammdaten!H$14,Bewertung_Stammdaten!G$14,IF(BE63&lt;Bewertung_Stammdaten!H$15,Bewertung_Stammdaten!G$15,IF(BE63&lt;Bewertung_Stammdaten!H$16,Bewertung_Stammdaten!G$16,IF(BE63&lt;Bewertung_Stammdaten!H$17,Bewertung_Stammdaten!G$17,IF(BE63&lt;Bewertung_Stammdaten!H$18,Bewertung_Stammdaten!G$18,IF(BE63&lt;Bewertung_Stammdaten!H$19,Bewertung_Stammdaten!G$19,Bewertung_Stammdaten!G$20)))))))))</f>
        <v>2</v>
      </c>
      <c r="BI63" s="42">
        <f>IF(BF63&lt;Bewertung_Stammdaten!B$24,Bewertung_Stammdaten!A$24,IF(BF63&lt;Bewertung_Stammdaten!B$25,Bewertung_Stammdaten!A$25,IF(BF63&lt;Bewertung_Stammdaten!B$26,Bewertung_Stammdaten!A$26,IF(BF63&lt;Bewertung_Stammdaten!B$27,Bewertung_Stammdaten!A$27,IF(BF63&lt;Bewertung_Stammdaten!B$28,Bewertung_Stammdaten!A$28,IF(BF63&lt;Bewertung_Stammdaten!B$29,Bewertung_Stammdaten!A$29,IF(BF63&lt;Bewertung_Stammdaten!B$30,Bewertung_Stammdaten!A$30,IF(BF63&lt;Bewertung_Stammdaten!B$31,Bewertung_Stammdaten!A$31,IF(BF63&lt;Bewertung_Stammdaten!B$32,Bewertung_Stammdaten!A$32,Bewertung_Stammdaten!A$33)))))))))</f>
        <v>3</v>
      </c>
      <c r="BJ63" s="33">
        <f ca="1">IF(BG63&lt;Bewertung_Stammdaten!J$11,Bewertung_Stammdaten!I$11,IF(BG63&lt;Bewertung_Stammdaten!J$12,Bewertung_Stammdaten!I$12,IF(BG63&lt;Bewertung_Stammdaten!J$13,Bewertung_Stammdaten!I$13,IF(BG63&lt;Bewertung_Stammdaten!J$14,Bewertung_Stammdaten!I$14,IF(BG63&lt;Bewertung_Stammdaten!J$15,Bewertung_Stammdaten!I$15,IF(BG63&lt;Bewertung_Stammdaten!J$16,Bewertung_Stammdaten!I$16,IF(BG63&lt;Bewertung_Stammdaten!J$17,Bewertung_Stammdaten!I$17,IF(BG63&lt;Bewertung_Stammdaten!J$18,Bewertung_Stammdaten!I$18,IF(BG63&lt;Bewertung_Stammdaten!J$19,Bewertung_Stammdaten!I$19,Bewertung_Stammdaten!I$20)))))))))</f>
        <v>5</v>
      </c>
    </row>
    <row r="64" spans="1:62" x14ac:dyDescent="0.25">
      <c r="A64" s="39" t="s">
        <v>123</v>
      </c>
      <c r="B64" s="39" t="s">
        <v>124</v>
      </c>
      <c r="C64" s="33">
        <f t="shared" ca="1" si="8"/>
        <v>94.5</v>
      </c>
      <c r="D64" s="44"/>
      <c r="E64" s="11">
        <f ca="1">VLOOKUP(A64,KGV!A3:R68,17,FALSE)</f>
        <v>10.925255186038852</v>
      </c>
      <c r="F64" s="11">
        <f>VLOOKUP(A64,KGV!A3:R68,16,FALSE)</f>
        <v>9.9819494584837543</v>
      </c>
      <c r="G64" s="12">
        <f ca="1">VLOOKUP(A64,KGV!A3:R68,18,FALSE)</f>
        <v>9.4501152453078552E-2</v>
      </c>
      <c r="H64" s="16">
        <f t="shared" ca="1" si="9"/>
        <v>99</v>
      </c>
      <c r="I64" s="12">
        <f t="shared" ca="1" si="10"/>
        <v>8.9179023508137441</v>
      </c>
      <c r="J64" s="33">
        <f ca="1">IF(G64&lt;Bewertung_Stammdaten!B$11,Bewertung_Stammdaten!A$11,IF(G64&lt;Bewertung_Stammdaten!B$12,Bewertung_Stammdaten!A$12,IF(G64&lt;Bewertung_Stammdaten!B$13,Bewertung_Stammdaten!A$13,IF(G64&lt;Bewertung_Stammdaten!B$14,Bewertung_Stammdaten!A$14,IF(G64&lt;Bewertung_Stammdaten!B$15,Bewertung_Stammdaten!A$15,IF(G64&lt;Bewertung_Stammdaten!B$16,Bewertung_Stammdaten!A$16,IF(G64&lt;Bewertung_Stammdaten!B$17,Bewertung_Stammdaten!A$17,IF(G64&lt;Bewertung_Stammdaten!B$18,Bewertung_Stammdaten!A$18,IF(G64&lt;Bewertung_Stammdaten!B$19,Bewertung_Stammdaten!A$19,Bewertung_Stammdaten!A$20)))))))))</f>
        <v>15</v>
      </c>
      <c r="K64" s="33">
        <f ca="1">IF(I64&lt;Bewertung_Stammdaten!N$11,Bewertung_Stammdaten!M$11,IF(I64&lt;Bewertung_Stammdaten!N$12,Bewertung_Stammdaten!M$12,IF(I64&lt;Bewertung_Stammdaten!N$13,Bewertung_Stammdaten!M$13,IF(I64&lt;Bewertung_Stammdaten!N$14,Bewertung_Stammdaten!M$14,IF(I64&lt;Bewertung_Stammdaten!N$15,Bewertung_Stammdaten!M$15,IF(I64&lt;Bewertung_Stammdaten!N$16,Bewertung_Stammdaten!M$16,IF(I64&lt;Bewertung_Stammdaten!N$17,Bewertung_Stammdaten!M$17,IF(I64&lt;Bewertung_Stammdaten!N$18,Bewertung_Stammdaten!M$18,IF(I64&lt;Bewertung_Stammdaten!N$19,Bewertung_Stammdaten!M$19,Bewertung_Stammdaten!M$20)))))))))</f>
        <v>1.5</v>
      </c>
      <c r="L64" s="44"/>
      <c r="M64" s="11">
        <f ca="1">VLOOKUP(A64,Buchwert_je_Aktie!A3:AK68,23,FALSE)</f>
        <v>84.538333333333341</v>
      </c>
      <c r="N64" s="11">
        <f>VLOOKUP(A64,Buchwert_je_Aktie!A3:AK68,19,FALSE)</f>
        <v>324.24538461538458</v>
      </c>
      <c r="O64" s="12">
        <f ca="1">VLOOKUP(A64,Buchwert_je_Aktie!A3:AK68,24,FALSE)</f>
        <v>-0.73927667950120068</v>
      </c>
      <c r="P64" s="12">
        <f>VLOOKUP(A64,Buchwert_je_Aktie!A3:AK68,37,FALSE)</f>
        <v>-0.90895860552036645</v>
      </c>
      <c r="Q64" s="16">
        <f t="shared" ca="1" si="11"/>
        <v>7.6964877536507554</v>
      </c>
      <c r="R64" s="12">
        <f t="shared" ca="1" si="12"/>
        <v>-0.97626338532842893</v>
      </c>
      <c r="S64" s="53">
        <f ca="1">IF(O64&lt;Bewertung_Stammdaten!D$24,Bewertung_Stammdaten!C$24,IF(O64&lt;Bewertung_Stammdaten!D$25,Bewertung_Stammdaten!C$25,IF(O64&lt;Bewertung_Stammdaten!D$26,Bewertung_Stammdaten!C$26,IF(O64&lt;Bewertung_Stammdaten!D$27,Bewertung_Stammdaten!C$27,IF(O64&lt;Bewertung_Stammdaten!D$28,Bewertung_Stammdaten!C$28,IF(O64&lt;Bewertung_Stammdaten!D$29,Bewertung_Stammdaten!C$29,IF(O64&lt;Bewertung_Stammdaten!D$30,Bewertung_Stammdaten!C$30,IF(O64&lt;Bewertung_Stammdaten!D$31,Bewertung_Stammdaten!C$31,IF(O64&lt;Bewertung_Stammdaten!D$32,Bewertung_Stammdaten!C$32,Bewertung_Stammdaten!C$33)))))))))</f>
        <v>1.5</v>
      </c>
      <c r="T64" s="53">
        <f>IF(P64&lt;Bewertung_Stammdaten!F$24,Bewertung_Stammdaten!E$24,IF(P64&lt;Bewertung_Stammdaten!F$25,Bewertung_Stammdaten!E$25,IF(P64&lt;Bewertung_Stammdaten!F$26,Bewertung_Stammdaten!E$26,IF(P64&lt;Bewertung_Stammdaten!F$27,Bewertung_Stammdaten!E$27,IF(P64&lt;Bewertung_Stammdaten!F$28,Bewertung_Stammdaten!E$28,IF(P64&lt;Bewertung_Stammdaten!F$29,Bewertung_Stammdaten!E$29,IF(P64&lt;Bewertung_Stammdaten!F$30,Bewertung_Stammdaten!E$30,IF(P64&lt;Bewertung_Stammdaten!F$31,Bewertung_Stammdaten!E$31,IF(P64&lt;Bewertung_Stammdaten!F$32,Bewertung_Stammdaten!E$32,Bewertung_Stammdaten!E$33)))))))))</f>
        <v>1.5</v>
      </c>
      <c r="U64" s="53">
        <f ca="1">IF(R64&lt;Bewertung_Stammdaten!H$24,Bewertung_Stammdaten!G$24,IF(R64&lt;Bewertung_Stammdaten!H$25,Bewertung_Stammdaten!G$25,IF(R64&lt;Bewertung_Stammdaten!H$26,Bewertung_Stammdaten!G$26,IF(R64&lt;Bewertung_Stammdaten!H$27,Bewertung_Stammdaten!G$27,IF(R64&lt;Bewertung_Stammdaten!H$28,Bewertung_Stammdaten!G$28,IF(R64&lt;Bewertung_Stammdaten!H$29,Bewertung_Stammdaten!G$29,IF(R64&lt;Bewertung_Stammdaten!H$30,Bewertung_Stammdaten!G$30,IF(R64&lt;Bewertung_Stammdaten!H$31,Bewertung_Stammdaten!G$31,IF(R64&lt;Bewertung_Stammdaten!H$32,Bewertung_Stammdaten!G$32,Bewertung_Stammdaten!G$33)))))))))</f>
        <v>1</v>
      </c>
      <c r="V64" s="44"/>
      <c r="W64" s="14">
        <f ca="1">VLOOKUP(A64,Ergebnis_je_Aktie_verwässert!A3:AK68,23,FALSE)</f>
        <v>5.0616666666666674</v>
      </c>
      <c r="X64" s="14">
        <f>VLOOKUP(A64,Ergebnis_je_Aktie_verwässert!A3:AK68,19,FALSE)</f>
        <v>-43.128461538461536</v>
      </c>
      <c r="Y64" s="12">
        <f ca="1">VLOOKUP(A64,Ergebnis_je_Aktie_verwässert!A3:AK68,24,FALSE)</f>
        <v>1.1173625602701529</v>
      </c>
      <c r="Z64" s="41">
        <f>VLOOKUP(A64,Ergebnis_je_Aktie_verwässert!A3:AK68,37,FALSE)</f>
        <v>-16.8326359832636</v>
      </c>
      <c r="AA64" s="16">
        <f t="shared" ca="1" si="13"/>
        <v>-80.139525801952601</v>
      </c>
      <c r="AB64" s="12">
        <f t="shared" si="14"/>
        <v>-99.999989999999997</v>
      </c>
      <c r="AC64" s="33">
        <f ca="1">IF(Y64&lt;Bewertung_Stammdaten!L$11,Bewertung_Stammdaten!K$11,IF(Y64&lt;Bewertung_Stammdaten!L$12,Bewertung_Stammdaten!K$12,IF(Y64&lt;Bewertung_Stammdaten!L$13,Bewertung_Stammdaten!K$13,IF(Y64&lt;Bewertung_Stammdaten!L$14,Bewertung_Stammdaten!K$14,IF(Y64&lt;Bewertung_Stammdaten!L$15,Bewertung_Stammdaten!K$15,IF(Y64&lt;Bewertung_Stammdaten!L$16,Bewertung_Stammdaten!K$16,IF(Y64&lt;Bewertung_Stammdaten!L$17,Bewertung_Stammdaten!K$17,IF(Y64&lt;Bewertung_Stammdaten!L$18,Bewertung_Stammdaten!K$18,IF(Y64&lt;Bewertung_Stammdaten!L$19,Bewertung_Stammdaten!K$19,Bewertung_Stammdaten!K$20)))))))))</f>
        <v>20</v>
      </c>
      <c r="AD64" s="33">
        <f>IF(Z64&lt;Bewertung_Stammdaten!R$11,Bewertung_Stammdaten!Q$11,IF(Z64&lt;Bewertung_Stammdaten!R$12,Bewertung_Stammdaten!Q$12,IF(Z64&lt;Bewertung_Stammdaten!R$13,Bewertung_Stammdaten!Q$13,IF(Z64&lt;Bewertung_Stammdaten!R$14,Bewertung_Stammdaten!Q$14,IF(Z64&lt;Bewertung_Stammdaten!R$15,Bewertung_Stammdaten!Q$15,IF(Z64&lt;Bewertung_Stammdaten!R$16,Bewertung_Stammdaten!Q$16,IF(Z64&lt;Bewertung_Stammdaten!R$17,Bewertung_Stammdaten!Q$17,IF(Z64&lt;Bewertung_Stammdaten!R$18,Bewertung_Stammdaten!Q$18,IF(Z64&lt;Bewertung_Stammdaten!R$19,Bewertung_Stammdaten!Q$19,Bewertung_Stammdaten!Q$20)))))))))</f>
        <v>1</v>
      </c>
      <c r="AE64" s="33">
        <f>IF(AB64&lt;Bewertung_Stammdaten!P$11,Bewertung_Stammdaten!O$11,IF(AB64&lt;Bewertung_Stammdaten!P$12,Bewertung_Stammdaten!O$12,IF(AB64&lt;Bewertung_Stammdaten!P$13,Bewertung_Stammdaten!O$13,IF(AB64&lt;Bewertung_Stammdaten!P$14,Bewertung_Stammdaten!O$14,IF(AB64&lt;Bewertung_Stammdaten!P$15,Bewertung_Stammdaten!O$15,IF(AB64&lt;Bewertung_Stammdaten!P$16,Bewertung_Stammdaten!O$16,IF(AB64&lt;Bewertung_Stammdaten!P$17,Bewertung_Stammdaten!O$17,IF(AB64&lt;Bewertung_Stammdaten!P$18,Bewertung_Stammdaten!O$18,IF(AB64&lt;Bewertung_Stammdaten!P$19,Bewertung_Stammdaten!O$19,Bewertung_Stammdaten!O$20)))))))))</f>
        <v>1</v>
      </c>
      <c r="AF64" s="44"/>
      <c r="AG64" s="14">
        <f ca="1">VLOOKUP(A64,Dividende_je_Aktie!A3:AM68,24,FALSE)</f>
        <v>0.63230555555555557</v>
      </c>
      <c r="AH64" s="14">
        <f>VLOOKUP(A64,Dividende_je_Aktie!A3:AM68,20,FALSE)</f>
        <v>4.1378571428571433</v>
      </c>
      <c r="AI64" s="12">
        <f ca="1">VLOOKUP(A64,Dividende_je_Aktie!A3:AM68,25,FALSE)</f>
        <v>-0.84719009532577627</v>
      </c>
      <c r="AJ64" s="41">
        <f>VLOOKUP(A64,Dividende_je_Aktie!A3:AM68,39,FALSE)</f>
        <v>-1</v>
      </c>
      <c r="AK64" s="16">
        <f t="shared" ca="1" si="6"/>
        <v>0</v>
      </c>
      <c r="AL64" s="12">
        <f t="shared" ca="1" si="7"/>
        <v>-1</v>
      </c>
      <c r="AM64" s="33">
        <f ca="1">IF(AI64&lt;Bewertung_Stammdaten!P$24,Bewertung_Stammdaten!O$24,IF(AI64&lt;Bewertung_Stammdaten!P$25,Bewertung_Stammdaten!O$25,IF(AI64&lt;Bewertung_Stammdaten!P$26,Bewertung_Stammdaten!O$26,IF(AI64&lt;Bewertung_Stammdaten!P$27,Bewertung_Stammdaten!O$27,IF(AI64&lt;Bewertung_Stammdaten!P$28,Bewertung_Stammdaten!O$28,IF(AI64&lt;Bewertung_Stammdaten!P$29,Bewertung_Stammdaten!O$29,IF(AI64&lt;Bewertung_Stammdaten!P$30,Bewertung_Stammdaten!O$30,IF(AI64&lt;Bewertung_Stammdaten!P$31,Bewertung_Stammdaten!O$31,IF(AI64&lt;Bewertung_Stammdaten!P$32,Bewertung_Stammdaten!O$32,Bewertung_Stammdaten!O$33)))))))))</f>
        <v>2</v>
      </c>
      <c r="AN64" s="33">
        <f>IF(AJ64&lt;Bewertung_Stammdaten!R$24,Bewertung_Stammdaten!Q$24,IF(AJ64&lt;Bewertung_Stammdaten!R$25,Bewertung_Stammdaten!Q$25,IF(AJ64&lt;Bewertung_Stammdaten!R$26,Bewertung_Stammdaten!Q$26,IF(AJ64&lt;Bewertung_Stammdaten!R$27,Bewertung_Stammdaten!Q$27,IF(AJ64&lt;Bewertung_Stammdaten!R$28,Bewertung_Stammdaten!Q$28,IF(AJ64&lt;Bewertung_Stammdaten!R$29,Bewertung_Stammdaten!Q$29,IF(AJ64&lt;Bewertung_Stammdaten!R$30,Bewertung_Stammdaten!Q$30,IF(AJ64&lt;Bewertung_Stammdaten!R$31,Bewertung_Stammdaten!Q$31,IF(AJ64&lt;Bewertung_Stammdaten!R$32,Bewertung_Stammdaten!Q$32,Bewertung_Stammdaten!Q$33)))))))))</f>
        <v>1</v>
      </c>
      <c r="AO64" s="33">
        <f ca="1">IF(AL64&lt;Bewertung_Stammdaten!T$24,Bewertung_Stammdaten!S$24,IF(AL64&lt;Bewertung_Stammdaten!T$25,Bewertung_Stammdaten!S$25,IF(AL64&lt;Bewertung_Stammdaten!T$26,Bewertung_Stammdaten!S$26,IF(AL64&lt;Bewertung_Stammdaten!T$27,Bewertung_Stammdaten!S$27,IF(AL64&lt;Bewertung_Stammdaten!T$28,Bewertung_Stammdaten!S$28,IF(AL64&lt;Bewertung_Stammdaten!T$29,Bewertung_Stammdaten!S$29,IF(AL64&lt;Bewertung_Stammdaten!T$30,Bewertung_Stammdaten!S$30,IF(AL64&lt;Bewertung_Stammdaten!T$31,Bewertung_Stammdaten!S$31,IF(AL64&lt;Bewertung_Stammdaten!T$32,Bewertung_Stammdaten!S$32,Bewertung_Stammdaten!S$33)))))))))</f>
        <v>1</v>
      </c>
      <c r="AP64" s="44"/>
      <c r="AQ64" s="12">
        <f ca="1">VLOOKUP(A64,Dividendenrendite!A3:R68,17,FALSE)</f>
        <v>1.1434096845489251E-2</v>
      </c>
      <c r="AR64" s="12">
        <f>VLOOKUP(A64,Dividendenrendite!A3:R68,16,FALSE)</f>
        <v>2.6167522002701702E-2</v>
      </c>
      <c r="AS64" s="12">
        <f ca="1">VLOOKUP(A64,Dividendenrendite!A3:R68,18,FALSE)</f>
        <v>-0.56304242930191395</v>
      </c>
      <c r="AT64" s="33">
        <f ca="1">IF(AQ64&lt;Bewertung_Stammdaten!D$11,Bewertung_Stammdaten!C$11,IF(AQ64&lt;Bewertung_Stammdaten!D$12,Bewertung_Stammdaten!C$12,IF(AQ64&lt;Bewertung_Stammdaten!D$13,Bewertung_Stammdaten!C$13,IF(AQ64&lt;Bewertung_Stammdaten!D$14,Bewertung_Stammdaten!C$14,IF(AQ64&lt;Bewertung_Stammdaten!D$15,Bewertung_Stammdaten!C$15,IF(AQ64&lt;Bewertung_Stammdaten!D$16,Bewertung_Stammdaten!C$16,IF(AQ64&lt;Bewertung_Stammdaten!D$17,Bewertung_Stammdaten!C$17,IF(AQ64&lt;Bewertung_Stammdaten!D$18,Bewertung_Stammdaten!C$18,IF(AQ64&lt;Bewertung_Stammdaten!D$19,Bewertung_Stammdaten!C$19,Bewertung_Stammdaten!C$20)))))))))</f>
        <v>4.5</v>
      </c>
      <c r="AU64" s="33">
        <f>IF(AR64&lt;Bewertung_Stammdaten!T$11,Bewertung_Stammdaten!S$11,IF(AR64&lt;Bewertung_Stammdaten!T$12,Bewertung_Stammdaten!S$12,IF(AR64&lt;Bewertung_Stammdaten!T$13,Bewertung_Stammdaten!S$13,IF(AR64&lt;Bewertung_Stammdaten!T$14,Bewertung_Stammdaten!S$14,IF(AR64&lt;Bewertung_Stammdaten!T$15,Bewertung_Stammdaten!S$15,IF(AR64&lt;Bewertung_Stammdaten!T$16,Bewertung_Stammdaten!S$16,IF(AR64&lt;Bewertung_Stammdaten!T$17,Bewertung_Stammdaten!S$17,IF(AR64&lt;Bewertung_Stammdaten!T$18,Bewertung_Stammdaten!S$18,IF(AR64&lt;Bewertung_Stammdaten!T$19,Bewertung_Stammdaten!S$19,Bewertung_Stammdaten!S$20)))))))))</f>
        <v>6</v>
      </c>
      <c r="AV64" s="33">
        <f ca="1">IF(AS64&lt;Bewertung_Stammdaten!F$11,Bewertung_Stammdaten!E$11,IF(AS64&lt;Bewertung_Stammdaten!F$12,Bewertung_Stammdaten!E$12,IF(AS64&lt;Bewertung_Stammdaten!F$13,Bewertung_Stammdaten!E$13,IF(AS64&lt;Bewertung_Stammdaten!F$14,Bewertung_Stammdaten!E$14,IF(AS64&lt;Bewertung_Stammdaten!F$15,Bewertung_Stammdaten!E$15,IF(AS64&lt;Bewertung_Stammdaten!F$16,Bewertung_Stammdaten!E$16,IF(AS64&lt;Bewertung_Stammdaten!F$17,Bewertung_Stammdaten!E$17,IF(AS64&lt;Bewertung_Stammdaten!F$18,Bewertung_Stammdaten!E$18,IF(AS64&lt;Bewertung_Stammdaten!F$19,Bewertung_Stammdaten!E$19,Bewertung_Stammdaten!E$20)))))))))</f>
        <v>0.5</v>
      </c>
      <c r="AW64" s="44"/>
      <c r="AX64" s="12">
        <f>VLOOKUP(A64,Aktien_im_Umlauf_splitbereinigt!A3:Z68,26,FALSE)</f>
        <v>-6.0109289617486295E-2</v>
      </c>
      <c r="AY64" s="12">
        <f>VLOOKUP(A64,Aktien_im_Umlauf_splitbereinigt!A3:Y68,24,FALSE)</f>
        <v>1.3677783020842587</v>
      </c>
      <c r="AZ64" s="12">
        <f>VLOOKUP(A64,Aktien_im_Umlauf_splitbereinigt!A3:Y68,25,FALSE)</f>
        <v>1.0439466611847037</v>
      </c>
      <c r="BA64" s="42">
        <f>IF(AX64&lt;Bewertung_Stammdaten!J$24,Bewertung_Stammdaten!I$24,IF(AX64&lt;Bewertung_Stammdaten!J$25,Bewertung_Stammdaten!I$25,IF(AX64&lt;Bewertung_Stammdaten!J$26,Bewertung_Stammdaten!I$26,IF(AX64&lt;Bewertung_Stammdaten!J$27,Bewertung_Stammdaten!I$27,IF(AX64&lt;Bewertung_Stammdaten!J$28,Bewertung_Stammdaten!I$28,IF(AX64&lt;Bewertung_Stammdaten!J$29,Bewertung_Stammdaten!I$29,IF(AX64&lt;Bewertung_Stammdaten!J$30,Bewertung_Stammdaten!I$30,IF(AX64&lt;Bewertung_Stammdaten!J$31,Bewertung_Stammdaten!I$31,IF(AX64&lt;Bewertung_Stammdaten!J$32,Bewertung_Stammdaten!I$32,Bewertung_Stammdaten!I$33)))))))))</f>
        <v>10</v>
      </c>
      <c r="BB64" s="42">
        <f>IF(AY64&lt;Bewertung_Stammdaten!L$24,Bewertung_Stammdaten!K$24,IF(AY64&lt;Bewertung_Stammdaten!L$25,Bewertung_Stammdaten!K$25,IF(AY64&lt;Bewertung_Stammdaten!L$26,Bewertung_Stammdaten!K$26,IF(AY64&lt;Bewertung_Stammdaten!L$27,Bewertung_Stammdaten!K$27,IF(AY64&lt;Bewertung_Stammdaten!L$28,Bewertung_Stammdaten!K$28,IF(AY64&lt;Bewertung_Stammdaten!L$29,Bewertung_Stammdaten!K$29,IF(AY64&lt;Bewertung_Stammdaten!L$30,Bewertung_Stammdaten!K$30,IF(AY64&lt;Bewertung_Stammdaten!L$31,Bewertung_Stammdaten!K$31,IF(AY64&lt;Bewertung_Stammdaten!L$32,Bewertung_Stammdaten!K$32,Bewertung_Stammdaten!K$33)))))))))</f>
        <v>1</v>
      </c>
      <c r="BC64" s="42">
        <f>IF(AZ64&lt;Bewertung_Stammdaten!N$24,Bewertung_Stammdaten!M$24,IF(AZ64&lt;Bewertung_Stammdaten!N$25,Bewertung_Stammdaten!M$25,IF(AZ64&lt;Bewertung_Stammdaten!N$26,Bewertung_Stammdaten!M$26,IF(AZ64&lt;Bewertung_Stammdaten!N$27,Bewertung_Stammdaten!M$27,IF(AZ64&lt;Bewertung_Stammdaten!N$28,Bewertung_Stammdaten!M$28,IF(AZ64&lt;Bewertung_Stammdaten!N$29,Bewertung_Stammdaten!M$29,IF(AZ64&lt;Bewertung_Stammdaten!N$30,Bewertung_Stammdaten!M$30,IF(AZ64&lt;Bewertung_Stammdaten!N$31,Bewertung_Stammdaten!M$31,IF(AZ64&lt;Bewertung_Stammdaten!N$32,Bewertung_Stammdaten!M$32,Bewertung_Stammdaten!M$33)))))))))</f>
        <v>5</v>
      </c>
      <c r="BD64" s="44"/>
      <c r="BE64" s="12">
        <f ca="1">VLOOKUP(A64,Ausschüttungsquote!A3:X68,23,FALSE)</f>
        <v>0.12479621076666488</v>
      </c>
      <c r="BF64" s="12">
        <f>VLOOKUP(A64,Ausschüttungsquote!A3:X68,19,FALSE)</f>
        <v>1.6241232986998335</v>
      </c>
      <c r="BG64" s="12">
        <f ca="1">VLOOKUP(A64,Ausschüttungsquote!A3:X68,24,FALSE)</f>
        <v>-0.92316087647620815</v>
      </c>
      <c r="BH64" s="33">
        <f ca="1">IF(BE64&lt;Bewertung_Stammdaten!H$11,Bewertung_Stammdaten!G$11,IF(BE64&lt;Bewertung_Stammdaten!H$12,Bewertung_Stammdaten!G$12,IF(BE64&lt;Bewertung_Stammdaten!H$13,Bewertung_Stammdaten!G$13,IF(BE64&lt;Bewertung_Stammdaten!H$14,Bewertung_Stammdaten!G$14,IF(BE64&lt;Bewertung_Stammdaten!H$15,Bewertung_Stammdaten!G$15,IF(BE64&lt;Bewertung_Stammdaten!H$16,Bewertung_Stammdaten!G$16,IF(BE64&lt;Bewertung_Stammdaten!H$17,Bewertung_Stammdaten!G$17,IF(BE64&lt;Bewertung_Stammdaten!H$18,Bewertung_Stammdaten!G$18,IF(BE64&lt;Bewertung_Stammdaten!H$19,Bewertung_Stammdaten!G$19,Bewertung_Stammdaten!G$20)))))))))</f>
        <v>10</v>
      </c>
      <c r="BI64" s="42">
        <f>IF(BF64&lt;Bewertung_Stammdaten!B$24,Bewertung_Stammdaten!A$24,IF(BF64&lt;Bewertung_Stammdaten!B$25,Bewertung_Stammdaten!A$25,IF(BF64&lt;Bewertung_Stammdaten!B$26,Bewertung_Stammdaten!A$26,IF(BF64&lt;Bewertung_Stammdaten!B$27,Bewertung_Stammdaten!A$27,IF(BF64&lt;Bewertung_Stammdaten!B$28,Bewertung_Stammdaten!A$28,IF(BF64&lt;Bewertung_Stammdaten!B$29,Bewertung_Stammdaten!A$29,IF(BF64&lt;Bewertung_Stammdaten!B$30,Bewertung_Stammdaten!A$30,IF(BF64&lt;Bewertung_Stammdaten!B$31,Bewertung_Stammdaten!A$31,IF(BF64&lt;Bewertung_Stammdaten!B$32,Bewertung_Stammdaten!A$32,Bewertung_Stammdaten!A$33)))))))))</f>
        <v>1</v>
      </c>
      <c r="BJ64" s="33">
        <f ca="1">IF(BG64&lt;Bewertung_Stammdaten!J$11,Bewertung_Stammdaten!I$11,IF(BG64&lt;Bewertung_Stammdaten!J$12,Bewertung_Stammdaten!I$12,IF(BG64&lt;Bewertung_Stammdaten!J$13,Bewertung_Stammdaten!I$13,IF(BG64&lt;Bewertung_Stammdaten!J$14,Bewertung_Stammdaten!I$14,IF(BG64&lt;Bewertung_Stammdaten!J$15,Bewertung_Stammdaten!I$15,IF(BG64&lt;Bewertung_Stammdaten!J$16,Bewertung_Stammdaten!I$16,IF(BG64&lt;Bewertung_Stammdaten!J$17,Bewertung_Stammdaten!I$17,IF(BG64&lt;Bewertung_Stammdaten!J$18,Bewertung_Stammdaten!I$18,IF(BG64&lt;Bewertung_Stammdaten!J$19,Bewertung_Stammdaten!I$19,Bewertung_Stammdaten!I$20)))))))))</f>
        <v>10</v>
      </c>
    </row>
    <row r="65" spans="1:62" x14ac:dyDescent="0.25">
      <c r="A65" s="39" t="s">
        <v>125</v>
      </c>
      <c r="B65" s="39" t="s">
        <v>126</v>
      </c>
      <c r="C65" s="33">
        <f t="shared" ca="1" si="8"/>
        <v>171.5</v>
      </c>
      <c r="D65" s="44"/>
      <c r="E65" s="11">
        <f ca="1">VLOOKUP(A65,KGV!A3:R68,17,FALSE)</f>
        <v>17.758068410462776</v>
      </c>
      <c r="F65" s="11">
        <f>VLOOKUP(A65,KGV!A3:R68,16,FALSE)</f>
        <v>17.789054726368157</v>
      </c>
      <c r="G65" s="12">
        <f ca="1">VLOOKUP(A65,KGV!A3:R68,18,FALSE)</f>
        <v>-1.7418753487474792E-3</v>
      </c>
      <c r="H65" s="16">
        <f t="shared" ca="1" si="9"/>
        <v>19.109893687383817</v>
      </c>
      <c r="I65" s="12">
        <f t="shared" ca="1" si="10"/>
        <v>7.4250092617783814E-2</v>
      </c>
      <c r="J65" s="33">
        <f ca="1">IF(G65&lt;Bewertung_Stammdaten!B$11,Bewertung_Stammdaten!A$11,IF(G65&lt;Bewertung_Stammdaten!B$12,Bewertung_Stammdaten!A$12,IF(G65&lt;Bewertung_Stammdaten!B$13,Bewertung_Stammdaten!A$13,IF(G65&lt;Bewertung_Stammdaten!B$14,Bewertung_Stammdaten!A$14,IF(G65&lt;Bewertung_Stammdaten!B$15,Bewertung_Stammdaten!A$15,IF(G65&lt;Bewertung_Stammdaten!B$16,Bewertung_Stammdaten!A$16,IF(G65&lt;Bewertung_Stammdaten!B$17,Bewertung_Stammdaten!A$17,IF(G65&lt;Bewertung_Stammdaten!B$18,Bewertung_Stammdaten!A$18,IF(G65&lt;Bewertung_Stammdaten!B$19,Bewertung_Stammdaten!A$19,Bewertung_Stammdaten!A$20)))))))))</f>
        <v>21</v>
      </c>
      <c r="K65" s="33">
        <f ca="1">IF(I65&lt;Bewertung_Stammdaten!N$11,Bewertung_Stammdaten!M$11,IF(I65&lt;Bewertung_Stammdaten!N$12,Bewertung_Stammdaten!M$12,IF(I65&lt;Bewertung_Stammdaten!N$13,Bewertung_Stammdaten!M$13,IF(I65&lt;Bewertung_Stammdaten!N$14,Bewertung_Stammdaten!M$14,IF(I65&lt;Bewertung_Stammdaten!N$15,Bewertung_Stammdaten!M$15,IF(I65&lt;Bewertung_Stammdaten!N$16,Bewertung_Stammdaten!M$16,IF(I65&lt;Bewertung_Stammdaten!N$17,Bewertung_Stammdaten!M$17,IF(I65&lt;Bewertung_Stammdaten!N$18,Bewertung_Stammdaten!M$18,IF(I65&lt;Bewertung_Stammdaten!N$19,Bewertung_Stammdaten!M$19,Bewertung_Stammdaten!M$20)))))))))</f>
        <v>12</v>
      </c>
      <c r="L65" s="44"/>
      <c r="M65" s="11">
        <f ca="1">VLOOKUP(A65,Buchwert_je_Aktie!A3:AK68,23,FALSE)</f>
        <v>173.62222222222223</v>
      </c>
      <c r="N65" s="11">
        <f>VLOOKUP(A65,Buchwert_je_Aktie!A3:AK68,19,FALSE)</f>
        <v>132.68230769230766</v>
      </c>
      <c r="O65" s="12">
        <f ca="1">VLOOKUP(A65,Buchwert_je_Aktie!A3:AK68,24,FALSE)</f>
        <v>0.30855594270228459</v>
      </c>
      <c r="P65" s="12">
        <f>VLOOKUP(A65,Buchwert_je_Aktie!A3:AK68,37,FALSE)</f>
        <v>2.9308323563892236E-2</v>
      </c>
      <c r="Q65" s="16">
        <f t="shared" ca="1" si="11"/>
        <v>173.62222222222223</v>
      </c>
      <c r="R65" s="12">
        <f t="shared" ca="1" si="12"/>
        <v>0.30855594270228459</v>
      </c>
      <c r="S65" s="53">
        <f ca="1">IF(O65&lt;Bewertung_Stammdaten!D$24,Bewertung_Stammdaten!C$24,IF(O65&lt;Bewertung_Stammdaten!D$25,Bewertung_Stammdaten!C$25,IF(O65&lt;Bewertung_Stammdaten!D$26,Bewertung_Stammdaten!C$26,IF(O65&lt;Bewertung_Stammdaten!D$27,Bewertung_Stammdaten!C$27,IF(O65&lt;Bewertung_Stammdaten!D$28,Bewertung_Stammdaten!C$28,IF(O65&lt;Bewertung_Stammdaten!D$29,Bewertung_Stammdaten!C$29,IF(O65&lt;Bewertung_Stammdaten!D$30,Bewertung_Stammdaten!C$30,IF(O65&lt;Bewertung_Stammdaten!D$31,Bewertung_Stammdaten!C$31,IF(O65&lt;Bewertung_Stammdaten!D$32,Bewertung_Stammdaten!C$32,Bewertung_Stammdaten!C$33)))))))))</f>
        <v>9</v>
      </c>
      <c r="T65" s="53">
        <f>IF(P65&lt;Bewertung_Stammdaten!F$24,Bewertung_Stammdaten!E$24,IF(P65&lt;Bewertung_Stammdaten!F$25,Bewertung_Stammdaten!E$25,IF(P65&lt;Bewertung_Stammdaten!F$26,Bewertung_Stammdaten!E$26,IF(P65&lt;Bewertung_Stammdaten!F$27,Bewertung_Stammdaten!E$27,IF(P65&lt;Bewertung_Stammdaten!F$28,Bewertung_Stammdaten!E$28,IF(P65&lt;Bewertung_Stammdaten!F$29,Bewertung_Stammdaten!E$29,IF(P65&lt;Bewertung_Stammdaten!F$30,Bewertung_Stammdaten!E$30,IF(P65&lt;Bewertung_Stammdaten!F$31,Bewertung_Stammdaten!E$31,IF(P65&lt;Bewertung_Stammdaten!F$32,Bewertung_Stammdaten!E$32,Bewertung_Stammdaten!E$33)))))))))</f>
        <v>12</v>
      </c>
      <c r="U65" s="53">
        <f ca="1">IF(R65&lt;Bewertung_Stammdaten!H$24,Bewertung_Stammdaten!G$24,IF(R65&lt;Bewertung_Stammdaten!H$25,Bewertung_Stammdaten!G$25,IF(R65&lt;Bewertung_Stammdaten!H$26,Bewertung_Stammdaten!G$26,IF(R65&lt;Bewertung_Stammdaten!H$27,Bewertung_Stammdaten!G$27,IF(R65&lt;Bewertung_Stammdaten!H$28,Bewertung_Stammdaten!G$28,IF(R65&lt;Bewertung_Stammdaten!H$29,Bewertung_Stammdaten!G$29,IF(R65&lt;Bewertung_Stammdaten!H$30,Bewertung_Stammdaten!G$30,IF(R65&lt;Bewertung_Stammdaten!H$31,Bewertung_Stammdaten!G$31,IF(R65&lt;Bewertung_Stammdaten!H$32,Bewertung_Stammdaten!G$32,Bewertung_Stammdaten!G$33)))))))))</f>
        <v>6</v>
      </c>
      <c r="V65" s="44"/>
      <c r="W65" s="14">
        <f ca="1">VLOOKUP(A65,Ergebnis_je_Aktie_verwässert!A3:AK68,23,FALSE)</f>
        <v>20.708333333333336</v>
      </c>
      <c r="X65" s="14">
        <f>VLOOKUP(A65,Ergebnis_je_Aktie_verwässert!A3:AK68,19,FALSE)</f>
        <v>13.040769230769232</v>
      </c>
      <c r="Y65" s="12">
        <f ca="1">VLOOKUP(A65,Ergebnis_je_Aktie_verwässert!A3:AK68,24,FALSE)</f>
        <v>0.58796869777227245</v>
      </c>
      <c r="Z65" s="41">
        <f>VLOOKUP(A65,Ergebnis_je_Aktie_verwässert!A3:AK68,37,FALSE)</f>
        <v>-7.0739549839228255E-2</v>
      </c>
      <c r="AA65" s="16">
        <f t="shared" ca="1" si="13"/>
        <v>19.243435155412651</v>
      </c>
      <c r="AB65" s="12">
        <f t="shared" ca="1" si="14"/>
        <v>0.47563650693307635</v>
      </c>
      <c r="AC65" s="33">
        <f ca="1">IF(Y65&lt;Bewertung_Stammdaten!L$11,Bewertung_Stammdaten!K$11,IF(Y65&lt;Bewertung_Stammdaten!L$12,Bewertung_Stammdaten!K$12,IF(Y65&lt;Bewertung_Stammdaten!L$13,Bewertung_Stammdaten!K$13,IF(Y65&lt;Bewertung_Stammdaten!L$14,Bewertung_Stammdaten!K$14,IF(Y65&lt;Bewertung_Stammdaten!L$15,Bewertung_Stammdaten!K$15,IF(Y65&lt;Bewertung_Stammdaten!L$16,Bewertung_Stammdaten!K$16,IF(Y65&lt;Bewertung_Stammdaten!L$17,Bewertung_Stammdaten!K$17,IF(Y65&lt;Bewertung_Stammdaten!L$18,Bewertung_Stammdaten!K$18,IF(Y65&lt;Bewertung_Stammdaten!L$19,Bewertung_Stammdaten!K$19,Bewertung_Stammdaten!K$20)))))))))</f>
        <v>16</v>
      </c>
      <c r="AD65" s="33">
        <f>IF(Z65&lt;Bewertung_Stammdaten!R$11,Bewertung_Stammdaten!Q$11,IF(Z65&lt;Bewertung_Stammdaten!R$12,Bewertung_Stammdaten!Q$12,IF(Z65&lt;Bewertung_Stammdaten!R$13,Bewertung_Stammdaten!Q$13,IF(Z65&lt;Bewertung_Stammdaten!R$14,Bewertung_Stammdaten!Q$14,IF(Z65&lt;Bewertung_Stammdaten!R$15,Bewertung_Stammdaten!Q$15,IF(Z65&lt;Bewertung_Stammdaten!R$16,Bewertung_Stammdaten!Q$16,IF(Z65&lt;Bewertung_Stammdaten!R$17,Bewertung_Stammdaten!Q$17,IF(Z65&lt;Bewertung_Stammdaten!R$18,Bewertung_Stammdaten!Q$18,IF(Z65&lt;Bewertung_Stammdaten!R$19,Bewertung_Stammdaten!Q$19,Bewertung_Stammdaten!Q$20)))))))))</f>
        <v>7</v>
      </c>
      <c r="AE65" s="33">
        <f ca="1">IF(AB65&lt;Bewertung_Stammdaten!P$11,Bewertung_Stammdaten!O$11,IF(AB65&lt;Bewertung_Stammdaten!P$12,Bewertung_Stammdaten!O$12,IF(AB65&lt;Bewertung_Stammdaten!P$13,Bewertung_Stammdaten!O$13,IF(AB65&lt;Bewertung_Stammdaten!P$14,Bewertung_Stammdaten!O$14,IF(AB65&lt;Bewertung_Stammdaten!P$15,Bewertung_Stammdaten!O$15,IF(AB65&lt;Bewertung_Stammdaten!P$16,Bewertung_Stammdaten!O$16,IF(AB65&lt;Bewertung_Stammdaten!P$17,Bewertung_Stammdaten!O$17,IF(AB65&lt;Bewertung_Stammdaten!P$18,Bewertung_Stammdaten!O$18,IF(AB65&lt;Bewertung_Stammdaten!P$19,Bewertung_Stammdaten!O$19,Bewertung_Stammdaten!O$20)))))))))</f>
        <v>9</v>
      </c>
      <c r="AF65" s="44"/>
      <c r="AG65" s="14">
        <f ca="1">VLOOKUP(A65,Dividende_je_Aktie!A3:AM68,24,FALSE)</f>
        <v>8.8825000000000003</v>
      </c>
      <c r="AH65" s="14">
        <f>VLOOKUP(A65,Dividende_je_Aktie!A3:AM68,20,FALSE)</f>
        <v>6.508</v>
      </c>
      <c r="AI65" s="12">
        <f ca="1">VLOOKUP(A65,Dividende_je_Aktie!A3:AM68,25,FALSE)</f>
        <v>0.36485863552550701</v>
      </c>
      <c r="AJ65" s="41">
        <f>VLOOKUP(A65,Dividende_je_Aktie!A3:AM68,39,FALSE)</f>
        <v>0</v>
      </c>
      <c r="AK65" s="16">
        <f t="shared" ca="1" si="6"/>
        <v>8.8825000000000003</v>
      </c>
      <c r="AL65" s="12">
        <f t="shared" ca="1" si="7"/>
        <v>0.36485863552550701</v>
      </c>
      <c r="AM65" s="33">
        <f ca="1">IF(AI65&lt;Bewertung_Stammdaten!P$24,Bewertung_Stammdaten!O$24,IF(AI65&lt;Bewertung_Stammdaten!P$25,Bewertung_Stammdaten!O$25,IF(AI65&lt;Bewertung_Stammdaten!P$26,Bewertung_Stammdaten!O$26,IF(AI65&lt;Bewertung_Stammdaten!P$27,Bewertung_Stammdaten!O$27,IF(AI65&lt;Bewertung_Stammdaten!P$28,Bewertung_Stammdaten!O$28,IF(AI65&lt;Bewertung_Stammdaten!P$29,Bewertung_Stammdaten!O$29,IF(AI65&lt;Bewertung_Stammdaten!P$30,Bewertung_Stammdaten!O$30,IF(AI65&lt;Bewertung_Stammdaten!P$31,Bewertung_Stammdaten!O$31,IF(AI65&lt;Bewertung_Stammdaten!P$32,Bewertung_Stammdaten!O$32,Bewertung_Stammdaten!O$33)))))))))</f>
        <v>12</v>
      </c>
      <c r="AN65" s="33">
        <f>IF(AJ65&lt;Bewertung_Stammdaten!R$24,Bewertung_Stammdaten!Q$24,IF(AJ65&lt;Bewertung_Stammdaten!R$25,Bewertung_Stammdaten!Q$25,IF(AJ65&lt;Bewertung_Stammdaten!R$26,Bewertung_Stammdaten!Q$26,IF(AJ65&lt;Bewertung_Stammdaten!R$27,Bewertung_Stammdaten!Q$27,IF(AJ65&lt;Bewertung_Stammdaten!R$28,Bewertung_Stammdaten!Q$28,IF(AJ65&lt;Bewertung_Stammdaten!R$29,Bewertung_Stammdaten!Q$29,IF(AJ65&lt;Bewertung_Stammdaten!R$30,Bewertung_Stammdaten!Q$30,IF(AJ65&lt;Bewertung_Stammdaten!R$31,Bewertung_Stammdaten!Q$31,IF(AJ65&lt;Bewertung_Stammdaten!R$32,Bewertung_Stammdaten!Q$32,Bewertung_Stammdaten!Q$33)))))))))</f>
        <v>8</v>
      </c>
      <c r="AO65" s="33">
        <f ca="1">IF(AL65&lt;Bewertung_Stammdaten!T$24,Bewertung_Stammdaten!S$24,IF(AL65&lt;Bewertung_Stammdaten!T$25,Bewertung_Stammdaten!S$25,IF(AL65&lt;Bewertung_Stammdaten!T$26,Bewertung_Stammdaten!S$26,IF(AL65&lt;Bewertung_Stammdaten!T$27,Bewertung_Stammdaten!S$27,IF(AL65&lt;Bewertung_Stammdaten!T$28,Bewertung_Stammdaten!S$28,IF(AL65&lt;Bewertung_Stammdaten!T$29,Bewertung_Stammdaten!S$29,IF(AL65&lt;Bewertung_Stammdaten!T$30,Bewertung_Stammdaten!S$30,IF(AL65&lt;Bewertung_Stammdaten!T$31,Bewertung_Stammdaten!S$31,IF(AL65&lt;Bewertung_Stammdaten!T$32,Bewertung_Stammdaten!S$32,Bewertung_Stammdaten!S$33)))))))))</f>
        <v>8</v>
      </c>
      <c r="AP65" s="44"/>
      <c r="AQ65" s="12">
        <f ca="1">VLOOKUP(A65,Dividendenrendite!A3:R68,17,FALSE)</f>
        <v>2.4154293794528742E-2</v>
      </c>
      <c r="AR65" s="12">
        <f>VLOOKUP(A65,Dividendenrendite!A3:R68,16,FALSE)</f>
        <v>1.6165745098103149E-2</v>
      </c>
      <c r="AS65" s="12">
        <f ca="1">VLOOKUP(A65,Dividendenrendite!A3:R68,18,FALSE)</f>
        <v>0.49416520228089889</v>
      </c>
      <c r="AT65" s="33">
        <f ca="1">IF(AQ65&lt;Bewertung_Stammdaten!D$11,Bewertung_Stammdaten!C$11,IF(AQ65&lt;Bewertung_Stammdaten!D$12,Bewertung_Stammdaten!C$12,IF(AQ65&lt;Bewertung_Stammdaten!D$13,Bewertung_Stammdaten!C$13,IF(AQ65&lt;Bewertung_Stammdaten!D$14,Bewertung_Stammdaten!C$14,IF(AQ65&lt;Bewertung_Stammdaten!D$15,Bewertung_Stammdaten!C$15,IF(AQ65&lt;Bewertung_Stammdaten!D$16,Bewertung_Stammdaten!C$16,IF(AQ65&lt;Bewertung_Stammdaten!D$17,Bewertung_Stammdaten!C$17,IF(AQ65&lt;Bewertung_Stammdaten!D$18,Bewertung_Stammdaten!C$18,IF(AQ65&lt;Bewertung_Stammdaten!D$19,Bewertung_Stammdaten!C$19,Bewertung_Stammdaten!C$20)))))))))</f>
        <v>7.5</v>
      </c>
      <c r="AU65" s="33">
        <f>IF(AR65&lt;Bewertung_Stammdaten!T$11,Bewertung_Stammdaten!S$11,IF(AR65&lt;Bewertung_Stammdaten!T$12,Bewertung_Stammdaten!S$12,IF(AR65&lt;Bewertung_Stammdaten!T$13,Bewertung_Stammdaten!S$13,IF(AR65&lt;Bewertung_Stammdaten!T$14,Bewertung_Stammdaten!S$14,IF(AR65&lt;Bewertung_Stammdaten!T$15,Bewertung_Stammdaten!S$15,IF(AR65&lt;Bewertung_Stammdaten!T$16,Bewertung_Stammdaten!S$16,IF(AR65&lt;Bewertung_Stammdaten!T$17,Bewertung_Stammdaten!S$17,IF(AR65&lt;Bewertung_Stammdaten!T$18,Bewertung_Stammdaten!S$18,IF(AR65&lt;Bewertung_Stammdaten!T$19,Bewertung_Stammdaten!S$19,Bewertung_Stammdaten!S$20)))))))))</f>
        <v>4</v>
      </c>
      <c r="AV65" s="33">
        <f ca="1">IF(AS65&lt;Bewertung_Stammdaten!F$11,Bewertung_Stammdaten!E$11,IF(AS65&lt;Bewertung_Stammdaten!F$12,Bewertung_Stammdaten!E$12,IF(AS65&lt;Bewertung_Stammdaten!F$13,Bewertung_Stammdaten!E$13,IF(AS65&lt;Bewertung_Stammdaten!F$14,Bewertung_Stammdaten!E$14,IF(AS65&lt;Bewertung_Stammdaten!F$15,Bewertung_Stammdaten!E$15,IF(AS65&lt;Bewertung_Stammdaten!F$16,Bewertung_Stammdaten!E$16,IF(AS65&lt;Bewertung_Stammdaten!F$17,Bewertung_Stammdaten!E$17,IF(AS65&lt;Bewertung_Stammdaten!F$18,Bewertung_Stammdaten!E$18,IF(AS65&lt;Bewertung_Stammdaten!F$19,Bewertung_Stammdaten!E$19,Bewertung_Stammdaten!E$20)))))))))</f>
        <v>5</v>
      </c>
      <c r="AW65" s="44"/>
      <c r="AX65" s="12">
        <f>VLOOKUP(A65,Aktien_im_Umlauf_splitbereinigt!A3:Z68,26,FALSE)</f>
        <v>-1.0804970286331761E-2</v>
      </c>
      <c r="AY65" s="12">
        <f>VLOOKUP(A65,Aktien_im_Umlauf_splitbereinigt!A3:Y68,24,FALSE)</f>
        <v>6.2668228124756087E-2</v>
      </c>
      <c r="AZ65" s="12">
        <f>VLOOKUP(A65,Aktien_im_Umlauf_splitbereinigt!A3:Y68,25,FALSE)</f>
        <v>1.1724154425560251</v>
      </c>
      <c r="BA65" s="42">
        <f>IF(AX65&lt;Bewertung_Stammdaten!J$24,Bewertung_Stammdaten!I$24,IF(AX65&lt;Bewertung_Stammdaten!J$25,Bewertung_Stammdaten!I$25,IF(AX65&lt;Bewertung_Stammdaten!J$26,Bewertung_Stammdaten!I$26,IF(AX65&lt;Bewertung_Stammdaten!J$27,Bewertung_Stammdaten!I$27,IF(AX65&lt;Bewertung_Stammdaten!J$28,Bewertung_Stammdaten!I$28,IF(AX65&lt;Bewertung_Stammdaten!J$29,Bewertung_Stammdaten!I$29,IF(AX65&lt;Bewertung_Stammdaten!J$30,Bewertung_Stammdaten!I$30,IF(AX65&lt;Bewertung_Stammdaten!J$31,Bewertung_Stammdaten!I$31,IF(AX65&lt;Bewertung_Stammdaten!J$32,Bewertung_Stammdaten!I$32,Bewertung_Stammdaten!I$33)))))))))</f>
        <v>5</v>
      </c>
      <c r="BB65" s="42">
        <f>IF(AY65&lt;Bewertung_Stammdaten!L$24,Bewertung_Stammdaten!K$24,IF(AY65&lt;Bewertung_Stammdaten!L$25,Bewertung_Stammdaten!K$25,IF(AY65&lt;Bewertung_Stammdaten!L$26,Bewertung_Stammdaten!K$26,IF(AY65&lt;Bewertung_Stammdaten!L$27,Bewertung_Stammdaten!K$27,IF(AY65&lt;Bewertung_Stammdaten!L$28,Bewertung_Stammdaten!K$28,IF(AY65&lt;Bewertung_Stammdaten!L$29,Bewertung_Stammdaten!K$29,IF(AY65&lt;Bewertung_Stammdaten!L$30,Bewertung_Stammdaten!K$30,IF(AY65&lt;Bewertung_Stammdaten!L$31,Bewertung_Stammdaten!K$31,IF(AY65&lt;Bewertung_Stammdaten!L$32,Bewertung_Stammdaten!K$32,Bewertung_Stammdaten!K$33)))))))))</f>
        <v>1</v>
      </c>
      <c r="BC65" s="42">
        <f>IF(AZ65&lt;Bewertung_Stammdaten!N$24,Bewertung_Stammdaten!M$24,IF(AZ65&lt;Bewertung_Stammdaten!N$25,Bewertung_Stammdaten!M$25,IF(AZ65&lt;Bewertung_Stammdaten!N$26,Bewertung_Stammdaten!M$26,IF(AZ65&lt;Bewertung_Stammdaten!N$27,Bewertung_Stammdaten!M$27,IF(AZ65&lt;Bewertung_Stammdaten!N$28,Bewertung_Stammdaten!M$28,IF(AZ65&lt;Bewertung_Stammdaten!N$29,Bewertung_Stammdaten!M$29,IF(AZ65&lt;Bewertung_Stammdaten!N$30,Bewertung_Stammdaten!M$30,IF(AZ65&lt;Bewertung_Stammdaten!N$31,Bewertung_Stammdaten!M$31,IF(AZ65&lt;Bewertung_Stammdaten!N$32,Bewertung_Stammdaten!M$32,Bewertung_Stammdaten!M$33)))))))))</f>
        <v>5</v>
      </c>
      <c r="BD65" s="44"/>
      <c r="BE65" s="12">
        <f ca="1">VLOOKUP(A65,Ausschüttungsquote!A3:X68,23,FALSE)</f>
        <v>0.42933761926299235</v>
      </c>
      <c r="BF65" s="12">
        <f>VLOOKUP(A65,Ausschüttungsquote!A3:X68,19,FALSE)</f>
        <v>0.43632293070961248</v>
      </c>
      <c r="BG65" s="12">
        <f ca="1">VLOOKUP(A65,Ausschüttungsquote!A3:X68,24,FALSE)</f>
        <v>-1.6009498825238389E-2</v>
      </c>
      <c r="BH65" s="33">
        <f ca="1">IF(BE65&lt;Bewertung_Stammdaten!H$11,Bewertung_Stammdaten!G$11,IF(BE65&lt;Bewertung_Stammdaten!H$12,Bewertung_Stammdaten!G$12,IF(BE65&lt;Bewertung_Stammdaten!H$13,Bewertung_Stammdaten!G$13,IF(BE65&lt;Bewertung_Stammdaten!H$14,Bewertung_Stammdaten!G$14,IF(BE65&lt;Bewertung_Stammdaten!H$15,Bewertung_Stammdaten!G$15,IF(BE65&lt;Bewertung_Stammdaten!H$16,Bewertung_Stammdaten!G$16,IF(BE65&lt;Bewertung_Stammdaten!H$17,Bewertung_Stammdaten!G$17,IF(BE65&lt;Bewertung_Stammdaten!H$18,Bewertung_Stammdaten!G$18,IF(BE65&lt;Bewertung_Stammdaten!H$19,Bewertung_Stammdaten!G$19,Bewertung_Stammdaten!G$20)))))))))</f>
        <v>9</v>
      </c>
      <c r="BI65" s="42">
        <f>IF(BF65&lt;Bewertung_Stammdaten!B$24,Bewertung_Stammdaten!A$24,IF(BF65&lt;Bewertung_Stammdaten!B$25,Bewertung_Stammdaten!A$25,IF(BF65&lt;Bewertung_Stammdaten!B$26,Bewertung_Stammdaten!A$26,IF(BF65&lt;Bewertung_Stammdaten!B$27,Bewertung_Stammdaten!A$27,IF(BF65&lt;Bewertung_Stammdaten!B$28,Bewertung_Stammdaten!A$28,IF(BF65&lt;Bewertung_Stammdaten!B$29,Bewertung_Stammdaten!A$29,IF(BF65&lt;Bewertung_Stammdaten!B$30,Bewertung_Stammdaten!A$30,IF(BF65&lt;Bewertung_Stammdaten!B$31,Bewertung_Stammdaten!A$31,IF(BF65&lt;Bewertung_Stammdaten!B$32,Bewertung_Stammdaten!A$32,Bewertung_Stammdaten!A$33)))))))))</f>
        <v>9</v>
      </c>
      <c r="BJ65" s="33">
        <f ca="1">IF(BG65&lt;Bewertung_Stammdaten!J$11,Bewertung_Stammdaten!I$11,IF(BG65&lt;Bewertung_Stammdaten!J$12,Bewertung_Stammdaten!I$12,IF(BG65&lt;Bewertung_Stammdaten!J$13,Bewertung_Stammdaten!I$13,IF(BG65&lt;Bewertung_Stammdaten!J$14,Bewertung_Stammdaten!I$14,IF(BG65&lt;Bewertung_Stammdaten!J$15,Bewertung_Stammdaten!I$15,IF(BG65&lt;Bewertung_Stammdaten!J$16,Bewertung_Stammdaten!I$16,IF(BG65&lt;Bewertung_Stammdaten!J$17,Bewertung_Stammdaten!I$17,IF(BG65&lt;Bewertung_Stammdaten!J$18,Bewertung_Stammdaten!I$18,IF(BG65&lt;Bewertung_Stammdaten!J$19,Bewertung_Stammdaten!I$19,Bewertung_Stammdaten!I$20)))))))))</f>
        <v>6</v>
      </c>
    </row>
    <row r="66" spans="1:62" x14ac:dyDescent="0.25">
      <c r="A66" s="39" t="s">
        <v>127</v>
      </c>
      <c r="B66" s="39" t="s">
        <v>128</v>
      </c>
      <c r="C66" s="33">
        <f t="shared" ca="1" si="8"/>
        <v>146</v>
      </c>
      <c r="D66" s="44"/>
      <c r="E66" s="11">
        <f ca="1">VLOOKUP(A66,KGV!A3:R68,17,FALSE)</f>
        <v>17.655854720547712</v>
      </c>
      <c r="F66" s="11">
        <f>VLOOKUP(A66,KGV!A3:R68,16,FALSE)</f>
        <v>16.451612903225808</v>
      </c>
      <c r="G66" s="12">
        <f ca="1">VLOOKUP(A66,KGV!A3:R68,18,FALSE)</f>
        <v>7.3199012425449128E-2</v>
      </c>
      <c r="H66" s="16">
        <f t="shared" ca="1" si="9"/>
        <v>20.285450104459073</v>
      </c>
      <c r="I66" s="12">
        <f t="shared" ca="1" si="10"/>
        <v>0.23303716321221812</v>
      </c>
      <c r="J66" s="33">
        <f ca="1">IF(G66&lt;Bewertung_Stammdaten!B$11,Bewertung_Stammdaten!A$11,IF(G66&lt;Bewertung_Stammdaten!B$12,Bewertung_Stammdaten!A$12,IF(G66&lt;Bewertung_Stammdaten!B$13,Bewertung_Stammdaten!A$13,IF(G66&lt;Bewertung_Stammdaten!B$14,Bewertung_Stammdaten!A$14,IF(G66&lt;Bewertung_Stammdaten!B$15,Bewertung_Stammdaten!A$15,IF(G66&lt;Bewertung_Stammdaten!B$16,Bewertung_Stammdaten!A$16,IF(G66&lt;Bewertung_Stammdaten!B$17,Bewertung_Stammdaten!A$17,IF(G66&lt;Bewertung_Stammdaten!B$18,Bewertung_Stammdaten!A$18,IF(G66&lt;Bewertung_Stammdaten!B$19,Bewertung_Stammdaten!A$19,Bewertung_Stammdaten!A$20)))))))))</f>
        <v>15</v>
      </c>
      <c r="K66" s="33">
        <f ca="1">IF(I66&lt;Bewertung_Stammdaten!N$11,Bewertung_Stammdaten!M$11,IF(I66&lt;Bewertung_Stammdaten!N$12,Bewertung_Stammdaten!M$12,IF(I66&lt;Bewertung_Stammdaten!N$13,Bewertung_Stammdaten!M$13,IF(I66&lt;Bewertung_Stammdaten!N$14,Bewertung_Stammdaten!M$14,IF(I66&lt;Bewertung_Stammdaten!N$15,Bewertung_Stammdaten!M$15,IF(I66&lt;Bewertung_Stammdaten!N$16,Bewertung_Stammdaten!M$16,IF(I66&lt;Bewertung_Stammdaten!N$17,Bewertung_Stammdaten!M$17,IF(I66&lt;Bewertung_Stammdaten!N$18,Bewertung_Stammdaten!M$18,IF(I66&lt;Bewertung_Stammdaten!N$19,Bewertung_Stammdaten!M$19,Bewertung_Stammdaten!M$20)))))))))</f>
        <v>7.5</v>
      </c>
      <c r="L66" s="44"/>
      <c r="M66" s="11">
        <f ca="1">VLOOKUP(A66,Buchwert_je_Aktie!A3:AK68,23,FALSE)</f>
        <v>10.47861111111111</v>
      </c>
      <c r="N66" s="11">
        <f>VLOOKUP(A66,Buchwert_je_Aktie!A3:AK68,19,FALSE)</f>
        <v>9.4207692307692295</v>
      </c>
      <c r="O66" s="12">
        <f ca="1">VLOOKUP(A66,Buchwert_je_Aktie!A3:AK68,24,FALSE)</f>
        <v>0.11228827014325504</v>
      </c>
      <c r="P66" s="12">
        <f>VLOOKUP(A66,Buchwert_je_Aktie!A3:AK68,37,FALSE)</f>
        <v>-0.23923444976076547</v>
      </c>
      <c r="Q66" s="16">
        <f t="shared" ca="1" si="11"/>
        <v>7.9717663476874003</v>
      </c>
      <c r="R66" s="12">
        <f t="shared" ca="1" si="12"/>
        <v>-0.15380940213982019</v>
      </c>
      <c r="S66" s="53">
        <f ca="1">IF(O66&lt;Bewertung_Stammdaten!D$24,Bewertung_Stammdaten!C$24,IF(O66&lt;Bewertung_Stammdaten!D$25,Bewertung_Stammdaten!C$25,IF(O66&lt;Bewertung_Stammdaten!D$26,Bewertung_Stammdaten!C$26,IF(O66&lt;Bewertung_Stammdaten!D$27,Bewertung_Stammdaten!C$27,IF(O66&lt;Bewertung_Stammdaten!D$28,Bewertung_Stammdaten!C$28,IF(O66&lt;Bewertung_Stammdaten!D$29,Bewertung_Stammdaten!C$29,IF(O66&lt;Bewertung_Stammdaten!D$30,Bewertung_Stammdaten!C$30,IF(O66&lt;Bewertung_Stammdaten!D$31,Bewertung_Stammdaten!C$31,IF(O66&lt;Bewertung_Stammdaten!D$32,Bewertung_Stammdaten!C$32,Bewertung_Stammdaten!C$33)))))))))</f>
        <v>6</v>
      </c>
      <c r="T66" s="53">
        <f>IF(P66&lt;Bewertung_Stammdaten!F$24,Bewertung_Stammdaten!E$24,IF(P66&lt;Bewertung_Stammdaten!F$25,Bewertung_Stammdaten!E$25,IF(P66&lt;Bewertung_Stammdaten!F$26,Bewertung_Stammdaten!E$26,IF(P66&lt;Bewertung_Stammdaten!F$27,Bewertung_Stammdaten!E$27,IF(P66&lt;Bewertung_Stammdaten!F$28,Bewertung_Stammdaten!E$28,IF(P66&lt;Bewertung_Stammdaten!F$29,Bewertung_Stammdaten!E$29,IF(P66&lt;Bewertung_Stammdaten!F$30,Bewertung_Stammdaten!E$30,IF(P66&lt;Bewertung_Stammdaten!F$31,Bewertung_Stammdaten!E$31,IF(P66&lt;Bewertung_Stammdaten!F$32,Bewertung_Stammdaten!E$32,Bewertung_Stammdaten!E$33)))))))))</f>
        <v>4.5</v>
      </c>
      <c r="U66" s="53">
        <f ca="1">IF(R66&lt;Bewertung_Stammdaten!H$24,Bewertung_Stammdaten!G$24,IF(R66&lt;Bewertung_Stammdaten!H$25,Bewertung_Stammdaten!G$25,IF(R66&lt;Bewertung_Stammdaten!H$26,Bewertung_Stammdaten!G$26,IF(R66&lt;Bewertung_Stammdaten!H$27,Bewertung_Stammdaten!G$27,IF(R66&lt;Bewertung_Stammdaten!H$28,Bewertung_Stammdaten!G$28,IF(R66&lt;Bewertung_Stammdaten!H$29,Bewertung_Stammdaten!G$29,IF(R66&lt;Bewertung_Stammdaten!H$30,Bewertung_Stammdaten!G$30,IF(R66&lt;Bewertung_Stammdaten!H$31,Bewertung_Stammdaten!G$31,IF(R66&lt;Bewertung_Stammdaten!H$32,Bewertung_Stammdaten!G$32,Bewertung_Stammdaten!G$33)))))))))</f>
        <v>1</v>
      </c>
      <c r="V66" s="44"/>
      <c r="W66" s="14">
        <f ca="1">VLOOKUP(A66,Ergebnis_je_Aktie_verwässert!A3:AK68,23,FALSE)</f>
        <v>2.9536944444444444</v>
      </c>
      <c r="X66" s="14">
        <f>VLOOKUP(A66,Ergebnis_je_Aktie_verwässert!A3:AK68,19,FALSE)</f>
        <v>2.3230769230769228</v>
      </c>
      <c r="Y66" s="12">
        <f ca="1">VLOOKUP(A66,Ergebnis_je_Aktie_verwässert!A3:AK68,24,FALSE)</f>
        <v>0.27145787343635042</v>
      </c>
      <c r="Z66" s="41">
        <f>VLOOKUP(A66,Ergebnis_je_Aktie_verwässert!A3:AK68,37,FALSE)</f>
        <v>-0.12962962962962965</v>
      </c>
      <c r="AA66" s="16">
        <f t="shared" ca="1" si="13"/>
        <v>2.5708081275720165</v>
      </c>
      <c r="AB66" s="12">
        <f t="shared" ca="1" si="14"/>
        <v>0.10663926021311987</v>
      </c>
      <c r="AC66" s="33">
        <f ca="1">IF(Y66&lt;Bewertung_Stammdaten!L$11,Bewertung_Stammdaten!K$11,IF(Y66&lt;Bewertung_Stammdaten!L$12,Bewertung_Stammdaten!K$12,IF(Y66&lt;Bewertung_Stammdaten!L$13,Bewertung_Stammdaten!K$13,IF(Y66&lt;Bewertung_Stammdaten!L$14,Bewertung_Stammdaten!K$14,IF(Y66&lt;Bewertung_Stammdaten!L$15,Bewertung_Stammdaten!K$15,IF(Y66&lt;Bewertung_Stammdaten!L$16,Bewertung_Stammdaten!K$16,IF(Y66&lt;Bewertung_Stammdaten!L$17,Bewertung_Stammdaten!K$17,IF(Y66&lt;Bewertung_Stammdaten!L$18,Bewertung_Stammdaten!K$18,IF(Y66&lt;Bewertung_Stammdaten!L$19,Bewertung_Stammdaten!K$19,Bewertung_Stammdaten!K$20)))))))))</f>
        <v>10</v>
      </c>
      <c r="AD66" s="33">
        <f>IF(Z66&lt;Bewertung_Stammdaten!R$11,Bewertung_Stammdaten!Q$11,IF(Z66&lt;Bewertung_Stammdaten!R$12,Bewertung_Stammdaten!Q$12,IF(Z66&lt;Bewertung_Stammdaten!R$13,Bewertung_Stammdaten!Q$13,IF(Z66&lt;Bewertung_Stammdaten!R$14,Bewertung_Stammdaten!Q$14,IF(Z66&lt;Bewertung_Stammdaten!R$15,Bewertung_Stammdaten!Q$15,IF(Z66&lt;Bewertung_Stammdaten!R$16,Bewertung_Stammdaten!Q$16,IF(Z66&lt;Bewertung_Stammdaten!R$17,Bewertung_Stammdaten!Q$17,IF(Z66&lt;Bewertung_Stammdaten!R$18,Bewertung_Stammdaten!Q$18,IF(Z66&lt;Bewertung_Stammdaten!R$19,Bewertung_Stammdaten!Q$19,Bewertung_Stammdaten!Q$20)))))))))</f>
        <v>6</v>
      </c>
      <c r="AE66" s="33">
        <f ca="1">IF(AB66&lt;Bewertung_Stammdaten!P$11,Bewertung_Stammdaten!O$11,IF(AB66&lt;Bewertung_Stammdaten!P$12,Bewertung_Stammdaten!O$12,IF(AB66&lt;Bewertung_Stammdaten!P$13,Bewertung_Stammdaten!O$13,IF(AB66&lt;Bewertung_Stammdaten!P$14,Bewertung_Stammdaten!O$14,IF(AB66&lt;Bewertung_Stammdaten!P$15,Bewertung_Stammdaten!O$15,IF(AB66&lt;Bewertung_Stammdaten!P$16,Bewertung_Stammdaten!O$16,IF(AB66&lt;Bewertung_Stammdaten!P$17,Bewertung_Stammdaten!O$17,IF(AB66&lt;Bewertung_Stammdaten!P$18,Bewertung_Stammdaten!O$18,IF(AB66&lt;Bewertung_Stammdaten!P$19,Bewertung_Stammdaten!O$19,Bewertung_Stammdaten!O$20)))))))))</f>
        <v>5</v>
      </c>
      <c r="AF66" s="44"/>
      <c r="AG66" s="14">
        <f ca="1">VLOOKUP(A66,Dividende_je_Aktie!A3:AM68,24,FALSE)</f>
        <v>1.7243333333333335</v>
      </c>
      <c r="AH66" s="14">
        <f>VLOOKUP(A66,Dividende_je_Aktie!A3:AM68,20,FALSE)</f>
        <v>1.1157142857142857</v>
      </c>
      <c r="AI66" s="12">
        <f ca="1">VLOOKUP(A66,Dividende_je_Aktie!A3:AM68,25,FALSE)</f>
        <v>0.54549722577891613</v>
      </c>
      <c r="AJ66" s="41">
        <f>VLOOKUP(A66,Dividende_je_Aktie!A3:AM68,39,FALSE)</f>
        <v>5.1612903225806361E-2</v>
      </c>
      <c r="AK66" s="16">
        <f t="shared" ca="1" si="6"/>
        <v>1.7243333333333335</v>
      </c>
      <c r="AL66" s="12">
        <f t="shared" ca="1" si="7"/>
        <v>0.54549722577891613</v>
      </c>
      <c r="AM66" s="33">
        <f ca="1">IF(AI66&lt;Bewertung_Stammdaten!P$24,Bewertung_Stammdaten!O$24,IF(AI66&lt;Bewertung_Stammdaten!P$25,Bewertung_Stammdaten!O$25,IF(AI66&lt;Bewertung_Stammdaten!P$26,Bewertung_Stammdaten!O$26,IF(AI66&lt;Bewertung_Stammdaten!P$27,Bewertung_Stammdaten!O$27,IF(AI66&lt;Bewertung_Stammdaten!P$28,Bewertung_Stammdaten!O$28,IF(AI66&lt;Bewertung_Stammdaten!P$29,Bewertung_Stammdaten!O$29,IF(AI66&lt;Bewertung_Stammdaten!P$30,Bewertung_Stammdaten!O$30,IF(AI66&lt;Bewertung_Stammdaten!P$31,Bewertung_Stammdaten!O$31,IF(AI66&lt;Bewertung_Stammdaten!P$32,Bewertung_Stammdaten!O$32,Bewertung_Stammdaten!O$33)))))))))</f>
        <v>16</v>
      </c>
      <c r="AN66" s="33">
        <f>IF(AJ66&lt;Bewertung_Stammdaten!R$24,Bewertung_Stammdaten!Q$24,IF(AJ66&lt;Bewertung_Stammdaten!R$25,Bewertung_Stammdaten!Q$25,IF(AJ66&lt;Bewertung_Stammdaten!R$26,Bewertung_Stammdaten!Q$26,IF(AJ66&lt;Bewertung_Stammdaten!R$27,Bewertung_Stammdaten!Q$27,IF(AJ66&lt;Bewertung_Stammdaten!R$28,Bewertung_Stammdaten!Q$28,IF(AJ66&lt;Bewertung_Stammdaten!R$29,Bewertung_Stammdaten!Q$29,IF(AJ66&lt;Bewertung_Stammdaten!R$30,Bewertung_Stammdaten!Q$30,IF(AJ66&lt;Bewertung_Stammdaten!R$31,Bewertung_Stammdaten!Q$31,IF(AJ66&lt;Bewertung_Stammdaten!R$32,Bewertung_Stammdaten!Q$32,Bewertung_Stammdaten!Q$33)))))))))</f>
        <v>8</v>
      </c>
      <c r="AO66" s="33">
        <f ca="1">IF(AL66&lt;Bewertung_Stammdaten!T$24,Bewertung_Stammdaten!S$24,IF(AL66&lt;Bewertung_Stammdaten!T$25,Bewertung_Stammdaten!S$25,IF(AL66&lt;Bewertung_Stammdaten!T$26,Bewertung_Stammdaten!S$26,IF(AL66&lt;Bewertung_Stammdaten!T$27,Bewertung_Stammdaten!S$27,IF(AL66&lt;Bewertung_Stammdaten!T$28,Bewertung_Stammdaten!S$28,IF(AL66&lt;Bewertung_Stammdaten!T$29,Bewertung_Stammdaten!S$29,IF(AL66&lt;Bewertung_Stammdaten!T$30,Bewertung_Stammdaten!S$30,IF(AL66&lt;Bewertung_Stammdaten!T$31,Bewertung_Stammdaten!S$31,IF(AL66&lt;Bewertung_Stammdaten!T$32,Bewertung_Stammdaten!S$32,Bewertung_Stammdaten!S$33)))))))))</f>
        <v>9</v>
      </c>
      <c r="AP66" s="44"/>
      <c r="AQ66" s="12">
        <f ca="1">VLOOKUP(A66,Dividendenrendite!A3:R68,17,FALSE)</f>
        <v>3.306487695749441E-2</v>
      </c>
      <c r="AR66" s="12">
        <f>VLOOKUP(A66,Dividendenrendite!A3:R68,16,FALSE)</f>
        <v>2.8070443005272346E-2</v>
      </c>
      <c r="AS66" s="12">
        <f ca="1">VLOOKUP(A66,Dividendenrendite!A3:R68,18,FALSE)</f>
        <v>0.17792501355550328</v>
      </c>
      <c r="AT66" s="33">
        <f ca="1">IF(AQ66&lt;Bewertung_Stammdaten!D$11,Bewertung_Stammdaten!C$11,IF(AQ66&lt;Bewertung_Stammdaten!D$12,Bewertung_Stammdaten!C$12,IF(AQ66&lt;Bewertung_Stammdaten!D$13,Bewertung_Stammdaten!C$13,IF(AQ66&lt;Bewertung_Stammdaten!D$14,Bewertung_Stammdaten!C$14,IF(AQ66&lt;Bewertung_Stammdaten!D$15,Bewertung_Stammdaten!C$15,IF(AQ66&lt;Bewertung_Stammdaten!D$16,Bewertung_Stammdaten!C$16,IF(AQ66&lt;Bewertung_Stammdaten!D$17,Bewertung_Stammdaten!C$17,IF(AQ66&lt;Bewertung_Stammdaten!D$18,Bewertung_Stammdaten!C$18,IF(AQ66&lt;Bewertung_Stammdaten!D$19,Bewertung_Stammdaten!C$19,Bewertung_Stammdaten!C$20)))))))))</f>
        <v>10.5</v>
      </c>
      <c r="AU66" s="33">
        <f>IF(AR66&lt;Bewertung_Stammdaten!T$11,Bewertung_Stammdaten!S$11,IF(AR66&lt;Bewertung_Stammdaten!T$12,Bewertung_Stammdaten!S$12,IF(AR66&lt;Bewertung_Stammdaten!T$13,Bewertung_Stammdaten!S$13,IF(AR66&lt;Bewertung_Stammdaten!T$14,Bewertung_Stammdaten!S$14,IF(AR66&lt;Bewertung_Stammdaten!T$15,Bewertung_Stammdaten!S$15,IF(AR66&lt;Bewertung_Stammdaten!T$16,Bewertung_Stammdaten!S$16,IF(AR66&lt;Bewertung_Stammdaten!T$17,Bewertung_Stammdaten!S$17,IF(AR66&lt;Bewertung_Stammdaten!T$18,Bewertung_Stammdaten!S$18,IF(AR66&lt;Bewertung_Stammdaten!T$19,Bewertung_Stammdaten!S$19,Bewertung_Stammdaten!S$20)))))))))</f>
        <v>6</v>
      </c>
      <c r="AV66" s="33">
        <f ca="1">IF(AS66&lt;Bewertung_Stammdaten!F$11,Bewertung_Stammdaten!E$11,IF(AS66&lt;Bewertung_Stammdaten!F$12,Bewertung_Stammdaten!E$12,IF(AS66&lt;Bewertung_Stammdaten!F$13,Bewertung_Stammdaten!E$13,IF(AS66&lt;Bewertung_Stammdaten!F$14,Bewertung_Stammdaten!E$14,IF(AS66&lt;Bewertung_Stammdaten!F$15,Bewertung_Stammdaten!E$15,IF(AS66&lt;Bewertung_Stammdaten!F$16,Bewertung_Stammdaten!E$16,IF(AS66&lt;Bewertung_Stammdaten!F$17,Bewertung_Stammdaten!E$17,IF(AS66&lt;Bewertung_Stammdaten!F$18,Bewertung_Stammdaten!E$18,IF(AS66&lt;Bewertung_Stammdaten!F$19,Bewertung_Stammdaten!E$19,Bewertung_Stammdaten!E$20)))))))))</f>
        <v>4.5</v>
      </c>
      <c r="AW66" s="44"/>
      <c r="AX66" s="12">
        <f>VLOOKUP(A66,Aktien_im_Umlauf_splitbereinigt!A3:Z68,26,FALSE)</f>
        <v>-4.4163545568039919E-2</v>
      </c>
      <c r="AY66" s="12">
        <f>VLOOKUP(A66,Aktien_im_Umlauf_splitbereinigt!A3:Y68,24,FALSE)</f>
        <v>-1.8989436458442619E-2</v>
      </c>
      <c r="AZ66" s="12">
        <f>VLOOKUP(A66,Aktien_im_Umlauf_splitbereinigt!A3:Y68,25,FALSE)</f>
        <v>1.3256901627749467</v>
      </c>
      <c r="BA66" s="42">
        <f>IF(AX66&lt;Bewertung_Stammdaten!J$24,Bewertung_Stammdaten!I$24,IF(AX66&lt;Bewertung_Stammdaten!J$25,Bewertung_Stammdaten!I$25,IF(AX66&lt;Bewertung_Stammdaten!J$26,Bewertung_Stammdaten!I$26,IF(AX66&lt;Bewertung_Stammdaten!J$27,Bewertung_Stammdaten!I$27,IF(AX66&lt;Bewertung_Stammdaten!J$28,Bewertung_Stammdaten!I$28,IF(AX66&lt;Bewertung_Stammdaten!J$29,Bewertung_Stammdaten!I$29,IF(AX66&lt;Bewertung_Stammdaten!J$30,Bewertung_Stammdaten!I$30,IF(AX66&lt;Bewertung_Stammdaten!J$31,Bewertung_Stammdaten!I$31,IF(AX66&lt;Bewertung_Stammdaten!J$32,Bewertung_Stammdaten!I$32,Bewertung_Stammdaten!I$33)))))))))</f>
        <v>10</v>
      </c>
      <c r="BB66" s="42">
        <f>IF(AY66&lt;Bewertung_Stammdaten!L$24,Bewertung_Stammdaten!K$24,IF(AY66&lt;Bewertung_Stammdaten!L$25,Bewertung_Stammdaten!K$25,IF(AY66&lt;Bewertung_Stammdaten!L$26,Bewertung_Stammdaten!K$26,IF(AY66&lt;Bewertung_Stammdaten!L$27,Bewertung_Stammdaten!K$27,IF(AY66&lt;Bewertung_Stammdaten!L$28,Bewertung_Stammdaten!K$28,IF(AY66&lt;Bewertung_Stammdaten!L$29,Bewertung_Stammdaten!K$29,IF(AY66&lt;Bewertung_Stammdaten!L$30,Bewertung_Stammdaten!K$30,IF(AY66&lt;Bewertung_Stammdaten!L$31,Bewertung_Stammdaten!K$31,IF(AY66&lt;Bewertung_Stammdaten!L$32,Bewertung_Stammdaten!K$32,Bewertung_Stammdaten!K$33)))))))))</f>
        <v>6</v>
      </c>
      <c r="BC66" s="42">
        <f>IF(AZ66&lt;Bewertung_Stammdaten!N$24,Bewertung_Stammdaten!M$24,IF(AZ66&lt;Bewertung_Stammdaten!N$25,Bewertung_Stammdaten!M$25,IF(AZ66&lt;Bewertung_Stammdaten!N$26,Bewertung_Stammdaten!M$26,IF(AZ66&lt;Bewertung_Stammdaten!N$27,Bewertung_Stammdaten!M$27,IF(AZ66&lt;Bewertung_Stammdaten!N$28,Bewertung_Stammdaten!M$28,IF(AZ66&lt;Bewertung_Stammdaten!N$29,Bewertung_Stammdaten!M$29,IF(AZ66&lt;Bewertung_Stammdaten!N$30,Bewertung_Stammdaten!M$30,IF(AZ66&lt;Bewertung_Stammdaten!N$31,Bewertung_Stammdaten!M$31,IF(AZ66&lt;Bewertung_Stammdaten!N$32,Bewertung_Stammdaten!M$32,Bewertung_Stammdaten!M$33)))))))))</f>
        <v>5</v>
      </c>
      <c r="BD66" s="44"/>
      <c r="BE66" s="12">
        <f ca="1">VLOOKUP(A66,Ausschüttungsquote!A3:X68,23,FALSE)</f>
        <v>0.58417699822693581</v>
      </c>
      <c r="BF66" s="12">
        <f>VLOOKUP(A66,Ausschüttungsquote!A3:X68,19,FALSE)</f>
        <v>0.4874463017587507</v>
      </c>
      <c r="BG66" s="12">
        <f ca="1">VLOOKUP(A66,Ausschüttungsquote!A3:X68,24,FALSE)</f>
        <v>0.19844380010510276</v>
      </c>
      <c r="BH66" s="33">
        <f ca="1">IF(BE66&lt;Bewertung_Stammdaten!H$11,Bewertung_Stammdaten!G$11,IF(BE66&lt;Bewertung_Stammdaten!H$12,Bewertung_Stammdaten!G$12,IF(BE66&lt;Bewertung_Stammdaten!H$13,Bewertung_Stammdaten!G$13,IF(BE66&lt;Bewertung_Stammdaten!H$14,Bewertung_Stammdaten!G$14,IF(BE66&lt;Bewertung_Stammdaten!H$15,Bewertung_Stammdaten!G$15,IF(BE66&lt;Bewertung_Stammdaten!H$16,Bewertung_Stammdaten!G$16,IF(BE66&lt;Bewertung_Stammdaten!H$17,Bewertung_Stammdaten!G$17,IF(BE66&lt;Bewertung_Stammdaten!H$18,Bewertung_Stammdaten!G$18,IF(BE66&lt;Bewertung_Stammdaten!H$19,Bewertung_Stammdaten!G$19,Bewertung_Stammdaten!G$20)))))))))</f>
        <v>6</v>
      </c>
      <c r="BI66" s="42">
        <f>IF(BF66&lt;Bewertung_Stammdaten!B$24,Bewertung_Stammdaten!A$24,IF(BF66&lt;Bewertung_Stammdaten!B$25,Bewertung_Stammdaten!A$25,IF(BF66&lt;Bewertung_Stammdaten!B$26,Bewertung_Stammdaten!A$26,IF(BF66&lt;Bewertung_Stammdaten!B$27,Bewertung_Stammdaten!A$27,IF(BF66&lt;Bewertung_Stammdaten!B$28,Bewertung_Stammdaten!A$28,IF(BF66&lt;Bewertung_Stammdaten!B$29,Bewertung_Stammdaten!A$29,IF(BF66&lt;Bewertung_Stammdaten!B$30,Bewertung_Stammdaten!A$30,IF(BF66&lt;Bewertung_Stammdaten!B$31,Bewertung_Stammdaten!A$31,IF(BF66&lt;Bewertung_Stammdaten!B$32,Bewertung_Stammdaten!A$32,Bewertung_Stammdaten!A$33)))))))))</f>
        <v>8</v>
      </c>
      <c r="BJ66" s="33">
        <f ca="1">IF(BG66&lt;Bewertung_Stammdaten!J$11,Bewertung_Stammdaten!I$11,IF(BG66&lt;Bewertung_Stammdaten!J$12,Bewertung_Stammdaten!I$12,IF(BG66&lt;Bewertung_Stammdaten!J$13,Bewertung_Stammdaten!I$13,IF(BG66&lt;Bewertung_Stammdaten!J$14,Bewertung_Stammdaten!I$14,IF(BG66&lt;Bewertung_Stammdaten!J$15,Bewertung_Stammdaten!I$15,IF(BG66&lt;Bewertung_Stammdaten!J$16,Bewertung_Stammdaten!I$16,IF(BG66&lt;Bewertung_Stammdaten!J$17,Bewertung_Stammdaten!I$17,IF(BG66&lt;Bewertung_Stammdaten!J$18,Bewertung_Stammdaten!I$18,IF(BG66&lt;Bewertung_Stammdaten!J$19,Bewertung_Stammdaten!I$19,Bewertung_Stammdaten!I$20)))))))))</f>
        <v>2</v>
      </c>
    </row>
    <row r="67" spans="1:62" x14ac:dyDescent="0.25">
      <c r="A67" s="39" t="s">
        <v>129</v>
      </c>
      <c r="B67" s="39" t="s">
        <v>130</v>
      </c>
      <c r="C67" s="33">
        <f t="shared" ca="1" si="8"/>
        <v>130.5</v>
      </c>
      <c r="D67" s="44"/>
      <c r="E67" s="11">
        <f ca="1">VLOOKUP(A67,KGV!A3:R68,17,FALSE)</f>
        <v>18.248045078196871</v>
      </c>
      <c r="F67" s="11">
        <f>VLOOKUP(A67,KGV!A3:R68,16,FALSE)</f>
        <v>16.642533936651585</v>
      </c>
      <c r="G67" s="12">
        <f ca="1">VLOOKUP(A67,KGV!A3:R68,18,FALSE)</f>
        <v>9.6470354073275644E-2</v>
      </c>
      <c r="H67" s="16">
        <f t="shared" ca="1" si="9"/>
        <v>20.351829723803526</v>
      </c>
      <c r="I67" s="12">
        <f t="shared" ref="I67" ca="1" si="15">(H67/F67)-1</f>
        <v>0.22288047008172351</v>
      </c>
      <c r="J67" s="33">
        <f ca="1">IF(G67&lt;Bewertung_Stammdaten!B$11,Bewertung_Stammdaten!A$11,IF(G67&lt;Bewertung_Stammdaten!B$12,Bewertung_Stammdaten!A$12,IF(G67&lt;Bewertung_Stammdaten!B$13,Bewertung_Stammdaten!A$13,IF(G67&lt;Bewertung_Stammdaten!B$14,Bewertung_Stammdaten!A$14,IF(G67&lt;Bewertung_Stammdaten!B$15,Bewertung_Stammdaten!A$15,IF(G67&lt;Bewertung_Stammdaten!B$16,Bewertung_Stammdaten!A$16,IF(G67&lt;Bewertung_Stammdaten!B$17,Bewertung_Stammdaten!A$17,IF(G67&lt;Bewertung_Stammdaten!B$18,Bewertung_Stammdaten!A$18,IF(G67&lt;Bewertung_Stammdaten!B$19,Bewertung_Stammdaten!A$19,Bewertung_Stammdaten!A$20)))))))))</f>
        <v>15</v>
      </c>
      <c r="K67" s="33">
        <f ca="1">IF(I67&lt;Bewertung_Stammdaten!N$11,Bewertung_Stammdaten!M$11,IF(I67&lt;Bewertung_Stammdaten!N$12,Bewertung_Stammdaten!M$12,IF(I67&lt;Bewertung_Stammdaten!N$13,Bewertung_Stammdaten!M$13,IF(I67&lt;Bewertung_Stammdaten!N$14,Bewertung_Stammdaten!M$14,IF(I67&lt;Bewertung_Stammdaten!N$15,Bewertung_Stammdaten!M$15,IF(I67&lt;Bewertung_Stammdaten!N$16,Bewertung_Stammdaten!M$16,IF(I67&lt;Bewertung_Stammdaten!N$17,Bewertung_Stammdaten!M$17,IF(I67&lt;Bewertung_Stammdaten!N$18,Bewertung_Stammdaten!M$18,IF(I67&lt;Bewertung_Stammdaten!N$19,Bewertung_Stammdaten!M$19,Bewertung_Stammdaten!M$20)))))))))</f>
        <v>7.5</v>
      </c>
      <c r="L67" s="44"/>
      <c r="M67" s="11">
        <f ca="1">VLOOKUP(A67,Buchwert_je_Aktie!A3:AK68,23,FALSE)</f>
        <v>2.3046111111111109</v>
      </c>
      <c r="N67" s="11">
        <f>VLOOKUP(A67,Buchwert_je_Aktie!A3:AK68,19,FALSE)</f>
        <v>9.5276923076923072</v>
      </c>
      <c r="O67" s="12">
        <f ca="1">VLOOKUP(A67,Buchwert_je_Aktie!A3:AK68,24,FALSE)</f>
        <v>-0.75811444821213914</v>
      </c>
      <c r="P67" s="12">
        <f>VLOOKUP(A67,Buchwert_je_Aktie!A3:AK68,37,FALSE)</f>
        <v>-0.84313725490196079</v>
      </c>
      <c r="Q67" s="16">
        <f t="shared" ref="Q67" ca="1" si="16">IF(P67&gt;0,M67,IF(M67&lt;0,ABS(M67)*(1+P67),M67*(1+P67)))</f>
        <v>0.3615076252723311</v>
      </c>
      <c r="R67" s="12">
        <f t="shared" ref="R67" ca="1" si="17">IF(N67&gt;0,(Q67/N67)-1,-99.99999)</f>
        <v>-0.96205716834700228</v>
      </c>
      <c r="S67" s="53">
        <f ca="1">IF(O67&lt;Bewertung_Stammdaten!D$24,Bewertung_Stammdaten!C$24,IF(O67&lt;Bewertung_Stammdaten!D$25,Bewertung_Stammdaten!C$25,IF(O67&lt;Bewertung_Stammdaten!D$26,Bewertung_Stammdaten!C$26,IF(O67&lt;Bewertung_Stammdaten!D$27,Bewertung_Stammdaten!C$27,IF(O67&lt;Bewertung_Stammdaten!D$28,Bewertung_Stammdaten!C$28,IF(O67&lt;Bewertung_Stammdaten!D$29,Bewertung_Stammdaten!C$29,IF(O67&lt;Bewertung_Stammdaten!D$30,Bewertung_Stammdaten!C$30,IF(O67&lt;Bewertung_Stammdaten!D$31,Bewertung_Stammdaten!C$31,IF(O67&lt;Bewertung_Stammdaten!D$32,Bewertung_Stammdaten!C$32,Bewertung_Stammdaten!C$33)))))))))</f>
        <v>1.5</v>
      </c>
      <c r="T67" s="53">
        <f>IF(P67&lt;Bewertung_Stammdaten!F$24,Bewertung_Stammdaten!E$24,IF(P67&lt;Bewertung_Stammdaten!F$25,Bewertung_Stammdaten!E$25,IF(P67&lt;Bewertung_Stammdaten!F$26,Bewertung_Stammdaten!E$26,IF(P67&lt;Bewertung_Stammdaten!F$27,Bewertung_Stammdaten!E$27,IF(P67&lt;Bewertung_Stammdaten!F$28,Bewertung_Stammdaten!E$28,IF(P67&lt;Bewertung_Stammdaten!F$29,Bewertung_Stammdaten!E$29,IF(P67&lt;Bewertung_Stammdaten!F$30,Bewertung_Stammdaten!E$30,IF(P67&lt;Bewertung_Stammdaten!F$31,Bewertung_Stammdaten!E$31,IF(P67&lt;Bewertung_Stammdaten!F$32,Bewertung_Stammdaten!E$32,Bewertung_Stammdaten!E$33)))))))))</f>
        <v>1.5</v>
      </c>
      <c r="U67" s="53">
        <f ca="1">IF(R67&lt;Bewertung_Stammdaten!H$24,Bewertung_Stammdaten!G$24,IF(R67&lt;Bewertung_Stammdaten!H$25,Bewertung_Stammdaten!G$25,IF(R67&lt;Bewertung_Stammdaten!H$26,Bewertung_Stammdaten!G$26,IF(R67&lt;Bewertung_Stammdaten!H$27,Bewertung_Stammdaten!G$27,IF(R67&lt;Bewertung_Stammdaten!H$28,Bewertung_Stammdaten!G$28,IF(R67&lt;Bewertung_Stammdaten!H$29,Bewertung_Stammdaten!G$29,IF(R67&lt;Bewertung_Stammdaten!H$30,Bewertung_Stammdaten!G$30,IF(R67&lt;Bewertung_Stammdaten!H$31,Bewertung_Stammdaten!G$31,IF(R67&lt;Bewertung_Stammdaten!H$32,Bewertung_Stammdaten!G$32,Bewertung_Stammdaten!G$33)))))))))</f>
        <v>1</v>
      </c>
      <c r="V67" s="44"/>
      <c r="W67" s="14">
        <f ca="1">VLOOKUP(A67,Ergebnis_je_Aktie_verwässert!A3:AK68,23,FALSE)</f>
        <v>5.7973333333333343</v>
      </c>
      <c r="X67" s="14">
        <f>VLOOKUP(A67,Ergebnis_je_Aktie_verwässert!A3:AK68,19,FALSE)</f>
        <v>4.7361538461538464</v>
      </c>
      <c r="Y67" s="12">
        <f ca="1">VLOOKUP(A67,Ergebnis_je_Aktie_verwässert!A3:AK68,24,FALSE)</f>
        <v>0.22405933625683527</v>
      </c>
      <c r="Z67" s="41">
        <f>VLOOKUP(A67,Ergebnis_je_Aktie_verwässert!A3:AK68,37,FALSE)</f>
        <v>-0.10337078651685394</v>
      </c>
      <c r="AA67" s="16">
        <f t="shared" ref="AA67" ca="1" si="18">IF(Z67&gt;0,W67,W67*(1+Z67))</f>
        <v>5.1980584269662931</v>
      </c>
      <c r="AB67" s="12">
        <f t="shared" ref="AB67" ca="1" si="19">IF(X67&gt;0,(AA67/X67)-1,-99.99999)</f>
        <v>9.7527359924667989E-2</v>
      </c>
      <c r="AC67" s="33">
        <f ca="1">IF(Y67&lt;Bewertung_Stammdaten!L$11,Bewertung_Stammdaten!K$11,IF(Y67&lt;Bewertung_Stammdaten!L$12,Bewertung_Stammdaten!K$12,IF(Y67&lt;Bewertung_Stammdaten!L$13,Bewertung_Stammdaten!K$13,IF(Y67&lt;Bewertung_Stammdaten!L$14,Bewertung_Stammdaten!K$14,IF(Y67&lt;Bewertung_Stammdaten!L$15,Bewertung_Stammdaten!K$15,IF(Y67&lt;Bewertung_Stammdaten!L$16,Bewertung_Stammdaten!K$16,IF(Y67&lt;Bewertung_Stammdaten!L$17,Bewertung_Stammdaten!K$17,IF(Y67&lt;Bewertung_Stammdaten!L$18,Bewertung_Stammdaten!K$18,IF(Y67&lt;Bewertung_Stammdaten!L$19,Bewertung_Stammdaten!K$19,Bewertung_Stammdaten!K$20)))))))))</f>
        <v>10</v>
      </c>
      <c r="AD67" s="33">
        <f>IF(Z67&lt;Bewertung_Stammdaten!R$11,Bewertung_Stammdaten!Q$11,IF(Z67&lt;Bewertung_Stammdaten!R$12,Bewertung_Stammdaten!Q$12,IF(Z67&lt;Bewertung_Stammdaten!R$13,Bewertung_Stammdaten!Q$13,IF(Z67&lt;Bewertung_Stammdaten!R$14,Bewertung_Stammdaten!Q$14,IF(Z67&lt;Bewertung_Stammdaten!R$15,Bewertung_Stammdaten!Q$15,IF(Z67&lt;Bewertung_Stammdaten!R$16,Bewertung_Stammdaten!Q$16,IF(Z67&lt;Bewertung_Stammdaten!R$17,Bewertung_Stammdaten!Q$17,IF(Z67&lt;Bewertung_Stammdaten!R$18,Bewertung_Stammdaten!Q$18,IF(Z67&lt;Bewertung_Stammdaten!R$19,Bewertung_Stammdaten!Q$19,Bewertung_Stammdaten!Q$20)))))))))</f>
        <v>6</v>
      </c>
      <c r="AE67" s="33">
        <f ca="1">IF(AB67&lt;Bewertung_Stammdaten!P$11,Bewertung_Stammdaten!O$11,IF(AB67&lt;Bewertung_Stammdaten!P$12,Bewertung_Stammdaten!O$12,IF(AB67&lt;Bewertung_Stammdaten!P$13,Bewertung_Stammdaten!O$13,IF(AB67&lt;Bewertung_Stammdaten!P$14,Bewertung_Stammdaten!O$14,IF(AB67&lt;Bewertung_Stammdaten!P$15,Bewertung_Stammdaten!O$15,IF(AB67&lt;Bewertung_Stammdaten!P$16,Bewertung_Stammdaten!O$16,IF(AB67&lt;Bewertung_Stammdaten!P$17,Bewertung_Stammdaten!O$17,IF(AB67&lt;Bewertung_Stammdaten!P$18,Bewertung_Stammdaten!O$18,IF(AB67&lt;Bewertung_Stammdaten!P$19,Bewertung_Stammdaten!O$19,Bewertung_Stammdaten!O$20)))))))))</f>
        <v>5</v>
      </c>
      <c r="AF67" s="44"/>
      <c r="AG67" s="14">
        <f ca="1">VLOOKUP(A67,Dividende_je_Aktie!A3:AM68,24,FALSE)</f>
        <v>3.5646111111111107</v>
      </c>
      <c r="AH67" s="14">
        <f>VLOOKUP(A67,Dividende_je_Aktie!A3:AM68,20,FALSE)</f>
        <v>2.7464285714285714</v>
      </c>
      <c r="AI67" s="12">
        <f ca="1">VLOOKUP(A67,Dividende_je_Aktie!A3:AM68,25,FALSE)</f>
        <v>0.29790781678948108</v>
      </c>
      <c r="AJ67" s="41">
        <f>VLOOKUP(A67,Dividende_je_Aktie!A3:AM68,39,FALSE)</f>
        <v>3.4482758620689724E-2</v>
      </c>
      <c r="AK67" s="16">
        <f t="shared" ref="AK67" ca="1" si="20">IF(AJ67&gt;0,AG67,AG67*(1+AJ67))</f>
        <v>3.5646111111111107</v>
      </c>
      <c r="AL67" s="12">
        <f t="shared" ref="AL67" ca="1" si="21">IF(AH67&gt;0,(AK67/AH67)-1,-99.99999)</f>
        <v>0.29790781678948108</v>
      </c>
      <c r="AM67" s="33">
        <f ca="1">IF(AI67&lt;Bewertung_Stammdaten!P$24,Bewertung_Stammdaten!O$24,IF(AI67&lt;Bewertung_Stammdaten!P$25,Bewertung_Stammdaten!O$25,IF(AI67&lt;Bewertung_Stammdaten!P$26,Bewertung_Stammdaten!O$26,IF(AI67&lt;Bewertung_Stammdaten!P$27,Bewertung_Stammdaten!O$27,IF(AI67&lt;Bewertung_Stammdaten!P$28,Bewertung_Stammdaten!O$28,IF(AI67&lt;Bewertung_Stammdaten!P$29,Bewertung_Stammdaten!O$29,IF(AI67&lt;Bewertung_Stammdaten!P$30,Bewertung_Stammdaten!O$30,IF(AI67&lt;Bewertung_Stammdaten!P$31,Bewertung_Stammdaten!O$31,IF(AI67&lt;Bewertung_Stammdaten!P$32,Bewertung_Stammdaten!O$32,Bewertung_Stammdaten!O$33)))))))))</f>
        <v>10</v>
      </c>
      <c r="AN67" s="33">
        <f>IF(AJ67&lt;Bewertung_Stammdaten!R$24,Bewertung_Stammdaten!Q$24,IF(AJ67&lt;Bewertung_Stammdaten!R$25,Bewertung_Stammdaten!Q$25,IF(AJ67&lt;Bewertung_Stammdaten!R$26,Bewertung_Stammdaten!Q$26,IF(AJ67&lt;Bewertung_Stammdaten!R$27,Bewertung_Stammdaten!Q$27,IF(AJ67&lt;Bewertung_Stammdaten!R$28,Bewertung_Stammdaten!Q$28,IF(AJ67&lt;Bewertung_Stammdaten!R$29,Bewertung_Stammdaten!Q$29,IF(AJ67&lt;Bewertung_Stammdaten!R$30,Bewertung_Stammdaten!Q$30,IF(AJ67&lt;Bewertung_Stammdaten!R$31,Bewertung_Stammdaten!Q$31,IF(AJ67&lt;Bewertung_Stammdaten!R$32,Bewertung_Stammdaten!Q$32,Bewertung_Stammdaten!Q$33)))))))))</f>
        <v>8</v>
      </c>
      <c r="AO67" s="33">
        <f ca="1">IF(AL67&lt;Bewertung_Stammdaten!T$24,Bewertung_Stammdaten!S$24,IF(AL67&lt;Bewertung_Stammdaten!T$25,Bewertung_Stammdaten!S$25,IF(AL67&lt;Bewertung_Stammdaten!T$26,Bewertung_Stammdaten!S$26,IF(AL67&lt;Bewertung_Stammdaten!T$27,Bewertung_Stammdaten!S$27,IF(AL67&lt;Bewertung_Stammdaten!T$28,Bewertung_Stammdaten!S$28,IF(AL67&lt;Bewertung_Stammdaten!T$29,Bewertung_Stammdaten!S$29,IF(AL67&lt;Bewertung_Stammdaten!T$30,Bewertung_Stammdaten!S$30,IF(AL67&lt;Bewertung_Stammdaten!T$31,Bewertung_Stammdaten!S$31,IF(AL67&lt;Bewertung_Stammdaten!T$32,Bewertung_Stammdaten!S$32,Bewertung_Stammdaten!S$33)))))))))</f>
        <v>7</v>
      </c>
      <c r="AP67" s="44"/>
      <c r="AQ67" s="12">
        <f ca="1">VLOOKUP(A67,Dividendenrendite!A3:R68,17,FALSE)</f>
        <v>3.3695161273382269E-2</v>
      </c>
      <c r="AR67" s="12">
        <f>VLOOKUP(A67,Dividendenrendite!A3:R68,16,FALSE)</f>
        <v>3.3753437105991928E-2</v>
      </c>
      <c r="AS67" s="12">
        <f ca="1">VLOOKUP(A67,Dividendenrendite!A3:R68,18,FALSE)</f>
        <v>-1.7265155079365657E-3</v>
      </c>
      <c r="AT67" s="33">
        <f ca="1">IF(AQ67&lt;Bewertung_Stammdaten!D$11,Bewertung_Stammdaten!C$11,IF(AQ67&lt;Bewertung_Stammdaten!D$12,Bewertung_Stammdaten!C$12,IF(AQ67&lt;Bewertung_Stammdaten!D$13,Bewertung_Stammdaten!C$13,IF(AQ67&lt;Bewertung_Stammdaten!D$14,Bewertung_Stammdaten!C$14,IF(AQ67&lt;Bewertung_Stammdaten!D$15,Bewertung_Stammdaten!C$15,IF(AQ67&lt;Bewertung_Stammdaten!D$16,Bewertung_Stammdaten!C$16,IF(AQ67&lt;Bewertung_Stammdaten!D$17,Bewertung_Stammdaten!C$17,IF(AQ67&lt;Bewertung_Stammdaten!D$18,Bewertung_Stammdaten!C$18,IF(AQ67&lt;Bewertung_Stammdaten!D$19,Bewertung_Stammdaten!C$19,Bewertung_Stammdaten!C$20)))))))))</f>
        <v>10.5</v>
      </c>
      <c r="AU67" s="33">
        <f>IF(AR67&lt;Bewertung_Stammdaten!T$11,Bewertung_Stammdaten!S$11,IF(AR67&lt;Bewertung_Stammdaten!T$12,Bewertung_Stammdaten!S$12,IF(AR67&lt;Bewertung_Stammdaten!T$13,Bewertung_Stammdaten!S$13,IF(AR67&lt;Bewertung_Stammdaten!T$14,Bewertung_Stammdaten!S$14,IF(AR67&lt;Bewertung_Stammdaten!T$15,Bewertung_Stammdaten!S$15,IF(AR67&lt;Bewertung_Stammdaten!T$16,Bewertung_Stammdaten!S$16,IF(AR67&lt;Bewertung_Stammdaten!T$17,Bewertung_Stammdaten!S$17,IF(AR67&lt;Bewertung_Stammdaten!T$18,Bewertung_Stammdaten!S$18,IF(AR67&lt;Bewertung_Stammdaten!T$19,Bewertung_Stammdaten!S$19,Bewertung_Stammdaten!S$20)))))))))</f>
        <v>7</v>
      </c>
      <c r="AV67" s="33">
        <f ca="1">IF(AS67&lt;Bewertung_Stammdaten!F$11,Bewertung_Stammdaten!E$11,IF(AS67&lt;Bewertung_Stammdaten!F$12,Bewertung_Stammdaten!E$12,IF(AS67&lt;Bewertung_Stammdaten!F$13,Bewertung_Stammdaten!E$13,IF(AS67&lt;Bewertung_Stammdaten!F$14,Bewertung_Stammdaten!E$14,IF(AS67&lt;Bewertung_Stammdaten!F$15,Bewertung_Stammdaten!E$15,IF(AS67&lt;Bewertung_Stammdaten!F$16,Bewertung_Stammdaten!E$16,IF(AS67&lt;Bewertung_Stammdaten!F$17,Bewertung_Stammdaten!E$17,IF(AS67&lt;Bewertung_Stammdaten!F$18,Bewertung_Stammdaten!E$18,IF(AS67&lt;Bewertung_Stammdaten!F$19,Bewertung_Stammdaten!E$19,Bewertung_Stammdaten!E$20)))))))))</f>
        <v>2.5</v>
      </c>
      <c r="AW67" s="44"/>
      <c r="AX67" s="12">
        <f>VLOOKUP(A67,Aktien_im_Umlauf_splitbereinigt!A3:Z68,26,FALSE)</f>
        <v>-4.0703781512605008E-2</v>
      </c>
      <c r="AY67" s="12">
        <f>VLOOKUP(A67,Aktien_im_Umlauf_splitbereinigt!A3:Y68,24,FALSE)</f>
        <v>-2.5397801448163837E-2</v>
      </c>
      <c r="AZ67" s="12">
        <f>VLOOKUP(A67,Aktien_im_Umlauf_splitbereinigt!A3:Y68,25,FALSE)</f>
        <v>0.60264980398717682</v>
      </c>
      <c r="BA67" s="42">
        <f>IF(AX67&lt;Bewertung_Stammdaten!J$24,Bewertung_Stammdaten!I$24,IF(AX67&lt;Bewertung_Stammdaten!J$25,Bewertung_Stammdaten!I$25,IF(AX67&lt;Bewertung_Stammdaten!J$26,Bewertung_Stammdaten!I$26,IF(AX67&lt;Bewertung_Stammdaten!J$27,Bewertung_Stammdaten!I$27,IF(AX67&lt;Bewertung_Stammdaten!J$28,Bewertung_Stammdaten!I$28,IF(AX67&lt;Bewertung_Stammdaten!J$29,Bewertung_Stammdaten!I$29,IF(AX67&lt;Bewertung_Stammdaten!J$30,Bewertung_Stammdaten!I$30,IF(AX67&lt;Bewertung_Stammdaten!J$31,Bewertung_Stammdaten!I$31,IF(AX67&lt;Bewertung_Stammdaten!J$32,Bewertung_Stammdaten!I$32,Bewertung_Stammdaten!I$33)))))))))</f>
        <v>10</v>
      </c>
      <c r="BB67" s="42">
        <f>IF(AY67&lt;Bewertung_Stammdaten!L$24,Bewertung_Stammdaten!K$24,IF(AY67&lt;Bewertung_Stammdaten!L$25,Bewertung_Stammdaten!K$25,IF(AY67&lt;Bewertung_Stammdaten!L$26,Bewertung_Stammdaten!K$26,IF(AY67&lt;Bewertung_Stammdaten!L$27,Bewertung_Stammdaten!K$27,IF(AY67&lt;Bewertung_Stammdaten!L$28,Bewertung_Stammdaten!K$28,IF(AY67&lt;Bewertung_Stammdaten!L$29,Bewertung_Stammdaten!K$29,IF(AY67&lt;Bewertung_Stammdaten!L$30,Bewertung_Stammdaten!K$30,IF(AY67&lt;Bewertung_Stammdaten!L$31,Bewertung_Stammdaten!K$31,IF(AY67&lt;Bewertung_Stammdaten!L$32,Bewertung_Stammdaten!K$32,Bewertung_Stammdaten!K$33)))))))))</f>
        <v>8</v>
      </c>
      <c r="BC67" s="42">
        <f>IF(AZ67&lt;Bewertung_Stammdaten!N$24,Bewertung_Stammdaten!M$24,IF(AZ67&lt;Bewertung_Stammdaten!N$25,Bewertung_Stammdaten!M$25,IF(AZ67&lt;Bewertung_Stammdaten!N$26,Bewertung_Stammdaten!M$26,IF(AZ67&lt;Bewertung_Stammdaten!N$27,Bewertung_Stammdaten!M$27,IF(AZ67&lt;Bewertung_Stammdaten!N$28,Bewertung_Stammdaten!M$28,IF(AZ67&lt;Bewertung_Stammdaten!N$29,Bewertung_Stammdaten!M$29,IF(AZ67&lt;Bewertung_Stammdaten!N$30,Bewertung_Stammdaten!M$30,IF(AZ67&lt;Bewertung_Stammdaten!N$31,Bewertung_Stammdaten!M$31,IF(AZ67&lt;Bewertung_Stammdaten!N$32,Bewertung_Stammdaten!M$32,Bewertung_Stammdaten!M$33)))))))))</f>
        <v>4</v>
      </c>
      <c r="BD67" s="44"/>
      <c r="BE67" s="12">
        <f ca="1">VLOOKUP(A67,Ausschüttungsquote!A3:X68,23,FALSE)</f>
        <v>0.61503633679668435</v>
      </c>
      <c r="BF67" s="12">
        <f>VLOOKUP(A67,Ausschüttungsquote!A3:X68,19,FALSE)</f>
        <v>0.59708999716446542</v>
      </c>
      <c r="BG67" s="12">
        <f ca="1">VLOOKUP(A67,Ausschüttungsquote!A3:X68,24,FALSE)</f>
        <v>3.0056339442035007E-2</v>
      </c>
      <c r="BH67" s="33">
        <f ca="1">IF(BE67&lt;Bewertung_Stammdaten!H$11,Bewertung_Stammdaten!G$11,IF(BE67&lt;Bewertung_Stammdaten!H$12,Bewertung_Stammdaten!G$12,IF(BE67&lt;Bewertung_Stammdaten!H$13,Bewertung_Stammdaten!G$13,IF(BE67&lt;Bewertung_Stammdaten!H$14,Bewertung_Stammdaten!G$14,IF(BE67&lt;Bewertung_Stammdaten!H$15,Bewertung_Stammdaten!G$15,IF(BE67&lt;Bewertung_Stammdaten!H$16,Bewertung_Stammdaten!G$16,IF(BE67&lt;Bewertung_Stammdaten!H$17,Bewertung_Stammdaten!G$17,IF(BE67&lt;Bewertung_Stammdaten!H$18,Bewertung_Stammdaten!G$18,IF(BE67&lt;Bewertung_Stammdaten!H$19,Bewertung_Stammdaten!G$19,Bewertung_Stammdaten!G$20)))))))))</f>
        <v>5</v>
      </c>
      <c r="BI67" s="42">
        <f>IF(BF67&lt;Bewertung_Stammdaten!B$24,Bewertung_Stammdaten!A$24,IF(BF67&lt;Bewertung_Stammdaten!B$25,Bewertung_Stammdaten!A$25,IF(BF67&lt;Bewertung_Stammdaten!B$26,Bewertung_Stammdaten!A$26,IF(BF67&lt;Bewertung_Stammdaten!B$27,Bewertung_Stammdaten!A$27,IF(BF67&lt;Bewertung_Stammdaten!B$28,Bewertung_Stammdaten!A$28,IF(BF67&lt;Bewertung_Stammdaten!B$29,Bewertung_Stammdaten!A$29,IF(BF67&lt;Bewertung_Stammdaten!B$30,Bewertung_Stammdaten!A$30,IF(BF67&lt;Bewertung_Stammdaten!B$31,Bewertung_Stammdaten!A$31,IF(BF67&lt;Bewertung_Stammdaten!B$32,Bewertung_Stammdaten!A$32,Bewertung_Stammdaten!A$33)))))))))</f>
        <v>6</v>
      </c>
      <c r="BJ67" s="33">
        <f ca="1">IF(BG67&lt;Bewertung_Stammdaten!J$11,Bewertung_Stammdaten!I$11,IF(BG67&lt;Bewertung_Stammdaten!J$12,Bewertung_Stammdaten!I$12,IF(BG67&lt;Bewertung_Stammdaten!J$13,Bewertung_Stammdaten!I$13,IF(BG67&lt;Bewertung_Stammdaten!J$14,Bewertung_Stammdaten!I$14,IF(BG67&lt;Bewertung_Stammdaten!J$15,Bewertung_Stammdaten!I$15,IF(BG67&lt;Bewertung_Stammdaten!J$16,Bewertung_Stammdaten!I$16,IF(BG67&lt;Bewertung_Stammdaten!J$17,Bewertung_Stammdaten!I$17,IF(BG67&lt;Bewertung_Stammdaten!J$18,Bewertung_Stammdaten!I$18,IF(BG67&lt;Bewertung_Stammdaten!J$19,Bewertung_Stammdaten!I$19,Bewertung_Stammdaten!I$20)))))))))</f>
        <v>5</v>
      </c>
    </row>
  </sheetData>
  <autoFilter ref="A2:BJ2">
    <sortState ref="A3:AZ67">
      <sortCondition ref="B2"/>
    </sortState>
  </autoFilter>
  <mergeCells count="7">
    <mergeCell ref="BH1:BJ1"/>
    <mergeCell ref="J1:K1"/>
    <mergeCell ref="S1:U1"/>
    <mergeCell ref="AC1:AE1"/>
    <mergeCell ref="AT1:AV1"/>
    <mergeCell ref="BA1:BC1"/>
    <mergeCell ref="AM1:AO1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01" operator="between" id="{63C8166B-FC08-4CD5-B8A8-1C89B662890E}">
            <xm:f>Bewertung_Stammdaten!$A$7</xm:f>
            <xm:f>"6Bewertung_Stammdaten!$B$7 "</xm:f>
            <x14:dxf>
              <fill>
                <patternFill>
                  <bgColor rgb="FF00B050"/>
                </patternFill>
              </fill>
            </x14:dxf>
          </x14:cfRule>
          <x14:cfRule type="cellIs" priority="102" operator="between" id="{38F93A9E-F28E-496C-B499-CF4007FB1E34}">
            <xm:f>Bewertung_Stammdaten!$A$6</xm:f>
            <xm:f>"67 Bewertung_Stammdaten!$B$6"</xm:f>
            <x14:dxf>
              <fill>
                <patternFill>
                  <bgColor rgb="FF92D050"/>
                </patternFill>
              </fill>
            </x14:dxf>
          </x14:cfRule>
          <x14:cfRule type="cellIs" priority="103" operator="between" id="{0411EFE1-5851-481E-A5D4-7DD10713CBBF}">
            <xm:f>Bewertung_Stammdaten!$A$5</xm:f>
            <xm:f>"67 Bewertung_Stammdaten!$B$5"</xm:f>
            <x14:dxf>
              <fill>
                <patternFill>
                  <bgColor rgb="FFFFFF00"/>
                </patternFill>
              </fill>
            </x14:dxf>
          </x14:cfRule>
          <x14:cfRule type="cellIs" priority="104" operator="between" id="{2E20D4C0-1146-4971-978E-090611A1550F}">
            <xm:f>Bewertung_Stammdaten!$A$4</xm:f>
            <xm:f>"67 Bewertung_Stammdaten!$B$4"</xm:f>
            <x14:dxf>
              <fill>
                <patternFill>
                  <bgColor rgb="FFFFC000"/>
                </patternFill>
              </fill>
            </x14:dxf>
          </x14:cfRule>
          <x14:cfRule type="cellIs" priority="105" operator="between" id="{FF55B86A-F987-491E-9E01-784A52416E54}">
            <xm:f>Bewertung_Stammdaten!$A$3</xm:f>
            <xm:f>Bewertung_Stammdaten!$B$3</xm:f>
            <x14:dxf>
              <fill>
                <patternFill>
                  <bgColor rgb="FFFF0000"/>
                </patternFill>
              </fill>
            </x14:dxf>
          </x14:cfRule>
          <xm:sqref>C3:C67</xm:sqref>
        </x14:conditionalFormatting>
        <x14:conditionalFormatting xmlns:xm="http://schemas.microsoft.com/office/excel/2006/main">
          <x14:cfRule type="cellIs" priority="96" operator="between" id="{6249F996-33D3-4149-8D87-D5130F4D4AEC}">
            <xm:f>Bewertung_Stammdaten!$A$20</xm:f>
            <xm:f>Bewertung_Stammdaten!$A$19</xm:f>
            <x14:dxf>
              <fill>
                <patternFill>
                  <bgColor rgb="FFFF0000"/>
                </patternFill>
              </fill>
            </x14:dxf>
          </x14:cfRule>
          <x14:cfRule type="cellIs" priority="97" operator="between" id="{811E650F-7585-49A0-BEDE-AB313DAE7451}">
            <xm:f>Bewertung_Stammdaten!$A$18</xm:f>
            <xm:f>Bewertung_Stammdaten!$A$17</xm:f>
            <x14:dxf>
              <fill>
                <patternFill>
                  <bgColor rgb="FFFFC000"/>
                </patternFill>
              </fill>
            </x14:dxf>
          </x14:cfRule>
          <x14:cfRule type="cellIs" priority="98" operator="between" id="{4E9DB2B1-A882-4813-93F3-5F6ACEB79A5C}">
            <xm:f>Bewertung_Stammdaten!$A$16</xm:f>
            <xm:f>Bewertung_Stammdaten!$A$15</xm:f>
            <x14:dxf>
              <fill>
                <patternFill>
                  <bgColor rgb="FFFFFF00"/>
                </patternFill>
              </fill>
            </x14:dxf>
          </x14:cfRule>
          <x14:cfRule type="cellIs" priority="99" operator="between" id="{39464DE9-00F1-45EC-BCD8-9FA1E98A89F9}">
            <xm:f>Bewertung_Stammdaten!$A$14</xm:f>
            <xm:f>Bewertung_Stammdaten!$A$13</xm:f>
            <x14:dxf>
              <fill>
                <patternFill>
                  <bgColor rgb="FF92D050"/>
                </patternFill>
              </fill>
            </x14:dxf>
          </x14:cfRule>
          <x14:cfRule type="cellIs" priority="100" operator="between" id="{6274F28E-8965-448D-9EBA-0148C79CA3E6}">
            <xm:f>Bewertung_Stammdaten!$A$12</xm:f>
            <xm:f>Bewertung_Stammdaten!$A$11</xm:f>
            <x14:dxf>
              <fill>
                <patternFill>
                  <bgColor rgb="FF00B050"/>
                </patternFill>
              </fill>
            </x14:dxf>
          </x14:cfRule>
          <xm:sqref>J3:J67</xm:sqref>
        </x14:conditionalFormatting>
        <x14:conditionalFormatting xmlns:xm="http://schemas.microsoft.com/office/excel/2006/main">
          <x14:cfRule type="cellIs" priority="91" operator="between" id="{10002E2C-394C-42E1-850E-2E078FB9B1D5}">
            <xm:f>Bewertung_Stammdaten!$M$20</xm:f>
            <xm:f>Bewertung_Stammdaten!$M$19</xm:f>
            <x14:dxf>
              <fill>
                <patternFill>
                  <bgColor rgb="FFFF0000"/>
                </patternFill>
              </fill>
            </x14:dxf>
          </x14:cfRule>
          <x14:cfRule type="cellIs" priority="92" operator="between" id="{9319E1C4-C1D9-4B38-B2E9-DE276FFB1C32}">
            <xm:f>Bewertung_Stammdaten!$M$18</xm:f>
            <xm:f>Bewertung_Stammdaten!$M$17</xm:f>
            <x14:dxf>
              <fill>
                <patternFill>
                  <bgColor rgb="FFFFC000"/>
                </patternFill>
              </fill>
            </x14:dxf>
          </x14:cfRule>
          <x14:cfRule type="cellIs" priority="93" operator="between" id="{3207B45D-C773-4BC9-9503-35A7CA198346}">
            <xm:f>Bewertung_Stammdaten!$M$16</xm:f>
            <xm:f>Bewertung_Stammdaten!$M$15</xm:f>
            <x14:dxf>
              <fill>
                <patternFill>
                  <bgColor rgb="FFFFFF00"/>
                </patternFill>
              </fill>
            </x14:dxf>
          </x14:cfRule>
          <x14:cfRule type="cellIs" priority="94" operator="between" id="{3290EE89-EAC2-433A-95A0-59D2E6730CF4}">
            <xm:f>Bewertung_Stammdaten!$M$14</xm:f>
            <xm:f>Bewertung_Stammdaten!$M$13</xm:f>
            <x14:dxf>
              <fill>
                <patternFill>
                  <bgColor rgb="FF92D050"/>
                </patternFill>
              </fill>
            </x14:dxf>
          </x14:cfRule>
          <x14:cfRule type="cellIs" priority="95" operator="between" id="{C3DAE2D6-7D97-4E3B-95CA-65F7DC0197EA}">
            <xm:f>Bewertung_Stammdaten!$M$12</xm:f>
            <xm:f>Bewertung_Stammdaten!$M$11</xm:f>
            <x14:dxf>
              <fill>
                <patternFill>
                  <bgColor rgb="FF00B050"/>
                </patternFill>
              </fill>
            </x14:dxf>
          </x14:cfRule>
          <xm:sqref>K3:K67</xm:sqref>
        </x14:conditionalFormatting>
        <x14:conditionalFormatting xmlns:xm="http://schemas.microsoft.com/office/excel/2006/main">
          <x14:cfRule type="cellIs" priority="86" operator="between" id="{83343DFF-6FC7-42A8-8B0A-8F20D9EBD9B1}">
            <xm:f>Bewertung_Stammdaten!$K$19</xm:f>
            <xm:f>Bewertung_Stammdaten!$K$20</xm:f>
            <x14:dxf>
              <fill>
                <patternFill>
                  <bgColor rgb="FF00B050"/>
                </patternFill>
              </fill>
            </x14:dxf>
          </x14:cfRule>
          <x14:cfRule type="cellIs" priority="87" operator="between" id="{474FB891-9AF7-486F-8AE0-6CE6EB33929C}">
            <xm:f>Bewertung_Stammdaten!$K$17</xm:f>
            <xm:f>Bewertung_Stammdaten!$K$18</xm:f>
            <x14:dxf>
              <fill>
                <patternFill>
                  <bgColor rgb="FF92D050"/>
                </patternFill>
              </fill>
            </x14:dxf>
          </x14:cfRule>
          <x14:cfRule type="cellIs" priority="88" operator="between" id="{4C6B6BAA-3624-4511-A9D7-F7BDA4E9F1A3}">
            <xm:f>Bewertung_Stammdaten!$K$15</xm:f>
            <xm:f>Bewertung_Stammdaten!$K$16</xm:f>
            <x14:dxf>
              <fill>
                <patternFill>
                  <bgColor rgb="FFFFFF00"/>
                </patternFill>
              </fill>
            </x14:dxf>
          </x14:cfRule>
          <x14:cfRule type="cellIs" priority="89" operator="between" id="{9F6EEC9D-D707-45FD-95AE-49ED2C0E1523}">
            <xm:f>Bewertung_Stammdaten!$K$13</xm:f>
            <xm:f>Bewertung_Stammdaten!$K$14</xm:f>
            <x14:dxf>
              <fill>
                <patternFill>
                  <bgColor rgb="FFFFC000"/>
                </patternFill>
              </fill>
            </x14:dxf>
          </x14:cfRule>
          <x14:cfRule type="cellIs" priority="90" operator="between" id="{6B06BA73-AEEA-488B-A114-E7A6E446476C}">
            <xm:f>Bewertung_Stammdaten!$K$11</xm:f>
            <xm:f>Bewertung_Stammdaten!$K$12</xm:f>
            <x14:dxf>
              <fill>
                <patternFill>
                  <bgColor rgb="FFFF0000"/>
                </patternFill>
              </fill>
            </x14:dxf>
          </x14:cfRule>
          <xm:sqref>AC3:AC67</xm:sqref>
        </x14:conditionalFormatting>
        <x14:conditionalFormatting xmlns:xm="http://schemas.microsoft.com/office/excel/2006/main">
          <x14:cfRule type="cellIs" priority="81" operator="between" id="{2141D490-A578-4F00-B776-B176904B0AAA}">
            <xm:f>Bewertung_Stammdaten!$Q$19</xm:f>
            <xm:f>Bewertung_Stammdaten!$Q$20</xm:f>
            <x14:dxf>
              <fill>
                <patternFill>
                  <bgColor rgb="FF00B050"/>
                </patternFill>
              </fill>
            </x14:dxf>
          </x14:cfRule>
          <x14:cfRule type="cellIs" priority="82" operator="between" id="{2A51EBF7-F3A9-4851-90E4-FFFF34A4F66F}">
            <xm:f>Bewertung_Stammdaten!$Q$17</xm:f>
            <xm:f>Bewertung_Stammdaten!$Q$18</xm:f>
            <x14:dxf>
              <fill>
                <patternFill>
                  <bgColor rgb="FF92D050"/>
                </patternFill>
              </fill>
            </x14:dxf>
          </x14:cfRule>
          <x14:cfRule type="cellIs" priority="83" operator="between" id="{82F3751B-BA70-4503-AD1D-A341C1BB61AF}">
            <xm:f>Bewertung_Stammdaten!$Q$15</xm:f>
            <xm:f>Bewertung_Stammdaten!$Q$16</xm:f>
            <x14:dxf>
              <fill>
                <patternFill>
                  <bgColor rgb="FFFFFF00"/>
                </patternFill>
              </fill>
            </x14:dxf>
          </x14:cfRule>
          <x14:cfRule type="cellIs" priority="84" operator="between" id="{50487AAE-7F5B-4F6E-A6B2-859F0E316BB8}">
            <xm:f>Bewertung_Stammdaten!$Q$13</xm:f>
            <xm:f>Bewertung_Stammdaten!$Q$14</xm:f>
            <x14:dxf>
              <fill>
                <patternFill>
                  <bgColor rgb="FFFFC000"/>
                </patternFill>
              </fill>
            </x14:dxf>
          </x14:cfRule>
          <x14:cfRule type="cellIs" priority="85" operator="between" id="{7A478B27-05F2-40F5-8404-DDA0FC36B3FF}">
            <xm:f>Bewertung_Stammdaten!$Q$11</xm:f>
            <xm:f>Bewertung_Stammdaten!$Q$12</xm:f>
            <x14:dxf>
              <fill>
                <patternFill>
                  <bgColor rgb="FFFF0000"/>
                </patternFill>
              </fill>
            </x14:dxf>
          </x14:cfRule>
          <xm:sqref>AD3:AD67</xm:sqref>
        </x14:conditionalFormatting>
        <x14:conditionalFormatting xmlns:xm="http://schemas.microsoft.com/office/excel/2006/main">
          <x14:cfRule type="cellIs" priority="76" operator="between" id="{A6469B85-B972-4661-912C-EBCFD704B86E}">
            <xm:f>Bewertung_Stammdaten!$O$19</xm:f>
            <xm:f>Bewertung_Stammdaten!$O$20</xm:f>
            <x14:dxf>
              <fill>
                <patternFill>
                  <bgColor rgb="FF00B050"/>
                </patternFill>
              </fill>
            </x14:dxf>
          </x14:cfRule>
          <x14:cfRule type="cellIs" priority="77" operator="between" id="{F3EFB700-E1D8-4381-85FE-8F1264ABFA91}">
            <xm:f>Bewertung_Stammdaten!$O$17</xm:f>
            <xm:f>Bewertung_Stammdaten!$O$18</xm:f>
            <x14:dxf>
              <fill>
                <patternFill>
                  <bgColor rgb="FF92D050"/>
                </patternFill>
              </fill>
            </x14:dxf>
          </x14:cfRule>
          <x14:cfRule type="cellIs" priority="78" operator="between" id="{A20AFAB3-D9B2-4DD7-8005-45DE816BE0F3}">
            <xm:f>Bewertung_Stammdaten!$O$15</xm:f>
            <xm:f>Bewertung_Stammdaten!$O$16</xm:f>
            <x14:dxf>
              <fill>
                <patternFill>
                  <bgColor rgb="FFFFFF00"/>
                </patternFill>
              </fill>
            </x14:dxf>
          </x14:cfRule>
          <x14:cfRule type="cellIs" priority="79" operator="between" id="{56748A48-4C48-4786-9F33-1E056EFBE264}">
            <xm:f>Bewertung_Stammdaten!$O$13</xm:f>
            <xm:f>Bewertung_Stammdaten!$O$14</xm:f>
            <x14:dxf>
              <fill>
                <patternFill>
                  <bgColor rgb="FFFFC000"/>
                </patternFill>
              </fill>
            </x14:dxf>
          </x14:cfRule>
          <x14:cfRule type="cellIs" priority="80" operator="between" id="{1C4786A2-CD5F-4E88-9320-C57228BB3192}">
            <xm:f>Bewertung_Stammdaten!$O$11</xm:f>
            <xm:f>Bewertung_Stammdaten!$O$12</xm:f>
            <x14:dxf>
              <fill>
                <patternFill>
                  <bgColor rgb="FFFF0000"/>
                </patternFill>
              </fill>
            </x14:dxf>
          </x14:cfRule>
          <xm:sqref>AE3:AE67</xm:sqref>
        </x14:conditionalFormatting>
        <x14:conditionalFormatting xmlns:xm="http://schemas.microsoft.com/office/excel/2006/main">
          <x14:cfRule type="cellIs" priority="71" operator="between" id="{AE31C88E-B54C-4C46-9FA9-B56D0F1DACAA}">
            <xm:f>Bewertung_Stammdaten!$C$19</xm:f>
            <xm:f>Bewertung_Stammdaten!$C$20</xm:f>
            <x14:dxf>
              <fill>
                <patternFill>
                  <bgColor rgb="FF00B050"/>
                </patternFill>
              </fill>
            </x14:dxf>
          </x14:cfRule>
          <x14:cfRule type="cellIs" priority="72" operator="between" id="{FE3327C2-887E-47CB-9C60-0C1E1F776789}">
            <xm:f>Bewertung_Stammdaten!$C$17</xm:f>
            <xm:f>Bewertung_Stammdaten!$C$18</xm:f>
            <x14:dxf>
              <fill>
                <patternFill>
                  <bgColor rgb="FF92D050"/>
                </patternFill>
              </fill>
            </x14:dxf>
          </x14:cfRule>
          <x14:cfRule type="cellIs" priority="73" operator="between" id="{51F91D54-9001-499F-942C-01BD750D2BC8}">
            <xm:f>Bewertung_Stammdaten!$C$15</xm:f>
            <xm:f>Bewertung_Stammdaten!$C$16</xm:f>
            <x14:dxf>
              <fill>
                <patternFill>
                  <bgColor rgb="FFFFFF00"/>
                </patternFill>
              </fill>
            </x14:dxf>
          </x14:cfRule>
          <x14:cfRule type="cellIs" priority="74" operator="between" id="{C29345AC-D6E1-4EFA-9445-28D70C7A3E85}">
            <xm:f>Bewertung_Stammdaten!$C$13</xm:f>
            <xm:f>Bewertung_Stammdaten!$C$14</xm:f>
            <x14:dxf>
              <fill>
                <patternFill>
                  <bgColor rgb="FFFFC000"/>
                </patternFill>
              </fill>
            </x14:dxf>
          </x14:cfRule>
          <x14:cfRule type="cellIs" priority="75" operator="between" id="{E14CAA51-6369-4A10-B43B-72233B4FB6C2}">
            <xm:f>Bewertung_Stammdaten!$C$11</xm:f>
            <xm:f>Bewertung_Stammdaten!$C$12</xm:f>
            <x14:dxf>
              <fill>
                <patternFill>
                  <bgColor rgb="FFFF0000"/>
                </patternFill>
              </fill>
            </x14:dxf>
          </x14:cfRule>
          <xm:sqref>AT3:AT67</xm:sqref>
        </x14:conditionalFormatting>
        <x14:conditionalFormatting xmlns:xm="http://schemas.microsoft.com/office/excel/2006/main">
          <x14:cfRule type="cellIs" priority="66" operator="between" id="{3967F90A-B7D2-4E4B-A545-2FFD5959F1A0}">
            <xm:f>Bewertung_Stammdaten!$S$19</xm:f>
            <xm:f>Bewertung_Stammdaten!$S$20</xm:f>
            <x14:dxf>
              <fill>
                <patternFill>
                  <bgColor rgb="FF00B050"/>
                </patternFill>
              </fill>
            </x14:dxf>
          </x14:cfRule>
          <x14:cfRule type="cellIs" priority="67" operator="between" id="{B7BD374B-55A1-420A-9B46-488EB457FEC8}">
            <xm:f>Bewertung_Stammdaten!$S$17</xm:f>
            <xm:f>Bewertung_Stammdaten!$S$18</xm:f>
            <x14:dxf>
              <fill>
                <patternFill>
                  <bgColor rgb="FF92D050"/>
                </patternFill>
              </fill>
            </x14:dxf>
          </x14:cfRule>
          <x14:cfRule type="cellIs" priority="68" operator="between" id="{8E7EE116-4468-41E3-A1DD-E27695E060E9}">
            <xm:f>Bewertung_Stammdaten!$S$15</xm:f>
            <xm:f>Bewertung_Stammdaten!$S$16</xm:f>
            <x14:dxf>
              <fill>
                <patternFill>
                  <bgColor rgb="FFFFFF00"/>
                </patternFill>
              </fill>
            </x14:dxf>
          </x14:cfRule>
          <x14:cfRule type="cellIs" priority="69" operator="between" id="{3FE04EE0-2482-43D6-AD20-BC37427446CB}">
            <xm:f>Bewertung_Stammdaten!$S$13</xm:f>
            <xm:f>Bewertung_Stammdaten!$S$14</xm:f>
            <x14:dxf>
              <fill>
                <patternFill>
                  <bgColor rgb="FFFFC000"/>
                </patternFill>
              </fill>
            </x14:dxf>
          </x14:cfRule>
          <x14:cfRule type="cellIs" priority="70" operator="between" id="{14937FD4-5346-428B-BF0B-A732FE09DDF3}">
            <xm:f>Bewertung_Stammdaten!$S$11</xm:f>
            <xm:f>Bewertung_Stammdaten!$S$12</xm:f>
            <x14:dxf>
              <fill>
                <patternFill>
                  <bgColor rgb="FFFF0000"/>
                </patternFill>
              </fill>
            </x14:dxf>
          </x14:cfRule>
          <xm:sqref>AU3:AU67</xm:sqref>
        </x14:conditionalFormatting>
        <x14:conditionalFormatting xmlns:xm="http://schemas.microsoft.com/office/excel/2006/main">
          <x14:cfRule type="cellIs" priority="61" operator="between" id="{B7344835-C219-4818-9038-598B72EEB1AD}">
            <xm:f>Bewertung_Stammdaten!$E$19</xm:f>
            <xm:f>Bewertung_Stammdaten!$E$20</xm:f>
            <x14:dxf>
              <fill>
                <patternFill>
                  <bgColor rgb="FF00B050"/>
                </patternFill>
              </fill>
            </x14:dxf>
          </x14:cfRule>
          <x14:cfRule type="cellIs" priority="62" operator="between" id="{2A03A360-E0BE-4A85-8CE6-2C288A5FD500}">
            <xm:f>Bewertung_Stammdaten!$E$17</xm:f>
            <xm:f>Bewertung_Stammdaten!$E$18</xm:f>
            <x14:dxf>
              <fill>
                <patternFill>
                  <bgColor rgb="FF92D050"/>
                </patternFill>
              </fill>
            </x14:dxf>
          </x14:cfRule>
          <x14:cfRule type="cellIs" priority="63" operator="between" id="{3AFA8F76-BCF5-4415-870D-5F3207375419}">
            <xm:f>Bewertung_Stammdaten!$E$15</xm:f>
            <xm:f>Bewertung_Stammdaten!$E$16</xm:f>
            <x14:dxf>
              <fill>
                <patternFill>
                  <bgColor rgb="FFFFFF00"/>
                </patternFill>
              </fill>
            </x14:dxf>
          </x14:cfRule>
          <x14:cfRule type="cellIs" priority="64" operator="between" id="{9E615651-38F6-4321-9408-F67B37987A45}">
            <xm:f>Bewertung_Stammdaten!$E$13</xm:f>
            <xm:f>Bewertung_Stammdaten!$E$14</xm:f>
            <x14:dxf>
              <fill>
                <patternFill>
                  <bgColor rgb="FFFFC000"/>
                </patternFill>
              </fill>
            </x14:dxf>
          </x14:cfRule>
          <x14:cfRule type="cellIs" priority="65" operator="between" id="{E2729D43-96D7-4B61-A317-43291FA5676A}">
            <xm:f>Bewertung_Stammdaten!$E$11</xm:f>
            <xm:f>Bewertung_Stammdaten!$E$12</xm:f>
            <x14:dxf>
              <fill>
                <patternFill>
                  <bgColor rgb="FFFF0000"/>
                </patternFill>
              </fill>
            </x14:dxf>
          </x14:cfRule>
          <xm:sqref>AV3:AV67</xm:sqref>
        </x14:conditionalFormatting>
        <x14:conditionalFormatting xmlns:xm="http://schemas.microsoft.com/office/excel/2006/main">
          <x14:cfRule type="cellIs" priority="56" operator="between" id="{F104E4C2-445E-44E8-9984-BAFAFBA6216D}">
            <xm:f>Bewertung_Stammdaten!$G$20</xm:f>
            <xm:f>Bewertung_Stammdaten!$G$19</xm:f>
            <x14:dxf>
              <fill>
                <patternFill>
                  <bgColor rgb="FFFF0000"/>
                </patternFill>
              </fill>
            </x14:dxf>
          </x14:cfRule>
          <x14:cfRule type="cellIs" priority="57" operator="between" id="{30E7C4EE-420A-46CC-AD5E-344FC7A57536}">
            <xm:f>Bewertung_Stammdaten!$G$18</xm:f>
            <xm:f>Bewertung_Stammdaten!$G$17</xm:f>
            <x14:dxf>
              <fill>
                <patternFill>
                  <bgColor rgb="FFFFC000"/>
                </patternFill>
              </fill>
            </x14:dxf>
          </x14:cfRule>
          <x14:cfRule type="cellIs" priority="58" operator="between" id="{86F1F82F-ADCD-401F-B955-055AF040A463}">
            <xm:f>Bewertung_Stammdaten!$G$16</xm:f>
            <xm:f>Bewertung_Stammdaten!$G$15</xm:f>
            <x14:dxf>
              <fill>
                <patternFill>
                  <bgColor rgb="FFFFFF00"/>
                </patternFill>
              </fill>
            </x14:dxf>
          </x14:cfRule>
          <x14:cfRule type="cellIs" priority="59" operator="between" id="{4071E6DD-DF56-4577-8A73-CB5B48542EED}">
            <xm:f>Bewertung_Stammdaten!$G$14</xm:f>
            <xm:f>Bewertung_Stammdaten!$G$13</xm:f>
            <x14:dxf>
              <fill>
                <patternFill>
                  <bgColor rgb="FF92D050"/>
                </patternFill>
              </fill>
            </x14:dxf>
          </x14:cfRule>
          <x14:cfRule type="cellIs" priority="60" operator="between" id="{6000681D-D26A-4277-8FE4-DB58DF72D462}">
            <xm:f>Bewertung_Stammdaten!$G$12</xm:f>
            <xm:f>Bewertung_Stammdaten!$G$11</xm:f>
            <x14:dxf>
              <fill>
                <patternFill>
                  <bgColor rgb="FF00B050"/>
                </patternFill>
              </fill>
            </x14:dxf>
          </x14:cfRule>
          <xm:sqref>BH3:BH67</xm:sqref>
        </x14:conditionalFormatting>
        <x14:conditionalFormatting xmlns:xm="http://schemas.microsoft.com/office/excel/2006/main">
          <x14:cfRule type="cellIs" priority="51" operator="between" id="{75D940EC-5C0E-49DE-9CF1-309D220E98B7}">
            <xm:f>Bewertung_Stammdaten!$I$20</xm:f>
            <xm:f>Bewertung_Stammdaten!$I$19</xm:f>
            <x14:dxf>
              <fill>
                <patternFill>
                  <bgColor rgb="FFFF0000"/>
                </patternFill>
              </fill>
            </x14:dxf>
          </x14:cfRule>
          <x14:cfRule type="cellIs" priority="52" operator="between" id="{6D5150D3-E8DD-4844-94DF-10EBF9B1291B}">
            <xm:f>Bewertung_Stammdaten!$I$18</xm:f>
            <xm:f>Bewertung_Stammdaten!$I$17</xm:f>
            <x14:dxf>
              <fill>
                <patternFill>
                  <bgColor rgb="FFFFC000"/>
                </patternFill>
              </fill>
            </x14:dxf>
          </x14:cfRule>
          <x14:cfRule type="cellIs" priority="53" operator="between" id="{5B72B3DC-F313-41E6-AA7F-14FC26911B6E}">
            <xm:f>Bewertung_Stammdaten!$I$16</xm:f>
            <xm:f>Bewertung_Stammdaten!$I$15</xm:f>
            <x14:dxf>
              <fill>
                <patternFill>
                  <bgColor rgb="FFFFFF00"/>
                </patternFill>
              </fill>
            </x14:dxf>
          </x14:cfRule>
          <x14:cfRule type="cellIs" priority="54" operator="between" id="{97D499D2-2BE3-48CE-9035-8434CE183F60}">
            <xm:f>Bewertung_Stammdaten!$I$14</xm:f>
            <xm:f>Bewertung_Stammdaten!$I$13</xm:f>
            <x14:dxf>
              <fill>
                <patternFill>
                  <bgColor rgb="FF92D050"/>
                </patternFill>
              </fill>
            </x14:dxf>
          </x14:cfRule>
          <x14:cfRule type="cellIs" priority="55" operator="between" id="{E213560D-1716-48C5-B741-21C8436B8CEE}">
            <xm:f>Bewertung_Stammdaten!$I$12</xm:f>
            <xm:f>Bewertung_Stammdaten!$I$11</xm:f>
            <x14:dxf>
              <fill>
                <patternFill>
                  <bgColor rgb="FF00B050"/>
                </patternFill>
              </fill>
            </x14:dxf>
          </x14:cfRule>
          <xm:sqref>BJ3:BJ67</xm:sqref>
        </x14:conditionalFormatting>
        <x14:conditionalFormatting xmlns:xm="http://schemas.microsoft.com/office/excel/2006/main">
          <x14:cfRule type="cellIs" priority="46" operator="between" id="{BA5F3657-7131-46CF-B938-9AAE3F098D84}">
            <xm:f>Bewertung_Stammdaten!$A$33</xm:f>
            <xm:f>Bewertung_Stammdaten!$A$32</xm:f>
            <x14:dxf>
              <fill>
                <patternFill>
                  <bgColor rgb="FFFF0000"/>
                </patternFill>
              </fill>
            </x14:dxf>
          </x14:cfRule>
          <x14:cfRule type="cellIs" priority="47" operator="between" id="{A627B0AB-444C-48CD-875F-12AEE9E114B0}">
            <xm:f>Bewertung_Stammdaten!$A$31</xm:f>
            <xm:f>Bewertung_Stammdaten!$A$30</xm:f>
            <x14:dxf>
              <fill>
                <patternFill>
                  <bgColor rgb="FFFFC000"/>
                </patternFill>
              </fill>
            </x14:dxf>
          </x14:cfRule>
          <x14:cfRule type="cellIs" priority="48" operator="between" id="{7FABBEDD-B69F-430B-8545-E04D467CC568}">
            <xm:f>Bewertung_Stammdaten!$A$29</xm:f>
            <xm:f>Bewertung_Stammdaten!$A$28</xm:f>
            <x14:dxf>
              <fill>
                <patternFill>
                  <bgColor rgb="FFFFFF00"/>
                </patternFill>
              </fill>
            </x14:dxf>
          </x14:cfRule>
          <x14:cfRule type="cellIs" priority="49" operator="between" id="{EF8B7B9A-0D46-4272-BD1D-0D6454C17D53}">
            <xm:f>Bewertung_Stammdaten!$A$27</xm:f>
            <xm:f>Bewertung_Stammdaten!$A$26</xm:f>
            <x14:dxf>
              <fill>
                <patternFill>
                  <bgColor rgb="FF92D050"/>
                </patternFill>
              </fill>
            </x14:dxf>
          </x14:cfRule>
          <x14:cfRule type="cellIs" priority="50" operator="between" id="{1C65C7BC-91EA-41EE-9C81-B596025F81E2}">
            <xm:f>Bewertung_Stammdaten!$A$25</xm:f>
            <xm:f>Bewertung_Stammdaten!$A$24</xm:f>
            <x14:dxf>
              <fill>
                <patternFill>
                  <bgColor rgb="FF00B050"/>
                </patternFill>
              </fill>
            </x14:dxf>
          </x14:cfRule>
          <xm:sqref>BI3:BI67</xm:sqref>
        </x14:conditionalFormatting>
        <x14:conditionalFormatting xmlns:xm="http://schemas.microsoft.com/office/excel/2006/main">
          <x14:cfRule type="cellIs" priority="41" operator="between" id="{FEC46B71-8682-4C20-AC61-67A9994C73BA}">
            <xm:f>Bewertung_Stammdaten!$I$33</xm:f>
            <xm:f>Bewertung_Stammdaten!$I$32</xm:f>
            <x14:dxf>
              <fill>
                <patternFill>
                  <bgColor rgb="FFFF0000"/>
                </patternFill>
              </fill>
            </x14:dxf>
          </x14:cfRule>
          <x14:cfRule type="cellIs" priority="42" operator="between" id="{E279EBD3-B9A9-4C5B-9EE1-365BB589F7F4}">
            <xm:f>Bewertung_Stammdaten!$I$31</xm:f>
            <xm:f>Bewertung_Stammdaten!$I$30</xm:f>
            <x14:dxf>
              <fill>
                <patternFill>
                  <bgColor rgb="FFFFC000"/>
                </patternFill>
              </fill>
            </x14:dxf>
          </x14:cfRule>
          <x14:cfRule type="cellIs" priority="43" operator="between" id="{7A3E30B2-AE13-468B-B46F-1B0F06C78F37}">
            <xm:f>Bewertung_Stammdaten!$I$29</xm:f>
            <xm:f>Bewertung_Stammdaten!$I$28</xm:f>
            <x14:dxf>
              <fill>
                <patternFill>
                  <bgColor rgb="FFFFFF00"/>
                </patternFill>
              </fill>
            </x14:dxf>
          </x14:cfRule>
          <x14:cfRule type="cellIs" priority="44" operator="between" id="{FE7326CE-44FE-46FE-A6BD-265E04A3684C}">
            <xm:f>Bewertung_Stammdaten!$I$27</xm:f>
            <xm:f>Bewertung_Stammdaten!$I$26</xm:f>
            <x14:dxf>
              <fill>
                <patternFill>
                  <bgColor rgb="FF92D050"/>
                </patternFill>
              </fill>
            </x14:dxf>
          </x14:cfRule>
          <x14:cfRule type="cellIs" priority="45" operator="between" id="{0A769247-FF20-4D62-B743-3797E6617714}">
            <xm:f>Bewertung_Stammdaten!$I$25</xm:f>
            <xm:f>Bewertung_Stammdaten!$I$24</xm:f>
            <x14:dxf>
              <fill>
                <patternFill>
                  <bgColor rgb="FF00B050"/>
                </patternFill>
              </fill>
            </x14:dxf>
          </x14:cfRule>
          <xm:sqref>BA3:BA67</xm:sqref>
        </x14:conditionalFormatting>
        <x14:conditionalFormatting xmlns:xm="http://schemas.microsoft.com/office/excel/2006/main">
          <x14:cfRule type="cellIs" priority="36" operator="between" id="{A27645EB-6727-4B3B-8DA4-74BEF119BA4E}">
            <xm:f>Bewertung_Stammdaten!$K$33</xm:f>
            <xm:f>Bewertung_Stammdaten!$K$32</xm:f>
            <x14:dxf>
              <fill>
                <patternFill>
                  <bgColor rgb="FFFF0000"/>
                </patternFill>
              </fill>
            </x14:dxf>
          </x14:cfRule>
          <x14:cfRule type="cellIs" priority="37" operator="between" id="{8C3BE8AC-D426-4A79-B71A-059EE5271D53}">
            <xm:f>Bewertung_Stammdaten!$K$31</xm:f>
            <xm:f>Bewertung_Stammdaten!$K$30</xm:f>
            <x14:dxf>
              <fill>
                <patternFill>
                  <bgColor rgb="FFFFC000"/>
                </patternFill>
              </fill>
            </x14:dxf>
          </x14:cfRule>
          <x14:cfRule type="cellIs" priority="38" operator="between" id="{9F6AFFE6-40F9-4FD8-8439-A367C80DCD4A}">
            <xm:f>Bewertung_Stammdaten!$K$29</xm:f>
            <xm:f>Bewertung_Stammdaten!$K$28</xm:f>
            <x14:dxf>
              <fill>
                <patternFill>
                  <bgColor rgb="FFFFFF00"/>
                </patternFill>
              </fill>
            </x14:dxf>
          </x14:cfRule>
          <x14:cfRule type="cellIs" priority="39" operator="between" id="{68EF9315-0C66-4D4C-B5EA-1DAC8061449A}">
            <xm:f>Bewertung_Stammdaten!$K$27</xm:f>
            <xm:f>Bewertung_Stammdaten!$K$26</xm:f>
            <x14:dxf>
              <fill>
                <patternFill>
                  <bgColor rgb="FF92D050"/>
                </patternFill>
              </fill>
            </x14:dxf>
          </x14:cfRule>
          <x14:cfRule type="cellIs" priority="40" operator="between" id="{37CC2720-5E18-41C5-BEB5-31C061ECCB6B}">
            <xm:f>Bewertung_Stammdaten!$K$25</xm:f>
            <xm:f>Bewertung_Stammdaten!$K$24</xm:f>
            <x14:dxf>
              <fill>
                <patternFill>
                  <bgColor rgb="FF00B050"/>
                </patternFill>
              </fill>
            </x14:dxf>
          </x14:cfRule>
          <xm:sqref>BB3:BB67</xm:sqref>
        </x14:conditionalFormatting>
        <x14:conditionalFormatting xmlns:xm="http://schemas.microsoft.com/office/excel/2006/main">
          <x14:cfRule type="cellIs" priority="31" operator="between" id="{8B444E0E-3779-42B4-9CE5-46AF6A24CFA8}">
            <xm:f>Bewertung_Stammdaten!$M$32</xm:f>
            <xm:f>Bewertung_Stammdaten!$M$33</xm:f>
            <x14:dxf>
              <fill>
                <patternFill>
                  <bgColor rgb="FF00B050"/>
                </patternFill>
              </fill>
            </x14:dxf>
          </x14:cfRule>
          <x14:cfRule type="cellIs" priority="32" operator="between" id="{DBAEBFE4-5551-4089-81E2-D520756948ED}">
            <xm:f>Bewertung_Stammdaten!$M$30</xm:f>
            <xm:f>Bewertung_Stammdaten!$M$31</xm:f>
            <x14:dxf>
              <fill>
                <patternFill>
                  <bgColor rgb="FF92D050"/>
                </patternFill>
              </fill>
            </x14:dxf>
          </x14:cfRule>
          <x14:cfRule type="cellIs" priority="33" operator="between" id="{97F43D8B-2A4D-4197-8347-9424FD33878F}">
            <xm:f>Bewertung_Stammdaten!$M$28</xm:f>
            <xm:f>Bewertung_Stammdaten!$M$29</xm:f>
            <x14:dxf>
              <fill>
                <patternFill>
                  <bgColor rgb="FFFFFF00"/>
                </patternFill>
              </fill>
            </x14:dxf>
          </x14:cfRule>
          <x14:cfRule type="cellIs" priority="34" operator="between" id="{68933F9F-29B7-4838-B9A4-3FC95E773E38}">
            <xm:f>Bewertung_Stammdaten!$M$26</xm:f>
            <xm:f>Bewertung_Stammdaten!$M$27</xm:f>
            <x14:dxf>
              <fill>
                <patternFill>
                  <bgColor rgb="FFFFC000"/>
                </patternFill>
              </fill>
            </x14:dxf>
          </x14:cfRule>
          <x14:cfRule type="cellIs" priority="35" operator="between" id="{CB50099C-477D-428A-9D0B-29EBFA52F168}">
            <xm:f>Bewertung_Stammdaten!$M$24</xm:f>
            <xm:f>Bewertung_Stammdaten!$M$25</xm:f>
            <x14:dxf>
              <fill>
                <patternFill>
                  <bgColor rgb="FFFF0000"/>
                </patternFill>
              </fill>
            </x14:dxf>
          </x14:cfRule>
          <xm:sqref>BC3:BC67</xm:sqref>
        </x14:conditionalFormatting>
        <x14:conditionalFormatting xmlns:xm="http://schemas.microsoft.com/office/excel/2006/main">
          <x14:cfRule type="cellIs" priority="26" operator="between" id="{3F98EAF3-FDD8-46D2-A390-96B1C78F66E3}">
            <xm:f>Bewertung_Stammdaten!$C$32</xm:f>
            <xm:f>Bewertung_Stammdaten!$C$33</xm:f>
            <x14:dxf>
              <fill>
                <patternFill>
                  <bgColor rgb="FF00B050"/>
                </patternFill>
              </fill>
            </x14:dxf>
          </x14:cfRule>
          <x14:cfRule type="cellIs" priority="27" operator="between" id="{0D639024-1C66-4E16-8733-A27E894490BE}">
            <xm:f>Bewertung_Stammdaten!$C$30</xm:f>
            <xm:f>Bewertung_Stammdaten!$C$31</xm:f>
            <x14:dxf>
              <fill>
                <patternFill>
                  <bgColor rgb="FF92D050"/>
                </patternFill>
              </fill>
            </x14:dxf>
          </x14:cfRule>
          <x14:cfRule type="cellIs" priority="28" operator="between" id="{6B11322E-32AD-4C2F-9A41-CA83B9B8B1CC}">
            <xm:f>Bewertung_Stammdaten!$C$28</xm:f>
            <xm:f>Bewertung_Stammdaten!$C$29</xm:f>
            <x14:dxf>
              <fill>
                <patternFill>
                  <bgColor rgb="FFFFFF00"/>
                </patternFill>
              </fill>
            </x14:dxf>
          </x14:cfRule>
          <x14:cfRule type="cellIs" priority="29" operator="between" id="{DDFA5510-7986-4D6E-84AA-C824C1C94832}">
            <xm:f>Bewertung_Stammdaten!$C$26</xm:f>
            <xm:f>Bewertung_Stammdaten!$C$27</xm:f>
            <x14:dxf>
              <fill>
                <patternFill>
                  <bgColor rgb="FFFFC000"/>
                </patternFill>
              </fill>
            </x14:dxf>
          </x14:cfRule>
          <x14:cfRule type="cellIs" priority="30" operator="between" id="{870DE190-6EB5-4E5B-BA5C-6120049962A8}">
            <xm:f>Bewertung_Stammdaten!$C$24</xm:f>
            <xm:f>Bewertung_Stammdaten!$C$25</xm:f>
            <x14:dxf>
              <fill>
                <patternFill>
                  <bgColor rgb="FFFF0000"/>
                </patternFill>
              </fill>
            </x14:dxf>
          </x14:cfRule>
          <xm:sqref>S3:S67</xm:sqref>
        </x14:conditionalFormatting>
        <x14:conditionalFormatting xmlns:xm="http://schemas.microsoft.com/office/excel/2006/main">
          <x14:cfRule type="cellIs" priority="21" operator="between" id="{1A7BCB38-44A3-475E-BA50-9305C98BC1D5}">
            <xm:f>Bewertung_Stammdaten!$E$32</xm:f>
            <xm:f>Bewertung_Stammdaten!$E$33</xm:f>
            <x14:dxf>
              <fill>
                <patternFill>
                  <bgColor rgb="FF00B050"/>
                </patternFill>
              </fill>
            </x14:dxf>
          </x14:cfRule>
          <x14:cfRule type="cellIs" priority="22" operator="between" id="{AB15FA17-7315-4B78-A77C-52FE0F358DC4}">
            <xm:f>Bewertung_Stammdaten!$E$30</xm:f>
            <xm:f>Bewertung_Stammdaten!$E$31</xm:f>
            <x14:dxf>
              <fill>
                <patternFill>
                  <bgColor rgb="FF92D050"/>
                </patternFill>
              </fill>
            </x14:dxf>
          </x14:cfRule>
          <x14:cfRule type="cellIs" priority="23" operator="between" id="{92D1AA71-4E29-4CA6-A760-E31F051F21A8}">
            <xm:f>Bewertung_Stammdaten!$E$28</xm:f>
            <xm:f>Bewertung_Stammdaten!$E$29</xm:f>
            <x14:dxf>
              <fill>
                <patternFill>
                  <bgColor rgb="FFFFFF00"/>
                </patternFill>
              </fill>
            </x14:dxf>
          </x14:cfRule>
          <x14:cfRule type="cellIs" priority="24" operator="between" id="{E07C66A7-E7AC-41F9-9A3A-28D5E316CB15}">
            <xm:f>Bewertung_Stammdaten!$E$26</xm:f>
            <xm:f>Bewertung_Stammdaten!$E$27</xm:f>
            <x14:dxf>
              <fill>
                <patternFill>
                  <bgColor rgb="FFFFC000"/>
                </patternFill>
              </fill>
            </x14:dxf>
          </x14:cfRule>
          <x14:cfRule type="cellIs" priority="25" operator="between" id="{5AD0F363-A209-406F-A23A-19C766214704}">
            <xm:f>Bewertung_Stammdaten!$E$24</xm:f>
            <xm:f>Bewertung_Stammdaten!$E$25</xm:f>
            <x14:dxf>
              <fill>
                <patternFill>
                  <bgColor rgb="FFFF0000"/>
                </patternFill>
              </fill>
            </x14:dxf>
          </x14:cfRule>
          <xm:sqref>T3:T67</xm:sqref>
        </x14:conditionalFormatting>
        <x14:conditionalFormatting xmlns:xm="http://schemas.microsoft.com/office/excel/2006/main">
          <x14:cfRule type="cellIs" priority="16" operator="between" id="{9CEEA2A0-6B41-47E3-84BA-8D4B87B67EB1}">
            <xm:f>Bewertung_Stammdaten!$G$32</xm:f>
            <xm:f>Bewertung_Stammdaten!$G$33</xm:f>
            <x14:dxf>
              <fill>
                <patternFill>
                  <bgColor rgb="FF00B050"/>
                </patternFill>
              </fill>
            </x14:dxf>
          </x14:cfRule>
          <x14:cfRule type="cellIs" priority="17" operator="between" id="{08BED081-97FF-4765-ABD4-C5DECFA774C5}">
            <xm:f>Bewertung_Stammdaten!$G$30</xm:f>
            <xm:f>Bewertung_Stammdaten!$G$31</xm:f>
            <x14:dxf>
              <fill>
                <patternFill>
                  <bgColor rgb="FF92D050"/>
                </patternFill>
              </fill>
            </x14:dxf>
          </x14:cfRule>
          <x14:cfRule type="cellIs" priority="18" operator="between" id="{A4B2789F-FC41-4A09-A40D-9C96B1BB6C1B}">
            <xm:f>Bewertung_Stammdaten!$G$28</xm:f>
            <xm:f>Bewertung_Stammdaten!$G$29</xm:f>
            <x14:dxf>
              <fill>
                <patternFill>
                  <bgColor rgb="FFFFFF00"/>
                </patternFill>
              </fill>
            </x14:dxf>
          </x14:cfRule>
          <x14:cfRule type="cellIs" priority="19" operator="between" id="{85EF9746-1259-4709-96DE-7D3900B1AB12}">
            <xm:f>Bewertung_Stammdaten!$G$26</xm:f>
            <xm:f>Bewertung_Stammdaten!$G$27</xm:f>
            <x14:dxf>
              <fill>
                <patternFill>
                  <bgColor rgb="FFFFC000"/>
                </patternFill>
              </fill>
            </x14:dxf>
          </x14:cfRule>
          <x14:cfRule type="cellIs" priority="20" operator="between" id="{DE8B56EE-1936-47D0-A689-FBA5A5EB1920}">
            <xm:f>Bewertung_Stammdaten!$G$24</xm:f>
            <xm:f>Bewertung_Stammdaten!$G$25</xm:f>
            <x14:dxf>
              <fill>
                <patternFill>
                  <bgColor rgb="FFFF0000"/>
                </patternFill>
              </fill>
            </x14:dxf>
          </x14:cfRule>
          <xm:sqref>U3:U67</xm:sqref>
        </x14:conditionalFormatting>
        <x14:conditionalFormatting xmlns:xm="http://schemas.microsoft.com/office/excel/2006/main">
          <x14:cfRule type="cellIs" priority="11" operator="between" id="{7EB8D8BF-A86C-4688-8C93-9791DA733EF2}">
            <xm:f>Bewertung_Stammdaten!$O$32</xm:f>
            <xm:f>Bewertung_Stammdaten!$O$33</xm:f>
            <x14:dxf>
              <fill>
                <patternFill>
                  <bgColor rgb="FF00B050"/>
                </patternFill>
              </fill>
            </x14:dxf>
          </x14:cfRule>
          <x14:cfRule type="cellIs" priority="12" operator="between" id="{A9786820-5000-42AF-B1FA-8A696A1D13BC}">
            <xm:f>Bewertung_Stammdaten!$O$30</xm:f>
            <xm:f>Bewertung_Stammdaten!$O$31</xm:f>
            <x14:dxf>
              <fill>
                <patternFill>
                  <bgColor rgb="FF92D050"/>
                </patternFill>
              </fill>
            </x14:dxf>
          </x14:cfRule>
          <x14:cfRule type="cellIs" priority="13" operator="between" id="{80FCD9ED-97B1-4C52-BF16-3161FE64F34D}">
            <xm:f>Bewertung_Stammdaten!$O$28</xm:f>
            <xm:f>Bewertung_Stammdaten!$O$29</xm:f>
            <x14:dxf>
              <fill>
                <patternFill>
                  <bgColor rgb="FFFFFF00"/>
                </patternFill>
              </fill>
            </x14:dxf>
          </x14:cfRule>
          <x14:cfRule type="cellIs" priority="14" operator="between" id="{F0E3AD58-55D9-4C9B-B654-D9A0F4FF7298}">
            <xm:f>Bewertung_Stammdaten!$O$26</xm:f>
            <xm:f>Bewertung_Stammdaten!$O$27</xm:f>
            <x14:dxf>
              <fill>
                <patternFill>
                  <bgColor rgb="FFFFC000"/>
                </patternFill>
              </fill>
            </x14:dxf>
          </x14:cfRule>
          <x14:cfRule type="cellIs" priority="15" operator="between" id="{C8F0A4D9-C0E0-40D0-BAF4-216EBB26933B}">
            <xm:f>Bewertung_Stammdaten!$O$24</xm:f>
            <xm:f>Bewertung_Stammdaten!$O$25</xm:f>
            <x14:dxf>
              <fill>
                <patternFill>
                  <bgColor rgb="FFFF0000"/>
                </patternFill>
              </fill>
            </x14:dxf>
          </x14:cfRule>
          <xm:sqref>AM3:AM67</xm:sqref>
        </x14:conditionalFormatting>
        <x14:conditionalFormatting xmlns:xm="http://schemas.microsoft.com/office/excel/2006/main">
          <x14:cfRule type="cellIs" priority="6" operator="between" id="{83668E61-3B59-48CB-8C23-AC3A08C3E671}">
            <xm:f>Bewertung_Stammdaten!$Q$32</xm:f>
            <xm:f>Bewertung_Stammdaten!$Q$33</xm:f>
            <x14:dxf>
              <fill>
                <patternFill>
                  <bgColor rgb="FF00B050"/>
                </patternFill>
              </fill>
            </x14:dxf>
          </x14:cfRule>
          <x14:cfRule type="cellIs" priority="7" operator="between" id="{960080D8-14C2-49F9-8749-1C68A2DE3149}">
            <xm:f>Bewertung_Stammdaten!$Q$30</xm:f>
            <xm:f>Bewertung_Stammdaten!$Q$31</xm:f>
            <x14:dxf>
              <fill>
                <patternFill>
                  <bgColor rgb="FF92D050"/>
                </patternFill>
              </fill>
            </x14:dxf>
          </x14:cfRule>
          <x14:cfRule type="cellIs" priority="8" operator="between" id="{638F3F71-6599-4195-9EAD-63EA24DE9180}">
            <xm:f>Bewertung_Stammdaten!$Q$28</xm:f>
            <xm:f>Bewertung_Stammdaten!$Q$29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between" id="{EE890125-7E93-46CD-8A50-2563B9540CFE}">
            <xm:f>Bewertung_Stammdaten!$Q$26</xm:f>
            <xm:f>Bewertung_Stammdaten!$Q$27</xm:f>
            <x14:dxf>
              <fill>
                <patternFill>
                  <bgColor rgb="FFFFC000"/>
                </patternFill>
              </fill>
            </x14:dxf>
          </x14:cfRule>
          <x14:cfRule type="cellIs" priority="10" operator="between" id="{8AEF939B-72DC-46C7-94BA-4C89976C30A4}">
            <xm:f>Bewertung_Stammdaten!$Q$24</xm:f>
            <xm:f>Bewertung_Stammdaten!$Q$25</xm:f>
            <x14:dxf>
              <fill>
                <patternFill>
                  <bgColor rgb="FFFF0000"/>
                </patternFill>
              </fill>
            </x14:dxf>
          </x14:cfRule>
          <xm:sqref>AN3:AN67</xm:sqref>
        </x14:conditionalFormatting>
        <x14:conditionalFormatting xmlns:xm="http://schemas.microsoft.com/office/excel/2006/main">
          <x14:cfRule type="cellIs" priority="1" operator="between" id="{0F447F61-BF20-4766-8A7C-2C05C04E04B7}">
            <xm:f>Bewertung_Stammdaten!$S$32</xm:f>
            <xm:f>Bewertung_Stammdaten!$S$33</xm:f>
            <x14:dxf>
              <fill>
                <patternFill>
                  <bgColor rgb="FF00B050"/>
                </patternFill>
              </fill>
            </x14:dxf>
          </x14:cfRule>
          <x14:cfRule type="cellIs" priority="2" operator="between" id="{C0B960CF-589D-4AA3-B8FD-251D31B72C40}">
            <xm:f>Bewertung_Stammdaten!$S$30</xm:f>
            <xm:f>Bewertung_Stammdaten!$S$31</xm:f>
            <x14:dxf>
              <fill>
                <patternFill>
                  <bgColor rgb="FF92D050"/>
                </patternFill>
              </fill>
            </x14:dxf>
          </x14:cfRule>
          <x14:cfRule type="cellIs" priority="3" operator="between" id="{343284C3-7CB4-4213-ABD0-C5C548D2035A}">
            <xm:f>Bewertung_Stammdaten!$S$28</xm:f>
            <xm:f>Bewertung_Stammdaten!$S$29</xm:f>
            <x14:dxf>
              <fill>
                <patternFill>
                  <bgColor rgb="FFFFFF00"/>
                </patternFill>
              </fill>
            </x14:dxf>
          </x14:cfRule>
          <x14:cfRule type="cellIs" priority="4" operator="between" id="{6B2CEA03-C54A-47B8-90DB-100AF49D0B0A}">
            <xm:f>Bewertung_Stammdaten!$S$26</xm:f>
            <xm:f>Bewertung_Stammdaten!$S$27</xm:f>
            <x14:dxf>
              <fill>
                <patternFill>
                  <bgColor rgb="FFFFC000"/>
                </patternFill>
              </fill>
            </x14:dxf>
          </x14:cfRule>
          <x14:cfRule type="cellIs" priority="5" operator="between" id="{C54FE898-2FDE-4661-B15C-0D12BCFA3AB6}">
            <xm:f>Bewertung_Stammdaten!$S$24</xm:f>
            <xm:f>Bewertung_Stammdaten!$S$25</xm:f>
            <x14:dxf>
              <fill>
                <patternFill>
                  <bgColor rgb="FFFF0000"/>
                </patternFill>
              </fill>
            </x14:dxf>
          </x14:cfRule>
          <xm:sqref>AO3:AO67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73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18.7109375" bestFit="1" customWidth="1"/>
    <col min="3" max="3" width="10.42578125" bestFit="1" customWidth="1"/>
    <col min="4" max="4" width="13.7109375" customWidth="1"/>
    <col min="5" max="5" width="11.140625" bestFit="1" customWidth="1"/>
    <col min="6" max="6" width="13.28515625" bestFit="1" customWidth="1"/>
    <col min="7" max="7" width="21.140625" bestFit="1" customWidth="1"/>
    <col min="8" max="8" width="13.42578125" customWidth="1"/>
    <col min="9" max="9" width="14.42578125" bestFit="1" customWidth="1"/>
    <col min="10" max="10" width="15.140625" bestFit="1" customWidth="1"/>
    <col min="11" max="11" width="14.42578125" bestFit="1" customWidth="1"/>
    <col min="12" max="12" width="14.85546875" bestFit="1" customWidth="1"/>
    <col min="13" max="19" width="14.85546875" customWidth="1"/>
    <col min="20" max="20" width="15.85546875" bestFit="1" customWidth="1"/>
    <col min="21" max="21" width="15.42578125" bestFit="1" customWidth="1"/>
    <col min="22" max="22" width="14.42578125" bestFit="1" customWidth="1"/>
    <col min="23" max="23" width="15.140625" bestFit="1" customWidth="1"/>
    <col min="24" max="24" width="14.42578125" bestFit="1" customWidth="1"/>
    <col min="25" max="26" width="14.85546875" bestFit="1" customWidth="1"/>
    <col min="27" max="27" width="14.85546875" customWidth="1"/>
    <col min="28" max="32" width="14.85546875" bestFit="1" customWidth="1"/>
    <col min="33" max="33" width="15.85546875" bestFit="1" customWidth="1"/>
    <col min="34" max="34" width="15.42578125" bestFit="1" customWidth="1"/>
    <col min="35" max="35" width="14.42578125" bestFit="1" customWidth="1"/>
    <col min="36" max="36" width="15.140625" bestFit="1" customWidth="1"/>
    <col min="37" max="37" width="14.42578125" bestFit="1" customWidth="1"/>
    <col min="38" max="45" width="14.85546875" bestFit="1" customWidth="1"/>
    <col min="46" max="46" width="15.85546875" bestFit="1" customWidth="1"/>
    <col min="47" max="47" width="15.42578125" bestFit="1" customWidth="1"/>
  </cols>
  <sheetData>
    <row r="1" spans="1:47" x14ac:dyDescent="0.25">
      <c r="A1" t="s">
        <v>223</v>
      </c>
      <c r="B1" t="s">
        <v>219</v>
      </c>
      <c r="C1" t="s">
        <v>225</v>
      </c>
    </row>
    <row r="2" spans="1:47" x14ac:dyDescent="0.25">
      <c r="A2" t="s">
        <v>222</v>
      </c>
      <c r="B2" t="s">
        <v>220</v>
      </c>
      <c r="C2" t="s">
        <v>225</v>
      </c>
    </row>
    <row r="3" spans="1:47" x14ac:dyDescent="0.25">
      <c r="A3" t="s">
        <v>221</v>
      </c>
      <c r="B3" t="s">
        <v>224</v>
      </c>
      <c r="C3" s="74" t="s">
        <v>225</v>
      </c>
      <c r="D3" s="1"/>
      <c r="E3" s="1"/>
      <c r="F3" s="38"/>
      <c r="G3" s="38"/>
      <c r="H3" s="38"/>
      <c r="I3" s="97" t="s">
        <v>216</v>
      </c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 t="s">
        <v>217</v>
      </c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  <c r="AH3" s="97"/>
      <c r="AI3" s="97" t="s">
        <v>218</v>
      </c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</row>
    <row r="4" spans="1:47" x14ac:dyDescent="0.25">
      <c r="A4" s="1"/>
      <c r="B4" s="1"/>
      <c r="C4" s="98" t="s">
        <v>198</v>
      </c>
      <c r="D4" s="98"/>
      <c r="E4" s="98"/>
      <c r="F4" s="99" t="s">
        <v>206</v>
      </c>
      <c r="G4" s="99"/>
      <c r="H4" s="99"/>
      <c r="I4" s="38"/>
      <c r="J4" s="38">
        <v>2015</v>
      </c>
      <c r="K4" s="38">
        <v>2014</v>
      </c>
      <c r="L4" s="38">
        <v>2013</v>
      </c>
      <c r="M4" s="38">
        <v>2012</v>
      </c>
      <c r="N4" s="38">
        <v>2011</v>
      </c>
      <c r="O4" s="38">
        <v>2010</v>
      </c>
      <c r="P4" s="38">
        <v>2009</v>
      </c>
      <c r="Q4" s="38">
        <v>2008</v>
      </c>
      <c r="R4" s="38">
        <v>2007</v>
      </c>
      <c r="S4" s="38">
        <v>2006</v>
      </c>
      <c r="T4" s="38">
        <v>2005</v>
      </c>
      <c r="U4" s="38">
        <v>2004</v>
      </c>
      <c r="V4" s="38"/>
      <c r="W4" s="38">
        <v>2015</v>
      </c>
      <c r="X4" s="38">
        <v>2014</v>
      </c>
      <c r="Y4" s="38">
        <v>2013</v>
      </c>
      <c r="Z4" s="38">
        <v>2012</v>
      </c>
      <c r="AA4" s="38">
        <v>2011</v>
      </c>
      <c r="AB4" s="38">
        <v>2010</v>
      </c>
      <c r="AC4" s="38">
        <v>2009</v>
      </c>
      <c r="AD4" s="38">
        <v>2008</v>
      </c>
      <c r="AE4" s="38">
        <v>2007</v>
      </c>
      <c r="AF4" s="38">
        <v>2006</v>
      </c>
      <c r="AG4" s="38">
        <v>2005</v>
      </c>
      <c r="AH4" s="38">
        <v>2004</v>
      </c>
      <c r="AI4" s="38"/>
      <c r="AJ4" s="38">
        <v>2015</v>
      </c>
      <c r="AK4" s="38">
        <v>2014</v>
      </c>
      <c r="AL4" s="38">
        <v>2013</v>
      </c>
      <c r="AM4" s="38">
        <v>2012</v>
      </c>
      <c r="AN4" s="38">
        <v>2011</v>
      </c>
      <c r="AO4" s="38">
        <v>2010</v>
      </c>
      <c r="AP4" s="38">
        <v>2009</v>
      </c>
      <c r="AQ4" s="38">
        <v>2008</v>
      </c>
      <c r="AR4" s="38">
        <v>2007</v>
      </c>
      <c r="AS4" s="38">
        <v>2006</v>
      </c>
      <c r="AT4" s="38">
        <v>2005</v>
      </c>
      <c r="AU4" s="38">
        <v>2004</v>
      </c>
    </row>
    <row r="5" spans="1:47" x14ac:dyDescent="0.25">
      <c r="A5" s="1" t="s">
        <v>0</v>
      </c>
      <c r="B5" s="1" t="s">
        <v>1</v>
      </c>
      <c r="C5" s="1" t="s">
        <v>199</v>
      </c>
      <c r="D5" s="1" t="s">
        <v>200</v>
      </c>
      <c r="E5" s="1" t="s">
        <v>169</v>
      </c>
      <c r="F5" s="38" t="s">
        <v>207</v>
      </c>
      <c r="G5" s="38" t="s">
        <v>208</v>
      </c>
      <c r="H5" s="38" t="s">
        <v>213</v>
      </c>
      <c r="I5" s="38" t="s">
        <v>215</v>
      </c>
      <c r="J5" s="38" t="s">
        <v>142</v>
      </c>
      <c r="K5" s="38" t="s">
        <v>131</v>
      </c>
      <c r="L5" s="38" t="s">
        <v>132</v>
      </c>
      <c r="M5" s="38" t="s">
        <v>133</v>
      </c>
      <c r="N5" s="38" t="s">
        <v>134</v>
      </c>
      <c r="O5" s="38" t="s">
        <v>135</v>
      </c>
      <c r="P5" s="38" t="s">
        <v>136</v>
      </c>
      <c r="Q5" s="38" t="s">
        <v>137</v>
      </c>
      <c r="R5" s="38" t="s">
        <v>138</v>
      </c>
      <c r="S5" s="38" t="s">
        <v>139</v>
      </c>
      <c r="T5" s="38" t="s">
        <v>140</v>
      </c>
      <c r="U5" s="38" t="s">
        <v>214</v>
      </c>
      <c r="V5" s="38" t="s">
        <v>215</v>
      </c>
      <c r="W5" s="38" t="s">
        <v>142</v>
      </c>
      <c r="X5" s="38" t="s">
        <v>131</v>
      </c>
      <c r="Y5" s="38" t="s">
        <v>132</v>
      </c>
      <c r="Z5" s="38" t="s">
        <v>133</v>
      </c>
      <c r="AA5" s="38" t="s">
        <v>134</v>
      </c>
      <c r="AB5" s="38" t="s">
        <v>135</v>
      </c>
      <c r="AC5" s="38" t="s">
        <v>136</v>
      </c>
      <c r="AD5" s="38" t="s">
        <v>137</v>
      </c>
      <c r="AE5" s="38" t="s">
        <v>138</v>
      </c>
      <c r="AF5" s="38" t="s">
        <v>139</v>
      </c>
      <c r="AG5" s="38" t="s">
        <v>140</v>
      </c>
      <c r="AH5" s="38" t="s">
        <v>214</v>
      </c>
      <c r="AI5" s="38" t="s">
        <v>215</v>
      </c>
      <c r="AJ5" s="38" t="s">
        <v>142</v>
      </c>
      <c r="AK5" s="38" t="s">
        <v>131</v>
      </c>
      <c r="AL5" s="38" t="s">
        <v>132</v>
      </c>
      <c r="AM5" s="38" t="s">
        <v>133</v>
      </c>
      <c r="AN5" s="38" t="s">
        <v>134</v>
      </c>
      <c r="AO5" s="38" t="s">
        <v>135</v>
      </c>
      <c r="AP5" s="38" t="s">
        <v>136</v>
      </c>
      <c r="AQ5" s="38" t="s">
        <v>137</v>
      </c>
      <c r="AR5" s="38" t="s">
        <v>138</v>
      </c>
      <c r="AS5" s="38" t="s">
        <v>139</v>
      </c>
      <c r="AT5" s="38" t="s">
        <v>140</v>
      </c>
      <c r="AU5" s="38" t="s">
        <v>214</v>
      </c>
    </row>
    <row r="6" spans="1:47" x14ac:dyDescent="0.25">
      <c r="A6" t="s">
        <v>102</v>
      </c>
      <c r="B6" t="s">
        <v>174</v>
      </c>
      <c r="C6" s="58">
        <v>31</v>
      </c>
      <c r="D6" s="58">
        <v>12</v>
      </c>
      <c r="E6" s="58">
        <v>2015</v>
      </c>
      <c r="F6" s="69" t="s">
        <v>212</v>
      </c>
      <c r="G6" s="69" t="s">
        <v>210</v>
      </c>
      <c r="H6" s="70">
        <f t="shared" ref="H6:H37" si="0">IF(F6=G6,1,0)</f>
        <v>0</v>
      </c>
      <c r="I6" s="73">
        <v>115.1</v>
      </c>
      <c r="J6" s="73">
        <v>115.1</v>
      </c>
      <c r="K6" s="71">
        <v>93.86</v>
      </c>
      <c r="L6" s="71">
        <v>77.260000000000005</v>
      </c>
      <c r="M6" s="71">
        <v>65.739999999999995</v>
      </c>
      <c r="N6" s="71">
        <v>47.305</v>
      </c>
      <c r="O6" s="71">
        <v>42.8</v>
      </c>
      <c r="P6" s="71">
        <v>36.395000000000003</v>
      </c>
      <c r="Q6" s="71">
        <v>16.579999999999998</v>
      </c>
      <c r="R6" s="71"/>
      <c r="S6" s="71"/>
      <c r="T6" s="71"/>
      <c r="U6" s="71"/>
      <c r="V6" s="73">
        <v>1.0496399999999999</v>
      </c>
      <c r="W6" s="73">
        <v>1.0496399999999999</v>
      </c>
      <c r="X6" s="71">
        <v>1.21</v>
      </c>
      <c r="Y6" s="71">
        <v>1.3778999999999999</v>
      </c>
      <c r="Z6" s="71">
        <v>1.3185</v>
      </c>
      <c r="AA6" s="71">
        <v>1.2963</v>
      </c>
      <c r="AB6" s="71">
        <v>1.3391999999999999</v>
      </c>
      <c r="AC6" s="71">
        <v>1.4334</v>
      </c>
      <c r="AD6" s="71">
        <v>1.4180999999999999</v>
      </c>
      <c r="AE6" s="71">
        <v>1.4676</v>
      </c>
      <c r="AF6" s="71">
        <v>1.3181</v>
      </c>
      <c r="AG6" s="71">
        <v>1.1834</v>
      </c>
      <c r="AH6" s="71">
        <v>1.3623000000000001</v>
      </c>
      <c r="AI6" s="72">
        <f t="shared" ref="AI6:AI37" si="1">I6*V6</f>
        <v>120.81356399999999</v>
      </c>
      <c r="AJ6" s="72">
        <f t="shared" ref="AJ6:AJ37" si="2">J6*W6</f>
        <v>120.81356399999999</v>
      </c>
      <c r="AK6" s="72">
        <f t="shared" ref="AK6:AK37" si="3">K6*X6</f>
        <v>113.5706</v>
      </c>
      <c r="AL6" s="72">
        <f t="shared" ref="AL6:AL37" si="4">L6*Y6</f>
        <v>106.456554</v>
      </c>
      <c r="AM6" s="72">
        <f t="shared" ref="AM6:AM37" si="5">M6*Z6</f>
        <v>86.678189999999987</v>
      </c>
      <c r="AN6" s="72">
        <f t="shared" ref="AN6:AN37" si="6">N6*AA6</f>
        <v>61.321471500000001</v>
      </c>
      <c r="AO6" s="72">
        <f t="shared" ref="AO6:AO37" si="7">O6*AB6</f>
        <v>57.317759999999993</v>
      </c>
      <c r="AP6" s="72">
        <f t="shared" ref="AP6:AP37" si="8">P6*AC6</f>
        <v>52.168593000000001</v>
      </c>
      <c r="AQ6" s="72">
        <f t="shared" ref="AQ6:AQ37" si="9">Q6*AD6</f>
        <v>23.512097999999995</v>
      </c>
      <c r="AR6" s="72">
        <f t="shared" ref="AR6:AR37" si="10">R6*AE6</f>
        <v>0</v>
      </c>
      <c r="AS6" s="72">
        <f t="shared" ref="AS6:AS37" si="11">S6*AF6</f>
        <v>0</v>
      </c>
      <c r="AT6" s="72">
        <f t="shared" ref="AT6:AT37" si="12">T6*AG6</f>
        <v>0</v>
      </c>
      <c r="AU6" s="72">
        <f t="shared" ref="AU6:AU37" si="13">U6*AH6</f>
        <v>0</v>
      </c>
    </row>
    <row r="7" spans="1:47" x14ac:dyDescent="0.25">
      <c r="A7" t="s">
        <v>104</v>
      </c>
      <c r="B7" t="s">
        <v>226</v>
      </c>
      <c r="C7" s="58">
        <v>31</v>
      </c>
      <c r="D7" s="58">
        <v>12</v>
      </c>
      <c r="E7" s="58">
        <v>2015</v>
      </c>
      <c r="F7" s="69" t="s">
        <v>209</v>
      </c>
      <c r="G7" s="69" t="s">
        <v>209</v>
      </c>
      <c r="H7" s="70">
        <f t="shared" si="0"/>
        <v>1</v>
      </c>
      <c r="I7" s="73">
        <v>62350</v>
      </c>
      <c r="J7" s="73">
        <v>62350</v>
      </c>
      <c r="K7" s="71">
        <v>57160</v>
      </c>
      <c r="L7" s="71">
        <v>48100</v>
      </c>
      <c r="M7" s="71">
        <v>34515</v>
      </c>
      <c r="N7" s="71">
        <v>31390</v>
      </c>
      <c r="O7" s="71">
        <v>30100</v>
      </c>
      <c r="P7" s="71">
        <v>25405</v>
      </c>
      <c r="Q7" s="71">
        <v>22600</v>
      </c>
      <c r="R7" s="71">
        <v>39770</v>
      </c>
      <c r="S7" s="71">
        <v>30700</v>
      </c>
      <c r="T7" s="71">
        <v>21950</v>
      </c>
      <c r="U7" s="71">
        <v>16650</v>
      </c>
      <c r="V7" s="71">
        <v>1</v>
      </c>
      <c r="W7" s="71">
        <v>1</v>
      </c>
      <c r="X7" s="71">
        <v>1</v>
      </c>
      <c r="Y7" s="71">
        <v>1</v>
      </c>
      <c r="Z7" s="71">
        <v>1</v>
      </c>
      <c r="AA7" s="71">
        <v>1</v>
      </c>
      <c r="AB7" s="71">
        <v>1</v>
      </c>
      <c r="AC7" s="71">
        <v>1</v>
      </c>
      <c r="AD7" s="71">
        <v>1</v>
      </c>
      <c r="AE7" s="71">
        <v>1</v>
      </c>
      <c r="AF7" s="71">
        <v>1</v>
      </c>
      <c r="AG7" s="71">
        <v>1</v>
      </c>
      <c r="AH7" s="71">
        <v>1</v>
      </c>
      <c r="AI7" s="72">
        <f t="shared" si="1"/>
        <v>62350</v>
      </c>
      <c r="AJ7" s="72">
        <f t="shared" si="2"/>
        <v>62350</v>
      </c>
      <c r="AK7" s="72">
        <f t="shared" si="3"/>
        <v>57160</v>
      </c>
      <c r="AL7" s="72">
        <f t="shared" si="4"/>
        <v>48100</v>
      </c>
      <c r="AM7" s="72">
        <f t="shared" si="5"/>
        <v>34515</v>
      </c>
      <c r="AN7" s="72">
        <f t="shared" si="6"/>
        <v>31390</v>
      </c>
      <c r="AO7" s="72">
        <f t="shared" si="7"/>
        <v>30100</v>
      </c>
      <c r="AP7" s="72">
        <f t="shared" si="8"/>
        <v>25405</v>
      </c>
      <c r="AQ7" s="72">
        <f t="shared" si="9"/>
        <v>22600</v>
      </c>
      <c r="AR7" s="72">
        <f t="shared" si="10"/>
        <v>39770</v>
      </c>
      <c r="AS7" s="72">
        <f t="shared" si="11"/>
        <v>30700</v>
      </c>
      <c r="AT7" s="72">
        <f t="shared" si="12"/>
        <v>21950</v>
      </c>
      <c r="AU7" s="72">
        <f t="shared" si="13"/>
        <v>16650</v>
      </c>
    </row>
    <row r="8" spans="1:47" x14ac:dyDescent="0.25">
      <c r="A8" t="s">
        <v>106</v>
      </c>
      <c r="B8" t="s">
        <v>197</v>
      </c>
      <c r="C8" s="58">
        <v>31</v>
      </c>
      <c r="D8" s="58">
        <v>12</v>
      </c>
      <c r="E8" s="58">
        <v>2015</v>
      </c>
      <c r="F8" s="69" t="s">
        <v>212</v>
      </c>
      <c r="G8" s="69" t="s">
        <v>209</v>
      </c>
      <c r="H8" s="70">
        <f t="shared" si="0"/>
        <v>0</v>
      </c>
      <c r="I8" s="73">
        <v>336.4</v>
      </c>
      <c r="J8" s="73">
        <v>336.4</v>
      </c>
      <c r="K8" s="71">
        <v>320</v>
      </c>
      <c r="L8" s="71">
        <v>355.2</v>
      </c>
      <c r="M8" s="71">
        <v>366.6</v>
      </c>
      <c r="N8" s="71">
        <v>275</v>
      </c>
      <c r="O8" s="71">
        <v>273.5</v>
      </c>
      <c r="P8" s="71">
        <v>290.7</v>
      </c>
      <c r="Q8" s="71">
        <v>200.4</v>
      </c>
      <c r="R8" s="71">
        <v>288.5</v>
      </c>
      <c r="S8" s="71">
        <v>226.7</v>
      </c>
      <c r="T8" s="71">
        <v>163.5</v>
      </c>
      <c r="U8" s="71">
        <v>120.8</v>
      </c>
      <c r="V8" s="73">
        <v>0.99424000000000001</v>
      </c>
      <c r="W8" s="73">
        <v>0.99424000000000001</v>
      </c>
      <c r="X8" s="71">
        <v>1.0062</v>
      </c>
      <c r="Y8" s="71">
        <v>1.123</v>
      </c>
      <c r="Z8" s="71">
        <v>1.0922000000000001</v>
      </c>
      <c r="AA8" s="71">
        <v>1.0650999999999999</v>
      </c>
      <c r="AB8" s="71">
        <v>1.0703</v>
      </c>
      <c r="AC8" s="71">
        <v>0.96519999999999995</v>
      </c>
      <c r="AD8" s="71">
        <v>0.93340000000000001</v>
      </c>
      <c r="AE8" s="71">
        <v>0.88229999999999997</v>
      </c>
      <c r="AF8" s="71">
        <v>0.82069999999999999</v>
      </c>
      <c r="AG8" s="71">
        <v>0.76100000000000001</v>
      </c>
      <c r="AH8" s="71">
        <v>0.877</v>
      </c>
      <c r="AI8" s="72">
        <f t="shared" si="1"/>
        <v>334.46233599999999</v>
      </c>
      <c r="AJ8" s="72">
        <f t="shared" si="2"/>
        <v>334.46233599999999</v>
      </c>
      <c r="AK8" s="72">
        <f t="shared" si="3"/>
        <v>321.98399999999998</v>
      </c>
      <c r="AL8" s="72">
        <f t="shared" si="4"/>
        <v>398.88959999999997</v>
      </c>
      <c r="AM8" s="72">
        <f t="shared" si="5"/>
        <v>400.40052000000003</v>
      </c>
      <c r="AN8" s="72">
        <f t="shared" si="6"/>
        <v>292.90249999999997</v>
      </c>
      <c r="AO8" s="72">
        <f t="shared" si="7"/>
        <v>292.72705000000002</v>
      </c>
      <c r="AP8" s="72">
        <f t="shared" si="8"/>
        <v>280.58363999999995</v>
      </c>
      <c r="AQ8" s="72">
        <f t="shared" si="9"/>
        <v>187.05336</v>
      </c>
      <c r="AR8" s="72">
        <f t="shared" si="10"/>
        <v>254.54354999999998</v>
      </c>
      <c r="AS8" s="72">
        <f t="shared" si="11"/>
        <v>186.05268999999998</v>
      </c>
      <c r="AT8" s="72">
        <f t="shared" si="12"/>
        <v>124.4235</v>
      </c>
      <c r="AU8" s="72">
        <f t="shared" si="13"/>
        <v>105.94159999999999</v>
      </c>
    </row>
    <row r="9" spans="1:47" x14ac:dyDescent="0.25">
      <c r="A9" t="s">
        <v>2</v>
      </c>
      <c r="B9" t="s">
        <v>3</v>
      </c>
      <c r="C9" s="58">
        <v>31</v>
      </c>
      <c r="D9" s="58">
        <v>12</v>
      </c>
      <c r="E9" s="58">
        <v>2015</v>
      </c>
      <c r="F9" s="69" t="s">
        <v>212</v>
      </c>
      <c r="G9" s="69" t="s">
        <v>209</v>
      </c>
      <c r="H9" s="70">
        <f t="shared" si="0"/>
        <v>0</v>
      </c>
      <c r="I9" s="73">
        <v>97.15</v>
      </c>
      <c r="J9" s="73">
        <v>97.15</v>
      </c>
      <c r="K9" s="71">
        <v>92.35</v>
      </c>
      <c r="L9" s="71">
        <v>71.2</v>
      </c>
      <c r="M9" s="71">
        <v>57.45</v>
      </c>
      <c r="N9" s="71">
        <v>53.7</v>
      </c>
      <c r="O9" s="71">
        <v>54.95</v>
      </c>
      <c r="P9" s="71">
        <v>56.5</v>
      </c>
      <c r="Q9" s="71">
        <v>52.7</v>
      </c>
      <c r="R9" s="71">
        <v>62.1</v>
      </c>
      <c r="S9" s="71">
        <v>70.25</v>
      </c>
      <c r="T9" s="71">
        <v>69.05</v>
      </c>
      <c r="U9" s="71">
        <v>57.3</v>
      </c>
      <c r="V9" s="73">
        <v>0.99424000000000001</v>
      </c>
      <c r="W9" s="73">
        <v>0.99424000000000001</v>
      </c>
      <c r="X9" s="71">
        <v>1.0062</v>
      </c>
      <c r="Y9" s="71">
        <v>1.123</v>
      </c>
      <c r="Z9" s="71">
        <v>1.0922000000000001</v>
      </c>
      <c r="AA9" s="71">
        <v>1.0650999999999999</v>
      </c>
      <c r="AB9" s="71">
        <v>1.0703</v>
      </c>
      <c r="AC9" s="71">
        <v>0.96519999999999995</v>
      </c>
      <c r="AD9" s="71">
        <v>0.93340000000000001</v>
      </c>
      <c r="AE9" s="71">
        <v>0.88229999999999997</v>
      </c>
      <c r="AF9" s="71">
        <v>0.82069999999999999</v>
      </c>
      <c r="AG9" s="71">
        <v>0.76100000000000001</v>
      </c>
      <c r="AH9" s="71">
        <v>0.877</v>
      </c>
      <c r="AI9" s="72">
        <f t="shared" si="1"/>
        <v>96.590416000000005</v>
      </c>
      <c r="AJ9" s="72">
        <f t="shared" si="2"/>
        <v>96.590416000000005</v>
      </c>
      <c r="AK9" s="72">
        <f t="shared" si="3"/>
        <v>92.922569999999993</v>
      </c>
      <c r="AL9" s="72">
        <f t="shared" si="4"/>
        <v>79.957599999999999</v>
      </c>
      <c r="AM9" s="72">
        <f t="shared" si="5"/>
        <v>62.746890000000008</v>
      </c>
      <c r="AN9" s="72">
        <f t="shared" si="6"/>
        <v>57.195869999999999</v>
      </c>
      <c r="AO9" s="72">
        <f t="shared" si="7"/>
        <v>58.812985000000005</v>
      </c>
      <c r="AP9" s="72">
        <f t="shared" si="8"/>
        <v>54.533799999999999</v>
      </c>
      <c r="AQ9" s="72">
        <f t="shared" si="9"/>
        <v>49.190180000000005</v>
      </c>
      <c r="AR9" s="72">
        <f t="shared" si="10"/>
        <v>54.79083</v>
      </c>
      <c r="AS9" s="72">
        <f t="shared" si="11"/>
        <v>57.654175000000002</v>
      </c>
      <c r="AT9" s="72">
        <f t="shared" si="12"/>
        <v>52.547049999999999</v>
      </c>
      <c r="AU9" s="72">
        <f t="shared" si="13"/>
        <v>50.252099999999999</v>
      </c>
    </row>
    <row r="10" spans="1:47" x14ac:dyDescent="0.25">
      <c r="A10" t="s">
        <v>4</v>
      </c>
      <c r="B10" t="s">
        <v>5</v>
      </c>
      <c r="C10" s="58">
        <v>31</v>
      </c>
      <c r="D10" s="58">
        <v>12</v>
      </c>
      <c r="E10" s="58">
        <v>2015</v>
      </c>
      <c r="F10" s="69" t="s">
        <v>209</v>
      </c>
      <c r="G10" s="69" t="s">
        <v>209</v>
      </c>
      <c r="H10" s="70">
        <f t="shared" si="0"/>
        <v>1</v>
      </c>
      <c r="I10" s="73">
        <v>264.3</v>
      </c>
      <c r="J10" s="73">
        <v>264.3</v>
      </c>
      <c r="K10" s="71">
        <v>269.89999999999998</v>
      </c>
      <c r="L10" s="71">
        <v>249.2</v>
      </c>
      <c r="M10" s="71">
        <v>184</v>
      </c>
      <c r="N10" s="71">
        <v>159.19999999999999</v>
      </c>
      <c r="O10" s="71">
        <v>137</v>
      </c>
      <c r="P10" s="71">
        <v>175.8</v>
      </c>
      <c r="Q10" s="71">
        <v>162.5</v>
      </c>
      <c r="R10" s="71">
        <v>195.6</v>
      </c>
      <c r="S10" s="71">
        <v>218.5</v>
      </c>
      <c r="T10" s="71">
        <v>197.3</v>
      </c>
      <c r="U10" s="71">
        <v>130.9</v>
      </c>
      <c r="V10" s="71">
        <v>1</v>
      </c>
      <c r="W10" s="71">
        <v>1</v>
      </c>
      <c r="X10" s="71">
        <v>1</v>
      </c>
      <c r="Y10" s="71">
        <v>1</v>
      </c>
      <c r="Z10" s="71">
        <v>1</v>
      </c>
      <c r="AA10" s="71">
        <v>1</v>
      </c>
      <c r="AB10" s="71">
        <v>1</v>
      </c>
      <c r="AC10" s="71">
        <v>1</v>
      </c>
      <c r="AD10" s="71">
        <v>1</v>
      </c>
      <c r="AE10" s="71">
        <v>1</v>
      </c>
      <c r="AF10" s="71">
        <v>1</v>
      </c>
      <c r="AG10" s="71">
        <v>1</v>
      </c>
      <c r="AH10" s="71">
        <v>1</v>
      </c>
      <c r="AI10" s="72">
        <f t="shared" si="1"/>
        <v>264.3</v>
      </c>
      <c r="AJ10" s="72">
        <f t="shared" si="2"/>
        <v>264.3</v>
      </c>
      <c r="AK10" s="72">
        <f t="shared" si="3"/>
        <v>269.89999999999998</v>
      </c>
      <c r="AL10" s="72">
        <f t="shared" si="4"/>
        <v>249.2</v>
      </c>
      <c r="AM10" s="72">
        <f t="shared" si="5"/>
        <v>184</v>
      </c>
      <c r="AN10" s="72">
        <f t="shared" si="6"/>
        <v>159.19999999999999</v>
      </c>
      <c r="AO10" s="72">
        <f t="shared" si="7"/>
        <v>137</v>
      </c>
      <c r="AP10" s="72">
        <f t="shared" si="8"/>
        <v>175.8</v>
      </c>
      <c r="AQ10" s="72">
        <f t="shared" si="9"/>
        <v>162.5</v>
      </c>
      <c r="AR10" s="72">
        <f t="shared" si="10"/>
        <v>195.6</v>
      </c>
      <c r="AS10" s="72">
        <f t="shared" si="11"/>
        <v>218.5</v>
      </c>
      <c r="AT10" s="72">
        <f t="shared" si="12"/>
        <v>197.3</v>
      </c>
      <c r="AU10" s="72">
        <f t="shared" si="13"/>
        <v>130.9</v>
      </c>
    </row>
    <row r="11" spans="1:47" x14ac:dyDescent="0.25">
      <c r="A11" t="s">
        <v>6</v>
      </c>
      <c r="B11" t="s">
        <v>7</v>
      </c>
      <c r="C11" s="58">
        <v>31</v>
      </c>
      <c r="D11" s="58">
        <v>12</v>
      </c>
      <c r="E11" s="58">
        <v>2015</v>
      </c>
      <c r="F11" s="69" t="s">
        <v>209</v>
      </c>
      <c r="G11" s="69" t="s">
        <v>209</v>
      </c>
      <c r="H11" s="70">
        <f t="shared" si="0"/>
        <v>1</v>
      </c>
      <c r="I11" s="73">
        <v>75.400000000000006</v>
      </c>
      <c r="J11" s="73">
        <v>75.400000000000006</v>
      </c>
      <c r="K11" s="71">
        <v>72.95</v>
      </c>
      <c r="L11" s="71">
        <v>65.3</v>
      </c>
      <c r="M11" s="71">
        <v>59.6</v>
      </c>
      <c r="N11" s="71">
        <v>54</v>
      </c>
      <c r="O11" s="71">
        <v>54.75</v>
      </c>
      <c r="P11" s="71">
        <v>50.2</v>
      </c>
      <c r="Q11" s="71">
        <v>41.6</v>
      </c>
      <c r="R11" s="71">
        <v>52</v>
      </c>
      <c r="S11" s="71">
        <v>43.3</v>
      </c>
      <c r="T11" s="71">
        <v>39.299999999999997</v>
      </c>
      <c r="U11" s="71">
        <v>29.75</v>
      </c>
      <c r="V11" s="71">
        <v>1</v>
      </c>
      <c r="W11" s="71">
        <v>1</v>
      </c>
      <c r="X11" s="71">
        <v>1</v>
      </c>
      <c r="Y11" s="71">
        <v>1</v>
      </c>
      <c r="Z11" s="71">
        <v>1</v>
      </c>
      <c r="AA11" s="71">
        <v>1</v>
      </c>
      <c r="AB11" s="71">
        <v>1</v>
      </c>
      <c r="AC11" s="71">
        <v>1</v>
      </c>
      <c r="AD11" s="71">
        <v>1</v>
      </c>
      <c r="AE11" s="71">
        <v>1</v>
      </c>
      <c r="AF11" s="71">
        <v>1</v>
      </c>
      <c r="AG11" s="71">
        <v>1</v>
      </c>
      <c r="AH11" s="71">
        <v>1</v>
      </c>
      <c r="AI11" s="72">
        <f t="shared" si="1"/>
        <v>75.400000000000006</v>
      </c>
      <c r="AJ11" s="72">
        <f t="shared" si="2"/>
        <v>75.400000000000006</v>
      </c>
      <c r="AK11" s="72">
        <f t="shared" si="3"/>
        <v>72.95</v>
      </c>
      <c r="AL11" s="72">
        <f t="shared" si="4"/>
        <v>65.3</v>
      </c>
      <c r="AM11" s="72">
        <f t="shared" si="5"/>
        <v>59.6</v>
      </c>
      <c r="AN11" s="72">
        <f t="shared" si="6"/>
        <v>54</v>
      </c>
      <c r="AO11" s="72">
        <f t="shared" si="7"/>
        <v>54.75</v>
      </c>
      <c r="AP11" s="72">
        <f t="shared" si="8"/>
        <v>50.2</v>
      </c>
      <c r="AQ11" s="72">
        <f t="shared" si="9"/>
        <v>41.6</v>
      </c>
      <c r="AR11" s="72">
        <f t="shared" si="10"/>
        <v>52</v>
      </c>
      <c r="AS11" s="72">
        <f t="shared" si="11"/>
        <v>43.3</v>
      </c>
      <c r="AT11" s="72">
        <f t="shared" si="12"/>
        <v>39.299999999999997</v>
      </c>
      <c r="AU11" s="72">
        <f t="shared" si="13"/>
        <v>29.75</v>
      </c>
    </row>
    <row r="12" spans="1:47" x14ac:dyDescent="0.25">
      <c r="A12" t="s">
        <v>8</v>
      </c>
      <c r="B12" t="s">
        <v>9</v>
      </c>
      <c r="C12" s="58">
        <v>31</v>
      </c>
      <c r="D12" s="58">
        <v>12</v>
      </c>
      <c r="E12" s="58">
        <v>2015</v>
      </c>
      <c r="F12" s="69" t="s">
        <v>210</v>
      </c>
      <c r="G12" s="69" t="s">
        <v>210</v>
      </c>
      <c r="H12" s="70">
        <f t="shared" si="0"/>
        <v>1</v>
      </c>
      <c r="I12" s="73">
        <v>30.125</v>
      </c>
      <c r="J12" s="73">
        <v>30.125</v>
      </c>
      <c r="K12" s="71">
        <v>24.984999999999999</v>
      </c>
      <c r="L12" s="71">
        <v>34.674999999999997</v>
      </c>
      <c r="M12" s="71">
        <v>32.950000000000003</v>
      </c>
      <c r="N12" s="71">
        <v>29.434999999999999</v>
      </c>
      <c r="O12" s="71">
        <v>39.1</v>
      </c>
      <c r="P12" s="71">
        <v>49.42</v>
      </c>
      <c r="Q12" s="71">
        <v>27.83</v>
      </c>
      <c r="R12" s="71">
        <v>89.4</v>
      </c>
      <c r="S12" s="71">
        <v>101.34</v>
      </c>
      <c r="T12" s="71">
        <v>81.900000000000006</v>
      </c>
      <c r="U12" s="71">
        <v>65.319999999999993</v>
      </c>
      <c r="V12" s="71">
        <v>1</v>
      </c>
      <c r="W12" s="71">
        <v>1</v>
      </c>
      <c r="X12" s="71">
        <v>1</v>
      </c>
      <c r="Y12" s="71">
        <v>1</v>
      </c>
      <c r="Z12" s="71">
        <v>1</v>
      </c>
      <c r="AA12" s="71">
        <v>1</v>
      </c>
      <c r="AB12" s="71">
        <v>1</v>
      </c>
      <c r="AC12" s="71">
        <v>1</v>
      </c>
      <c r="AD12" s="71">
        <v>1</v>
      </c>
      <c r="AE12" s="71">
        <v>1</v>
      </c>
      <c r="AF12" s="71">
        <v>1</v>
      </c>
      <c r="AG12" s="71">
        <v>1</v>
      </c>
      <c r="AH12" s="71">
        <v>1</v>
      </c>
      <c r="AI12" s="72">
        <f t="shared" si="1"/>
        <v>30.125</v>
      </c>
      <c r="AJ12" s="72">
        <f t="shared" si="2"/>
        <v>30.125</v>
      </c>
      <c r="AK12" s="72">
        <f t="shared" si="3"/>
        <v>24.984999999999999</v>
      </c>
      <c r="AL12" s="72">
        <f t="shared" si="4"/>
        <v>34.674999999999997</v>
      </c>
      <c r="AM12" s="72">
        <f t="shared" si="5"/>
        <v>32.950000000000003</v>
      </c>
      <c r="AN12" s="72">
        <f t="shared" si="6"/>
        <v>29.434999999999999</v>
      </c>
      <c r="AO12" s="72">
        <f t="shared" si="7"/>
        <v>39.1</v>
      </c>
      <c r="AP12" s="72">
        <f t="shared" si="8"/>
        <v>49.42</v>
      </c>
      <c r="AQ12" s="72">
        <f t="shared" si="9"/>
        <v>27.83</v>
      </c>
      <c r="AR12" s="72">
        <f t="shared" si="10"/>
        <v>89.4</v>
      </c>
      <c r="AS12" s="72">
        <f t="shared" si="11"/>
        <v>101.34</v>
      </c>
      <c r="AT12" s="72">
        <f t="shared" si="12"/>
        <v>81.900000000000006</v>
      </c>
      <c r="AU12" s="72">
        <f t="shared" si="13"/>
        <v>65.319999999999993</v>
      </c>
    </row>
    <row r="13" spans="1:47" x14ac:dyDescent="0.25">
      <c r="A13" t="s">
        <v>10</v>
      </c>
      <c r="B13" t="s">
        <v>11</v>
      </c>
      <c r="C13" s="58">
        <v>31</v>
      </c>
      <c r="D13" s="58">
        <v>12</v>
      </c>
      <c r="E13" s="58">
        <v>2015</v>
      </c>
      <c r="F13" s="69" t="s">
        <v>210</v>
      </c>
      <c r="G13" s="69" t="s">
        <v>210</v>
      </c>
      <c r="H13" s="70">
        <f t="shared" si="0"/>
        <v>1</v>
      </c>
      <c r="I13" s="73">
        <v>80.64</v>
      </c>
      <c r="J13" s="73">
        <v>80.64</v>
      </c>
      <c r="K13" s="71">
        <v>67.42</v>
      </c>
      <c r="L13" s="71">
        <v>73.64</v>
      </c>
      <c r="M13" s="71">
        <v>61.88</v>
      </c>
      <c r="N13" s="71">
        <v>43.82</v>
      </c>
      <c r="O13" s="71">
        <v>41.524999999999999</v>
      </c>
      <c r="P13" s="71">
        <v>45.93</v>
      </c>
      <c r="Q13" s="71">
        <v>42</v>
      </c>
      <c r="R13" s="71">
        <v>53</v>
      </c>
      <c r="S13" s="71">
        <v>49.12</v>
      </c>
      <c r="T13" s="71">
        <v>34.666699999999999</v>
      </c>
      <c r="U13" s="71">
        <v>28.533300000000001</v>
      </c>
      <c r="V13" s="71">
        <v>1</v>
      </c>
      <c r="W13" s="71">
        <v>1</v>
      </c>
      <c r="X13" s="71">
        <v>1</v>
      </c>
      <c r="Y13" s="71">
        <v>1</v>
      </c>
      <c r="Z13" s="71">
        <v>1</v>
      </c>
      <c r="AA13" s="71">
        <v>1</v>
      </c>
      <c r="AB13" s="71">
        <v>1</v>
      </c>
      <c r="AC13" s="71">
        <v>1</v>
      </c>
      <c r="AD13" s="71">
        <v>1</v>
      </c>
      <c r="AE13" s="71">
        <v>1</v>
      </c>
      <c r="AF13" s="71">
        <v>1</v>
      </c>
      <c r="AG13" s="71">
        <v>1</v>
      </c>
      <c r="AH13" s="71">
        <v>1</v>
      </c>
      <c r="AI13" s="72">
        <f t="shared" si="1"/>
        <v>80.64</v>
      </c>
      <c r="AJ13" s="72">
        <f t="shared" si="2"/>
        <v>80.64</v>
      </c>
      <c r="AK13" s="72">
        <f t="shared" si="3"/>
        <v>67.42</v>
      </c>
      <c r="AL13" s="72">
        <f t="shared" si="4"/>
        <v>73.64</v>
      </c>
      <c r="AM13" s="72">
        <f t="shared" si="5"/>
        <v>61.88</v>
      </c>
      <c r="AN13" s="72">
        <f t="shared" si="6"/>
        <v>43.82</v>
      </c>
      <c r="AO13" s="72">
        <f t="shared" si="7"/>
        <v>41.524999999999999</v>
      </c>
      <c r="AP13" s="72">
        <f t="shared" si="8"/>
        <v>45.93</v>
      </c>
      <c r="AQ13" s="72">
        <f t="shared" si="9"/>
        <v>42</v>
      </c>
      <c r="AR13" s="72">
        <f t="shared" si="10"/>
        <v>53</v>
      </c>
      <c r="AS13" s="72">
        <f t="shared" si="11"/>
        <v>49.12</v>
      </c>
      <c r="AT13" s="72">
        <f t="shared" si="12"/>
        <v>34.666699999999999</v>
      </c>
      <c r="AU13" s="72">
        <f t="shared" si="13"/>
        <v>28.533300000000001</v>
      </c>
    </row>
    <row r="14" spans="1:47" x14ac:dyDescent="0.25">
      <c r="A14" t="s">
        <v>12</v>
      </c>
      <c r="B14" t="s">
        <v>13</v>
      </c>
      <c r="C14" s="58">
        <v>31</v>
      </c>
      <c r="D14" s="58">
        <v>12</v>
      </c>
      <c r="E14" s="58">
        <v>2015</v>
      </c>
      <c r="F14" s="69" t="s">
        <v>210</v>
      </c>
      <c r="G14" s="69" t="s">
        <v>210</v>
      </c>
      <c r="H14" s="70">
        <f t="shared" si="0"/>
        <v>1</v>
      </c>
      <c r="I14" s="73">
        <v>29.1</v>
      </c>
      <c r="J14" s="73">
        <v>29.1</v>
      </c>
      <c r="K14" s="71">
        <v>27.045000000000002</v>
      </c>
      <c r="L14" s="71">
        <v>26.5</v>
      </c>
      <c r="M14" s="71">
        <v>16.600000000000001</v>
      </c>
      <c r="N14" s="71">
        <v>11.88</v>
      </c>
      <c r="O14" s="71">
        <v>12.7</v>
      </c>
      <c r="P14" s="71">
        <v>13.484999999999999</v>
      </c>
      <c r="Q14" s="71">
        <v>11.91</v>
      </c>
      <c r="R14" s="71">
        <v>23.51</v>
      </c>
      <c r="S14" s="71">
        <v>22.84</v>
      </c>
      <c r="T14" s="71">
        <v>20.48</v>
      </c>
      <c r="U14" s="71">
        <v>16.899999999999999</v>
      </c>
      <c r="V14" s="71">
        <v>1</v>
      </c>
      <c r="W14" s="71">
        <v>1</v>
      </c>
      <c r="X14" s="71">
        <v>1</v>
      </c>
      <c r="Y14" s="71">
        <v>1</v>
      </c>
      <c r="Z14" s="71">
        <v>1</v>
      </c>
      <c r="AA14" s="71">
        <v>1</v>
      </c>
      <c r="AB14" s="71">
        <v>1</v>
      </c>
      <c r="AC14" s="71">
        <v>1</v>
      </c>
      <c r="AD14" s="71">
        <v>1</v>
      </c>
      <c r="AE14" s="71">
        <v>1</v>
      </c>
      <c r="AF14" s="71">
        <v>1</v>
      </c>
      <c r="AG14" s="71">
        <v>1</v>
      </c>
      <c r="AH14" s="71">
        <v>1</v>
      </c>
      <c r="AI14" s="72">
        <f t="shared" si="1"/>
        <v>29.1</v>
      </c>
      <c r="AJ14" s="72">
        <f t="shared" si="2"/>
        <v>29.1</v>
      </c>
      <c r="AK14" s="72">
        <f t="shared" si="3"/>
        <v>27.045000000000002</v>
      </c>
      <c r="AL14" s="72">
        <f t="shared" si="4"/>
        <v>26.5</v>
      </c>
      <c r="AM14" s="72">
        <f t="shared" si="5"/>
        <v>16.600000000000001</v>
      </c>
      <c r="AN14" s="72">
        <f t="shared" si="6"/>
        <v>11.88</v>
      </c>
      <c r="AO14" s="72">
        <f t="shared" si="7"/>
        <v>12.7</v>
      </c>
      <c r="AP14" s="72">
        <f t="shared" si="8"/>
        <v>13.484999999999999</v>
      </c>
      <c r="AQ14" s="72">
        <f t="shared" si="9"/>
        <v>11.91</v>
      </c>
      <c r="AR14" s="72">
        <f t="shared" si="10"/>
        <v>23.51</v>
      </c>
      <c r="AS14" s="72">
        <f t="shared" si="11"/>
        <v>22.84</v>
      </c>
      <c r="AT14" s="72">
        <f t="shared" si="12"/>
        <v>20.48</v>
      </c>
      <c r="AU14" s="72">
        <f t="shared" si="13"/>
        <v>16.899999999999999</v>
      </c>
    </row>
    <row r="15" spans="1:47" x14ac:dyDescent="0.25">
      <c r="A15" t="s">
        <v>14</v>
      </c>
      <c r="B15" t="s">
        <v>15</v>
      </c>
      <c r="C15" s="58">
        <v>31</v>
      </c>
      <c r="D15" s="58">
        <v>12</v>
      </c>
      <c r="E15" s="58">
        <v>2015</v>
      </c>
      <c r="F15" s="69" t="s">
        <v>210</v>
      </c>
      <c r="G15" s="69" t="s">
        <v>210</v>
      </c>
      <c r="H15" s="70">
        <f t="shared" si="0"/>
        <v>1</v>
      </c>
      <c r="I15" s="73">
        <v>17.149999999999999</v>
      </c>
      <c r="J15" s="73">
        <v>17.149999999999999</v>
      </c>
      <c r="K15" s="71">
        <v>13.25</v>
      </c>
      <c r="L15" s="71">
        <v>12.43</v>
      </c>
      <c r="M15" s="71">
        <v>8.5950000000000006</v>
      </c>
      <c r="N15" s="71">
        <v>8.8650000000000002</v>
      </c>
      <c r="O15" s="71">
        <v>9.6549999999999994</v>
      </c>
      <c r="P15" s="71">
        <v>10.29</v>
      </c>
      <c r="Q15" s="71">
        <v>10.75</v>
      </c>
      <c r="R15" s="71">
        <v>15.02</v>
      </c>
      <c r="S15" s="71">
        <v>13.84</v>
      </c>
      <c r="T15" s="71">
        <v>14.08</v>
      </c>
      <c r="U15" s="71">
        <v>16.649999999999999</v>
      </c>
      <c r="V15" s="71">
        <v>1</v>
      </c>
      <c r="W15" s="71">
        <v>1</v>
      </c>
      <c r="X15" s="71">
        <v>1</v>
      </c>
      <c r="Y15" s="71">
        <v>1</v>
      </c>
      <c r="Z15" s="71">
        <v>1</v>
      </c>
      <c r="AA15" s="71">
        <v>1</v>
      </c>
      <c r="AB15" s="71">
        <v>1</v>
      </c>
      <c r="AC15" s="71">
        <v>1</v>
      </c>
      <c r="AD15" s="71">
        <v>1</v>
      </c>
      <c r="AE15" s="71">
        <v>1</v>
      </c>
      <c r="AF15" s="71">
        <v>1</v>
      </c>
      <c r="AG15" s="71">
        <v>1</v>
      </c>
      <c r="AH15" s="71">
        <v>1</v>
      </c>
      <c r="AI15" s="72">
        <f t="shared" si="1"/>
        <v>17.149999999999999</v>
      </c>
      <c r="AJ15" s="72">
        <f t="shared" si="2"/>
        <v>17.149999999999999</v>
      </c>
      <c r="AK15" s="72">
        <f t="shared" si="3"/>
        <v>13.25</v>
      </c>
      <c r="AL15" s="72">
        <f t="shared" si="4"/>
        <v>12.43</v>
      </c>
      <c r="AM15" s="72">
        <f t="shared" si="5"/>
        <v>8.5950000000000006</v>
      </c>
      <c r="AN15" s="72">
        <f t="shared" si="6"/>
        <v>8.8650000000000002</v>
      </c>
      <c r="AO15" s="72">
        <f t="shared" si="7"/>
        <v>9.6549999999999994</v>
      </c>
      <c r="AP15" s="72">
        <f t="shared" si="8"/>
        <v>10.29</v>
      </c>
      <c r="AQ15" s="72">
        <f t="shared" si="9"/>
        <v>10.75</v>
      </c>
      <c r="AR15" s="72">
        <f t="shared" si="10"/>
        <v>15.02</v>
      </c>
      <c r="AS15" s="72">
        <f t="shared" si="11"/>
        <v>13.84</v>
      </c>
      <c r="AT15" s="72">
        <f t="shared" si="12"/>
        <v>14.08</v>
      </c>
      <c r="AU15" s="72">
        <f t="shared" si="13"/>
        <v>16.649999999999999</v>
      </c>
    </row>
    <row r="16" spans="1:47" x14ac:dyDescent="0.25">
      <c r="A16" t="s">
        <v>107</v>
      </c>
      <c r="B16" t="s">
        <v>205</v>
      </c>
      <c r="C16" s="58">
        <v>31</v>
      </c>
      <c r="D16" s="58">
        <v>12</v>
      </c>
      <c r="E16" s="58">
        <v>2015</v>
      </c>
      <c r="F16" s="69" t="s">
        <v>210</v>
      </c>
      <c r="G16" s="69" t="s">
        <v>210</v>
      </c>
      <c r="H16" s="70">
        <f t="shared" si="0"/>
        <v>1</v>
      </c>
      <c r="I16" s="73">
        <v>108.65</v>
      </c>
      <c r="J16" s="73">
        <v>108.65</v>
      </c>
      <c r="K16" s="71">
        <v>89.42</v>
      </c>
      <c r="L16" s="71">
        <v>84.31</v>
      </c>
      <c r="M16" s="71">
        <v>62.2</v>
      </c>
      <c r="N16" s="71">
        <v>44.59</v>
      </c>
      <c r="O16" s="71">
        <v>46.534999999999997</v>
      </c>
      <c r="P16" s="71">
        <v>36.43</v>
      </c>
      <c r="Q16" s="71">
        <v>22.59</v>
      </c>
      <c r="R16" s="71">
        <v>38.43</v>
      </c>
      <c r="S16" s="71">
        <v>37.159999999999997</v>
      </c>
      <c r="T16" s="71">
        <v>28.333300000000001</v>
      </c>
      <c r="U16" s="71">
        <v>21.333300000000001</v>
      </c>
      <c r="V16" s="71">
        <v>1</v>
      </c>
      <c r="W16" s="71">
        <v>1</v>
      </c>
      <c r="X16" s="71">
        <v>1</v>
      </c>
      <c r="Y16" s="71">
        <v>1</v>
      </c>
      <c r="Z16" s="71">
        <v>1</v>
      </c>
      <c r="AA16" s="71">
        <v>1</v>
      </c>
      <c r="AB16" s="71">
        <v>1</v>
      </c>
      <c r="AC16" s="71">
        <v>1</v>
      </c>
      <c r="AD16" s="71">
        <v>1</v>
      </c>
      <c r="AE16" s="71">
        <v>1</v>
      </c>
      <c r="AF16" s="71">
        <v>1</v>
      </c>
      <c r="AG16" s="71">
        <v>1</v>
      </c>
      <c r="AH16" s="71">
        <v>1</v>
      </c>
      <c r="AI16" s="72">
        <f t="shared" si="1"/>
        <v>108.65</v>
      </c>
      <c r="AJ16" s="72">
        <f t="shared" si="2"/>
        <v>108.65</v>
      </c>
      <c r="AK16" s="72">
        <f t="shared" si="3"/>
        <v>89.42</v>
      </c>
      <c r="AL16" s="72">
        <f t="shared" si="4"/>
        <v>84.31</v>
      </c>
      <c r="AM16" s="72">
        <f t="shared" si="5"/>
        <v>62.2</v>
      </c>
      <c r="AN16" s="72">
        <f t="shared" si="6"/>
        <v>44.59</v>
      </c>
      <c r="AO16" s="72">
        <f t="shared" si="7"/>
        <v>46.534999999999997</v>
      </c>
      <c r="AP16" s="72">
        <f t="shared" si="8"/>
        <v>36.43</v>
      </c>
      <c r="AQ16" s="72">
        <f t="shared" si="9"/>
        <v>22.59</v>
      </c>
      <c r="AR16" s="72">
        <f t="shared" si="10"/>
        <v>38.43</v>
      </c>
      <c r="AS16" s="72">
        <f t="shared" si="11"/>
        <v>37.159999999999997</v>
      </c>
      <c r="AT16" s="72">
        <f t="shared" si="12"/>
        <v>28.333300000000001</v>
      </c>
      <c r="AU16" s="72">
        <f t="shared" si="13"/>
        <v>21.333300000000001</v>
      </c>
    </row>
    <row r="17" spans="1:47" x14ac:dyDescent="0.25">
      <c r="A17" t="s">
        <v>16</v>
      </c>
      <c r="B17" t="s">
        <v>17</v>
      </c>
      <c r="C17" s="58">
        <v>31</v>
      </c>
      <c r="D17" s="58">
        <v>12</v>
      </c>
      <c r="E17" s="58">
        <v>2015</v>
      </c>
      <c r="F17" s="69" t="s">
        <v>210</v>
      </c>
      <c r="G17" s="69" t="s">
        <v>210</v>
      </c>
      <c r="H17" s="70">
        <f t="shared" si="0"/>
        <v>1</v>
      </c>
      <c r="I17" s="73">
        <v>64.7</v>
      </c>
      <c r="J17" s="73">
        <v>64.7</v>
      </c>
      <c r="K17" s="71">
        <v>58.26</v>
      </c>
      <c r="L17" s="71">
        <v>62.31</v>
      </c>
      <c r="M17" s="71">
        <v>60.69</v>
      </c>
      <c r="N17" s="71">
        <v>40.85</v>
      </c>
      <c r="O17" s="71">
        <v>38.1</v>
      </c>
      <c r="P17" s="71">
        <v>33</v>
      </c>
      <c r="Q17" s="71">
        <v>25.24</v>
      </c>
      <c r="R17" s="71">
        <v>35.53</v>
      </c>
      <c r="S17" s="71">
        <v>40.26</v>
      </c>
      <c r="T17" s="71">
        <v>38.29</v>
      </c>
      <c r="U17" s="71">
        <v>32.85</v>
      </c>
      <c r="V17" s="71">
        <v>1</v>
      </c>
      <c r="W17" s="71">
        <v>1</v>
      </c>
      <c r="X17" s="71">
        <v>1</v>
      </c>
      <c r="Y17" s="71">
        <v>1</v>
      </c>
      <c r="Z17" s="71">
        <v>1</v>
      </c>
      <c r="AA17" s="71">
        <v>1</v>
      </c>
      <c r="AB17" s="71">
        <v>1</v>
      </c>
      <c r="AC17" s="71">
        <v>1</v>
      </c>
      <c r="AD17" s="71">
        <v>1</v>
      </c>
      <c r="AE17" s="71">
        <v>1</v>
      </c>
      <c r="AF17" s="71">
        <v>1</v>
      </c>
      <c r="AG17" s="71">
        <v>1</v>
      </c>
      <c r="AH17" s="71">
        <v>1</v>
      </c>
      <c r="AI17" s="72">
        <f t="shared" si="1"/>
        <v>64.7</v>
      </c>
      <c r="AJ17" s="72">
        <f t="shared" si="2"/>
        <v>64.7</v>
      </c>
      <c r="AK17" s="72">
        <f t="shared" si="3"/>
        <v>58.26</v>
      </c>
      <c r="AL17" s="72">
        <f t="shared" si="4"/>
        <v>62.31</v>
      </c>
      <c r="AM17" s="72">
        <f t="shared" si="5"/>
        <v>60.69</v>
      </c>
      <c r="AN17" s="72">
        <f t="shared" si="6"/>
        <v>40.85</v>
      </c>
      <c r="AO17" s="72">
        <f t="shared" si="7"/>
        <v>38.1</v>
      </c>
      <c r="AP17" s="72">
        <f t="shared" si="8"/>
        <v>33</v>
      </c>
      <c r="AQ17" s="72">
        <f t="shared" si="9"/>
        <v>25.24</v>
      </c>
      <c r="AR17" s="72">
        <f t="shared" si="10"/>
        <v>35.53</v>
      </c>
      <c r="AS17" s="72">
        <f t="shared" si="11"/>
        <v>40.26</v>
      </c>
      <c r="AT17" s="72">
        <f t="shared" si="12"/>
        <v>38.29</v>
      </c>
      <c r="AU17" s="72">
        <f t="shared" si="13"/>
        <v>32.85</v>
      </c>
    </row>
    <row r="18" spans="1:47" x14ac:dyDescent="0.25">
      <c r="A18" t="s">
        <v>18</v>
      </c>
      <c r="B18" t="s">
        <v>19</v>
      </c>
      <c r="C18" s="58">
        <v>30</v>
      </c>
      <c r="D18" s="58">
        <v>9</v>
      </c>
      <c r="E18" s="58">
        <v>2015</v>
      </c>
      <c r="F18" s="69" t="s">
        <v>210</v>
      </c>
      <c r="G18" s="69" t="s">
        <v>210</v>
      </c>
      <c r="H18" s="70">
        <f t="shared" si="0"/>
        <v>1</v>
      </c>
      <c r="I18" s="73">
        <v>103.4</v>
      </c>
      <c r="J18" s="73">
        <v>103.4</v>
      </c>
      <c r="K18" s="71">
        <v>94.37</v>
      </c>
      <c r="L18" s="71">
        <v>89.06</v>
      </c>
      <c r="M18" s="71">
        <v>77.61</v>
      </c>
      <c r="N18" s="71">
        <v>68.12</v>
      </c>
      <c r="O18" s="71">
        <v>77.430000000000007</v>
      </c>
      <c r="P18" s="71">
        <v>63.28</v>
      </c>
      <c r="Q18" s="71">
        <v>65.75</v>
      </c>
      <c r="R18" s="71">
        <v>96.42</v>
      </c>
      <c r="S18" s="71">
        <v>68.8</v>
      </c>
      <c r="T18" s="71">
        <v>64.099999999999994</v>
      </c>
      <c r="U18" s="71">
        <v>59.21</v>
      </c>
      <c r="V18" s="71">
        <v>1</v>
      </c>
      <c r="W18" s="71">
        <v>1</v>
      </c>
      <c r="X18" s="71">
        <v>1</v>
      </c>
      <c r="Y18" s="71">
        <v>1</v>
      </c>
      <c r="Z18" s="71">
        <v>1</v>
      </c>
      <c r="AA18" s="71">
        <v>1</v>
      </c>
      <c r="AB18" s="71">
        <v>1</v>
      </c>
      <c r="AC18" s="71">
        <v>1</v>
      </c>
      <c r="AD18" s="71">
        <v>1</v>
      </c>
      <c r="AE18" s="71">
        <v>1</v>
      </c>
      <c r="AF18" s="71">
        <v>1</v>
      </c>
      <c r="AG18" s="71">
        <v>1</v>
      </c>
      <c r="AH18" s="71">
        <v>1</v>
      </c>
      <c r="AI18" s="72">
        <f t="shared" si="1"/>
        <v>103.4</v>
      </c>
      <c r="AJ18" s="72">
        <f t="shared" si="2"/>
        <v>103.4</v>
      </c>
      <c r="AK18" s="72">
        <f t="shared" si="3"/>
        <v>94.37</v>
      </c>
      <c r="AL18" s="72">
        <f t="shared" si="4"/>
        <v>89.06</v>
      </c>
      <c r="AM18" s="72">
        <f t="shared" si="5"/>
        <v>77.61</v>
      </c>
      <c r="AN18" s="72">
        <f t="shared" si="6"/>
        <v>68.12</v>
      </c>
      <c r="AO18" s="72">
        <f t="shared" si="7"/>
        <v>77.430000000000007</v>
      </c>
      <c r="AP18" s="72">
        <f t="shared" si="8"/>
        <v>63.28</v>
      </c>
      <c r="AQ18" s="72">
        <f t="shared" si="9"/>
        <v>65.75</v>
      </c>
      <c r="AR18" s="72">
        <f t="shared" si="10"/>
        <v>96.42</v>
      </c>
      <c r="AS18" s="72">
        <f t="shared" si="11"/>
        <v>68.8</v>
      </c>
      <c r="AT18" s="72">
        <f t="shared" si="12"/>
        <v>64.099999999999994</v>
      </c>
      <c r="AU18" s="72">
        <f t="shared" si="13"/>
        <v>59.21</v>
      </c>
    </row>
    <row r="19" spans="1:47" x14ac:dyDescent="0.25">
      <c r="A19" t="s">
        <v>20</v>
      </c>
      <c r="B19" t="s">
        <v>21</v>
      </c>
      <c r="C19" s="58">
        <v>31</v>
      </c>
      <c r="D19" s="58">
        <v>12</v>
      </c>
      <c r="E19" s="58">
        <v>2015</v>
      </c>
      <c r="F19" s="69" t="s">
        <v>210</v>
      </c>
      <c r="G19" s="69" t="s">
        <v>210</v>
      </c>
      <c r="H19" s="70">
        <f t="shared" si="0"/>
        <v>1</v>
      </c>
      <c r="I19" s="73">
        <v>155.5</v>
      </c>
      <c r="J19" s="73">
        <v>155.5</v>
      </c>
      <c r="K19" s="71">
        <v>137.35</v>
      </c>
      <c r="L19" s="71">
        <v>130.35</v>
      </c>
      <c r="M19" s="71">
        <v>104.8</v>
      </c>
      <c r="N19" s="71">
        <v>73.91</v>
      </c>
      <c r="O19" s="71">
        <v>88.93</v>
      </c>
      <c r="P19" s="71">
        <v>87.15</v>
      </c>
      <c r="Q19" s="71">
        <v>75</v>
      </c>
      <c r="R19" s="71">
        <v>147.94999999999999</v>
      </c>
      <c r="S19" s="71">
        <v>154.76</v>
      </c>
      <c r="T19" s="71">
        <v>127.94</v>
      </c>
      <c r="U19" s="71">
        <v>97.6</v>
      </c>
      <c r="V19" s="71">
        <v>1</v>
      </c>
      <c r="W19" s="71">
        <v>1</v>
      </c>
      <c r="X19" s="71">
        <v>1</v>
      </c>
      <c r="Y19" s="71">
        <v>1</v>
      </c>
      <c r="Z19" s="71">
        <v>1</v>
      </c>
      <c r="AA19" s="71">
        <v>1</v>
      </c>
      <c r="AB19" s="71">
        <v>1</v>
      </c>
      <c r="AC19" s="71">
        <v>1</v>
      </c>
      <c r="AD19" s="71">
        <v>1</v>
      </c>
      <c r="AE19" s="71">
        <v>1</v>
      </c>
      <c r="AF19" s="71">
        <v>1</v>
      </c>
      <c r="AG19" s="71">
        <v>1</v>
      </c>
      <c r="AH19" s="71">
        <v>1</v>
      </c>
      <c r="AI19" s="72">
        <f t="shared" si="1"/>
        <v>155.5</v>
      </c>
      <c r="AJ19" s="72">
        <f t="shared" si="2"/>
        <v>155.5</v>
      </c>
      <c r="AK19" s="72">
        <f t="shared" si="3"/>
        <v>137.35</v>
      </c>
      <c r="AL19" s="72">
        <f t="shared" si="4"/>
        <v>130.35</v>
      </c>
      <c r="AM19" s="72">
        <f t="shared" si="5"/>
        <v>104.8</v>
      </c>
      <c r="AN19" s="72">
        <f t="shared" si="6"/>
        <v>73.91</v>
      </c>
      <c r="AO19" s="72">
        <f t="shared" si="7"/>
        <v>88.93</v>
      </c>
      <c r="AP19" s="72">
        <f t="shared" si="8"/>
        <v>87.15</v>
      </c>
      <c r="AQ19" s="72">
        <f t="shared" si="9"/>
        <v>75</v>
      </c>
      <c r="AR19" s="72">
        <f t="shared" si="10"/>
        <v>147.94999999999999</v>
      </c>
      <c r="AS19" s="72">
        <f t="shared" si="11"/>
        <v>154.76</v>
      </c>
      <c r="AT19" s="72">
        <f t="shared" si="12"/>
        <v>127.94</v>
      </c>
      <c r="AU19" s="72">
        <f t="shared" si="13"/>
        <v>97.6</v>
      </c>
    </row>
    <row r="20" spans="1:47" x14ac:dyDescent="0.25">
      <c r="A20" t="s">
        <v>22</v>
      </c>
      <c r="B20" t="s">
        <v>23</v>
      </c>
      <c r="C20" s="58">
        <v>31</v>
      </c>
      <c r="D20" s="58">
        <v>12</v>
      </c>
      <c r="E20" s="58">
        <v>2015</v>
      </c>
      <c r="F20" s="69" t="s">
        <v>210</v>
      </c>
      <c r="G20" s="69" t="s">
        <v>210</v>
      </c>
      <c r="H20" s="70">
        <f t="shared" si="0"/>
        <v>1</v>
      </c>
      <c r="I20" s="73">
        <v>194.4</v>
      </c>
      <c r="J20" s="73">
        <v>194.4</v>
      </c>
      <c r="K20" s="71">
        <v>165.75</v>
      </c>
      <c r="L20" s="71">
        <v>160.15</v>
      </c>
      <c r="M20" s="71">
        <v>136</v>
      </c>
      <c r="N20" s="71">
        <v>94.78</v>
      </c>
      <c r="O20" s="71">
        <v>113.45</v>
      </c>
      <c r="P20" s="71">
        <v>108.67</v>
      </c>
      <c r="Q20" s="71">
        <v>111</v>
      </c>
      <c r="R20" s="71">
        <v>132.94</v>
      </c>
      <c r="S20" s="71">
        <v>130.41999999999999</v>
      </c>
      <c r="T20" s="71">
        <v>114.38</v>
      </c>
      <c r="U20" s="71">
        <v>90.45</v>
      </c>
      <c r="V20" s="71">
        <v>1</v>
      </c>
      <c r="W20" s="71">
        <v>1</v>
      </c>
      <c r="X20" s="71">
        <v>1</v>
      </c>
      <c r="Y20" s="71">
        <v>1</v>
      </c>
      <c r="Z20" s="71">
        <v>1</v>
      </c>
      <c r="AA20" s="71">
        <v>1</v>
      </c>
      <c r="AB20" s="71">
        <v>1</v>
      </c>
      <c r="AC20" s="71">
        <v>1</v>
      </c>
      <c r="AD20" s="71">
        <v>1</v>
      </c>
      <c r="AE20" s="71">
        <v>1</v>
      </c>
      <c r="AF20" s="71">
        <v>1</v>
      </c>
      <c r="AG20" s="71">
        <v>1</v>
      </c>
      <c r="AH20" s="71">
        <v>1</v>
      </c>
      <c r="AI20" s="72">
        <f t="shared" si="1"/>
        <v>194.4</v>
      </c>
      <c r="AJ20" s="72">
        <f t="shared" si="2"/>
        <v>194.4</v>
      </c>
      <c r="AK20" s="72">
        <f t="shared" si="3"/>
        <v>165.75</v>
      </c>
      <c r="AL20" s="72">
        <f t="shared" si="4"/>
        <v>160.15</v>
      </c>
      <c r="AM20" s="72">
        <f t="shared" si="5"/>
        <v>136</v>
      </c>
      <c r="AN20" s="72">
        <f t="shared" si="6"/>
        <v>94.78</v>
      </c>
      <c r="AO20" s="72">
        <f t="shared" si="7"/>
        <v>113.45</v>
      </c>
      <c r="AP20" s="72">
        <f t="shared" si="8"/>
        <v>108.67</v>
      </c>
      <c r="AQ20" s="72">
        <f t="shared" si="9"/>
        <v>111</v>
      </c>
      <c r="AR20" s="72">
        <f t="shared" si="10"/>
        <v>132.94</v>
      </c>
      <c r="AS20" s="72">
        <f t="shared" si="11"/>
        <v>130.41999999999999</v>
      </c>
      <c r="AT20" s="72">
        <f t="shared" si="12"/>
        <v>114.38</v>
      </c>
      <c r="AU20" s="72">
        <f t="shared" si="13"/>
        <v>90.45</v>
      </c>
    </row>
    <row r="21" spans="1:47" x14ac:dyDescent="0.25">
      <c r="A21" t="s">
        <v>24</v>
      </c>
      <c r="B21" t="s">
        <v>25</v>
      </c>
      <c r="C21" s="58">
        <v>31</v>
      </c>
      <c r="D21" s="58">
        <v>12</v>
      </c>
      <c r="E21" s="58">
        <v>2015</v>
      </c>
      <c r="F21" s="69" t="s">
        <v>210</v>
      </c>
      <c r="G21" s="69" t="s">
        <v>210</v>
      </c>
      <c r="H21" s="70">
        <f t="shared" si="0"/>
        <v>1</v>
      </c>
      <c r="I21" s="73">
        <v>90.53</v>
      </c>
      <c r="J21" s="73">
        <v>90.53</v>
      </c>
      <c r="K21" s="71">
        <v>69.88</v>
      </c>
      <c r="L21" s="71">
        <v>77.489999999999995</v>
      </c>
      <c r="M21" s="71">
        <v>71.150000000000006</v>
      </c>
      <c r="N21" s="71">
        <v>53.89</v>
      </c>
      <c r="O21" s="71">
        <v>59.7</v>
      </c>
      <c r="P21" s="71">
        <v>43.46</v>
      </c>
      <c r="Q21" s="71">
        <v>27.73</v>
      </c>
      <c r="R21" s="71">
        <v>50.704999999999998</v>
      </c>
      <c r="S21" s="71">
        <v>36.924999999999997</v>
      </c>
      <c r="T21" s="71">
        <v>32.354999999999997</v>
      </c>
      <c r="U21" s="71">
        <v>26.5</v>
      </c>
      <c r="V21" s="71">
        <v>1</v>
      </c>
      <c r="W21" s="71">
        <v>1</v>
      </c>
      <c r="X21" s="71">
        <v>1</v>
      </c>
      <c r="Y21" s="71">
        <v>1</v>
      </c>
      <c r="Z21" s="71">
        <v>1</v>
      </c>
      <c r="AA21" s="71">
        <v>1</v>
      </c>
      <c r="AB21" s="71">
        <v>1</v>
      </c>
      <c r="AC21" s="71">
        <v>1</v>
      </c>
      <c r="AD21" s="71">
        <v>1</v>
      </c>
      <c r="AE21" s="71">
        <v>1</v>
      </c>
      <c r="AF21" s="71">
        <v>1</v>
      </c>
      <c r="AG21" s="71">
        <v>1</v>
      </c>
      <c r="AH21" s="71">
        <v>1</v>
      </c>
      <c r="AI21" s="72">
        <f t="shared" si="1"/>
        <v>90.53</v>
      </c>
      <c r="AJ21" s="72">
        <f t="shared" si="2"/>
        <v>90.53</v>
      </c>
      <c r="AK21" s="72">
        <f t="shared" si="3"/>
        <v>69.88</v>
      </c>
      <c r="AL21" s="72">
        <f t="shared" si="4"/>
        <v>77.489999999999995</v>
      </c>
      <c r="AM21" s="72">
        <f t="shared" si="5"/>
        <v>71.150000000000006</v>
      </c>
      <c r="AN21" s="72">
        <f t="shared" si="6"/>
        <v>53.89</v>
      </c>
      <c r="AO21" s="72">
        <f t="shared" si="7"/>
        <v>59.7</v>
      </c>
      <c r="AP21" s="72">
        <f t="shared" si="8"/>
        <v>43.46</v>
      </c>
      <c r="AQ21" s="72">
        <f t="shared" si="9"/>
        <v>27.73</v>
      </c>
      <c r="AR21" s="72">
        <f t="shared" si="10"/>
        <v>50.704999999999998</v>
      </c>
      <c r="AS21" s="72">
        <f t="shared" si="11"/>
        <v>36.924999999999997</v>
      </c>
      <c r="AT21" s="72">
        <f t="shared" si="12"/>
        <v>32.354999999999997</v>
      </c>
      <c r="AU21" s="72">
        <f t="shared" si="13"/>
        <v>26.5</v>
      </c>
    </row>
    <row r="22" spans="1:47" x14ac:dyDescent="0.25">
      <c r="A22" t="s">
        <v>26</v>
      </c>
      <c r="B22" t="s">
        <v>27</v>
      </c>
      <c r="C22" s="58">
        <v>31</v>
      </c>
      <c r="D22" s="58">
        <v>12</v>
      </c>
      <c r="E22" s="58">
        <v>2015</v>
      </c>
      <c r="F22" s="69" t="s">
        <v>210</v>
      </c>
      <c r="G22" s="69" t="s">
        <v>210</v>
      </c>
      <c r="H22" s="70">
        <f t="shared" si="0"/>
        <v>1</v>
      </c>
      <c r="I22" s="73">
        <v>141.69999999999999</v>
      </c>
      <c r="J22" s="73">
        <v>141.69999999999999</v>
      </c>
      <c r="K22" s="71">
        <v>113</v>
      </c>
      <c r="L22" s="71">
        <v>101.95</v>
      </c>
      <c r="M22" s="71">
        <v>71.89</v>
      </c>
      <c r="N22" s="71">
        <v>49.4</v>
      </c>
      <c r="O22" s="71">
        <v>55.3</v>
      </c>
      <c r="P22" s="71">
        <v>55.96</v>
      </c>
      <c r="Q22" s="71">
        <v>41.55</v>
      </c>
      <c r="R22" s="71">
        <v>62.53</v>
      </c>
      <c r="S22" s="71">
        <v>40.659999999999997</v>
      </c>
      <c r="T22" s="71">
        <v>35.29</v>
      </c>
      <c r="U22" s="71">
        <v>24.94</v>
      </c>
      <c r="V22" s="71">
        <v>1</v>
      </c>
      <c r="W22" s="71">
        <v>1</v>
      </c>
      <c r="X22" s="71">
        <v>1</v>
      </c>
      <c r="Y22" s="71">
        <v>1</v>
      </c>
      <c r="Z22" s="71">
        <v>1</v>
      </c>
      <c r="AA22" s="71">
        <v>1</v>
      </c>
      <c r="AB22" s="71">
        <v>1</v>
      </c>
      <c r="AC22" s="71">
        <v>1</v>
      </c>
      <c r="AD22" s="71">
        <v>1</v>
      </c>
      <c r="AE22" s="71">
        <v>1</v>
      </c>
      <c r="AF22" s="71">
        <v>1</v>
      </c>
      <c r="AG22" s="71">
        <v>1</v>
      </c>
      <c r="AH22" s="71">
        <v>1</v>
      </c>
      <c r="AI22" s="72">
        <f t="shared" si="1"/>
        <v>141.69999999999999</v>
      </c>
      <c r="AJ22" s="72">
        <f t="shared" si="2"/>
        <v>141.69999999999999</v>
      </c>
      <c r="AK22" s="72">
        <f t="shared" si="3"/>
        <v>113</v>
      </c>
      <c r="AL22" s="72">
        <f t="shared" si="4"/>
        <v>101.95</v>
      </c>
      <c r="AM22" s="72">
        <f t="shared" si="5"/>
        <v>71.89</v>
      </c>
      <c r="AN22" s="72">
        <f t="shared" si="6"/>
        <v>49.4</v>
      </c>
      <c r="AO22" s="72">
        <f t="shared" si="7"/>
        <v>55.3</v>
      </c>
      <c r="AP22" s="72">
        <f t="shared" si="8"/>
        <v>55.96</v>
      </c>
      <c r="AQ22" s="72">
        <f t="shared" si="9"/>
        <v>41.55</v>
      </c>
      <c r="AR22" s="72">
        <f t="shared" si="10"/>
        <v>62.53</v>
      </c>
      <c r="AS22" s="72">
        <f t="shared" si="11"/>
        <v>40.659999999999997</v>
      </c>
      <c r="AT22" s="72">
        <f t="shared" si="12"/>
        <v>35.29</v>
      </c>
      <c r="AU22" s="72">
        <f t="shared" si="13"/>
        <v>24.94</v>
      </c>
    </row>
    <row r="23" spans="1:47" x14ac:dyDescent="0.25">
      <c r="A23" t="s">
        <v>28</v>
      </c>
      <c r="B23" t="s">
        <v>29</v>
      </c>
      <c r="C23" s="58">
        <v>31</v>
      </c>
      <c r="D23" s="58">
        <v>12</v>
      </c>
      <c r="E23" s="58">
        <v>2015</v>
      </c>
      <c r="F23" s="69" t="s">
        <v>210</v>
      </c>
      <c r="G23" s="69" t="s">
        <v>210</v>
      </c>
      <c r="H23" s="70">
        <f t="shared" si="0"/>
        <v>1</v>
      </c>
      <c r="I23" s="73">
        <v>6.4</v>
      </c>
      <c r="J23" s="73">
        <v>6.4</v>
      </c>
      <c r="K23" s="71">
        <v>6.9960000000000004</v>
      </c>
      <c r="L23" s="71">
        <v>6.5060000000000002</v>
      </c>
      <c r="M23" s="71">
        <v>6.1</v>
      </c>
      <c r="N23" s="71">
        <v>5.87</v>
      </c>
      <c r="O23" s="71">
        <v>7.7690000000000001</v>
      </c>
      <c r="P23" s="71">
        <v>11.319000000000001</v>
      </c>
      <c r="Q23" s="71">
        <v>6.6150000000000002</v>
      </c>
      <c r="R23" s="71">
        <v>13.513</v>
      </c>
      <c r="S23" s="71">
        <v>12.919</v>
      </c>
      <c r="T23" s="71">
        <v>10.186999999999999</v>
      </c>
      <c r="U23" s="71">
        <v>8.3420000000000005</v>
      </c>
      <c r="V23" s="71">
        <v>1</v>
      </c>
      <c r="W23" s="71">
        <v>1</v>
      </c>
      <c r="X23" s="71">
        <v>1</v>
      </c>
      <c r="Y23" s="71">
        <v>1</v>
      </c>
      <c r="Z23" s="71">
        <v>1</v>
      </c>
      <c r="AA23" s="71">
        <v>1</v>
      </c>
      <c r="AB23" s="71">
        <v>1</v>
      </c>
      <c r="AC23" s="71">
        <v>1</v>
      </c>
      <c r="AD23" s="71">
        <v>1</v>
      </c>
      <c r="AE23" s="71">
        <v>1</v>
      </c>
      <c r="AF23" s="71">
        <v>1</v>
      </c>
      <c r="AG23" s="71">
        <v>1</v>
      </c>
      <c r="AH23" s="71">
        <v>1</v>
      </c>
      <c r="AI23" s="72">
        <f t="shared" si="1"/>
        <v>6.4</v>
      </c>
      <c r="AJ23" s="72">
        <f t="shared" si="2"/>
        <v>6.4</v>
      </c>
      <c r="AK23" s="72">
        <f t="shared" si="3"/>
        <v>6.9960000000000004</v>
      </c>
      <c r="AL23" s="72">
        <f t="shared" si="4"/>
        <v>6.5060000000000002</v>
      </c>
      <c r="AM23" s="72">
        <f t="shared" si="5"/>
        <v>6.1</v>
      </c>
      <c r="AN23" s="72">
        <f t="shared" si="6"/>
        <v>5.87</v>
      </c>
      <c r="AO23" s="72">
        <f t="shared" si="7"/>
        <v>7.7690000000000001</v>
      </c>
      <c r="AP23" s="72">
        <f t="shared" si="8"/>
        <v>11.319000000000001</v>
      </c>
      <c r="AQ23" s="72">
        <f t="shared" si="9"/>
        <v>6.6150000000000002</v>
      </c>
      <c r="AR23" s="72">
        <f t="shared" si="10"/>
        <v>13.513</v>
      </c>
      <c r="AS23" s="72">
        <f t="shared" si="11"/>
        <v>12.919</v>
      </c>
      <c r="AT23" s="72">
        <f t="shared" si="12"/>
        <v>10.186999999999999</v>
      </c>
      <c r="AU23" s="72">
        <f t="shared" si="13"/>
        <v>8.3420000000000005</v>
      </c>
    </row>
    <row r="24" spans="1:47" x14ac:dyDescent="0.25">
      <c r="A24" t="s">
        <v>30</v>
      </c>
      <c r="B24" t="s">
        <v>31</v>
      </c>
      <c r="C24" s="58">
        <v>31</v>
      </c>
      <c r="D24" s="58">
        <v>12</v>
      </c>
      <c r="E24" s="58">
        <v>2015</v>
      </c>
      <c r="F24" s="69" t="s">
        <v>210</v>
      </c>
      <c r="G24" s="69" t="s">
        <v>210</v>
      </c>
      <c r="H24" s="70">
        <f t="shared" si="0"/>
        <v>1</v>
      </c>
      <c r="I24" s="73">
        <v>13.24</v>
      </c>
      <c r="J24" s="73">
        <v>13.24</v>
      </c>
      <c r="K24" s="71">
        <v>11.92</v>
      </c>
      <c r="L24" s="71">
        <v>11.835000000000001</v>
      </c>
      <c r="M24" s="71">
        <v>10.19</v>
      </c>
      <c r="N24" s="71">
        <v>13.385</v>
      </c>
      <c r="O24" s="71">
        <v>16.965</v>
      </c>
      <c r="P24" s="71">
        <v>19.52</v>
      </c>
      <c r="Q24" s="71">
        <v>15.85</v>
      </c>
      <c r="R24" s="71">
        <v>22.22</v>
      </c>
      <c r="S24" s="71">
        <v>16.12</v>
      </c>
      <c r="T24" s="71">
        <v>12.71</v>
      </c>
      <c r="U24" s="71">
        <v>13.86</v>
      </c>
      <c r="V24" s="71">
        <v>1</v>
      </c>
      <c r="W24" s="71">
        <v>1</v>
      </c>
      <c r="X24" s="71">
        <v>1</v>
      </c>
      <c r="Y24" s="71">
        <v>1</v>
      </c>
      <c r="Z24" s="71">
        <v>1</v>
      </c>
      <c r="AA24" s="71">
        <v>1</v>
      </c>
      <c r="AB24" s="71">
        <v>1</v>
      </c>
      <c r="AC24" s="71">
        <v>1</v>
      </c>
      <c r="AD24" s="71">
        <v>1</v>
      </c>
      <c r="AE24" s="71">
        <v>1</v>
      </c>
      <c r="AF24" s="71">
        <v>1</v>
      </c>
      <c r="AG24" s="71">
        <v>1</v>
      </c>
      <c r="AH24" s="71">
        <v>1</v>
      </c>
      <c r="AI24" s="72">
        <f t="shared" si="1"/>
        <v>13.24</v>
      </c>
      <c r="AJ24" s="72">
        <f t="shared" si="2"/>
        <v>13.24</v>
      </c>
      <c r="AK24" s="72">
        <f t="shared" si="3"/>
        <v>11.92</v>
      </c>
      <c r="AL24" s="72">
        <f t="shared" si="4"/>
        <v>11.835000000000001</v>
      </c>
      <c r="AM24" s="72">
        <f t="shared" si="5"/>
        <v>10.19</v>
      </c>
      <c r="AN24" s="72">
        <f t="shared" si="6"/>
        <v>13.385</v>
      </c>
      <c r="AO24" s="72">
        <f t="shared" si="7"/>
        <v>16.965</v>
      </c>
      <c r="AP24" s="72">
        <f t="shared" si="8"/>
        <v>19.52</v>
      </c>
      <c r="AQ24" s="72">
        <f t="shared" si="9"/>
        <v>15.85</v>
      </c>
      <c r="AR24" s="72">
        <f t="shared" si="10"/>
        <v>22.22</v>
      </c>
      <c r="AS24" s="72">
        <f t="shared" si="11"/>
        <v>16.12</v>
      </c>
      <c r="AT24" s="72">
        <f t="shared" si="12"/>
        <v>12.71</v>
      </c>
      <c r="AU24" s="72">
        <f t="shared" si="13"/>
        <v>13.86</v>
      </c>
    </row>
    <row r="25" spans="1:47" x14ac:dyDescent="0.25">
      <c r="A25" s="54" t="s">
        <v>32</v>
      </c>
      <c r="B25" s="54" t="s">
        <v>33</v>
      </c>
      <c r="C25" s="92">
        <v>31</v>
      </c>
      <c r="D25" s="92">
        <v>12</v>
      </c>
      <c r="E25" s="92">
        <v>2015</v>
      </c>
      <c r="F25" s="93" t="s">
        <v>210</v>
      </c>
      <c r="G25" s="93" t="s">
        <v>210</v>
      </c>
      <c r="H25" s="70">
        <f t="shared" si="0"/>
        <v>1</v>
      </c>
      <c r="I25" s="73">
        <v>44.645000000000003</v>
      </c>
      <c r="J25" s="73">
        <v>44.645000000000003</v>
      </c>
      <c r="K25" s="71">
        <v>42.52</v>
      </c>
      <c r="L25" s="71">
        <v>44.53</v>
      </c>
      <c r="M25" s="71">
        <v>39.01</v>
      </c>
      <c r="N25" s="71">
        <v>39.5</v>
      </c>
      <c r="O25" s="71">
        <v>39.65</v>
      </c>
      <c r="P25" s="71">
        <v>45.005000000000003</v>
      </c>
      <c r="Q25" s="71">
        <v>38.909999999999997</v>
      </c>
      <c r="R25" s="71">
        <v>56.83</v>
      </c>
      <c r="S25" s="71">
        <v>54.65</v>
      </c>
      <c r="T25" s="71">
        <v>53.05</v>
      </c>
      <c r="U25" s="71">
        <v>40.174999999999997</v>
      </c>
      <c r="V25" s="71">
        <v>1</v>
      </c>
      <c r="W25" s="71">
        <v>1</v>
      </c>
      <c r="X25" s="71">
        <v>1</v>
      </c>
      <c r="Y25" s="71">
        <v>1</v>
      </c>
      <c r="Z25" s="71">
        <v>1</v>
      </c>
      <c r="AA25" s="71">
        <v>1</v>
      </c>
      <c r="AB25" s="71">
        <v>1</v>
      </c>
      <c r="AC25" s="71">
        <v>1</v>
      </c>
      <c r="AD25" s="71">
        <v>1</v>
      </c>
      <c r="AE25" s="71">
        <v>1</v>
      </c>
      <c r="AF25" s="71">
        <v>1</v>
      </c>
      <c r="AG25" s="71">
        <v>1</v>
      </c>
      <c r="AH25" s="71">
        <v>1</v>
      </c>
      <c r="AI25" s="72">
        <f t="shared" si="1"/>
        <v>44.645000000000003</v>
      </c>
      <c r="AJ25" s="72">
        <f t="shared" si="2"/>
        <v>44.645000000000003</v>
      </c>
      <c r="AK25" s="72">
        <f t="shared" si="3"/>
        <v>42.52</v>
      </c>
      <c r="AL25" s="72">
        <f t="shared" si="4"/>
        <v>44.53</v>
      </c>
      <c r="AM25" s="72">
        <f t="shared" si="5"/>
        <v>39.01</v>
      </c>
      <c r="AN25" s="72">
        <f t="shared" si="6"/>
        <v>39.5</v>
      </c>
      <c r="AO25" s="72">
        <f t="shared" si="7"/>
        <v>39.65</v>
      </c>
      <c r="AP25" s="72">
        <f t="shared" si="8"/>
        <v>45.005000000000003</v>
      </c>
      <c r="AQ25" s="72">
        <f t="shared" si="9"/>
        <v>38.909999999999997</v>
      </c>
      <c r="AR25" s="72">
        <f t="shared" si="10"/>
        <v>56.83</v>
      </c>
      <c r="AS25" s="72">
        <f t="shared" si="11"/>
        <v>54.65</v>
      </c>
      <c r="AT25" s="72">
        <f t="shared" si="12"/>
        <v>53.05</v>
      </c>
      <c r="AU25" s="72">
        <f t="shared" si="13"/>
        <v>40.174999999999997</v>
      </c>
    </row>
    <row r="26" spans="1:47" x14ac:dyDescent="0.25">
      <c r="A26" t="s">
        <v>109</v>
      </c>
      <c r="B26" t="s">
        <v>227</v>
      </c>
      <c r="C26" s="58">
        <v>31</v>
      </c>
      <c r="D26" s="58">
        <v>12</v>
      </c>
      <c r="E26" s="58">
        <v>2015</v>
      </c>
      <c r="F26" s="69" t="s">
        <v>210</v>
      </c>
      <c r="G26" s="69" t="s">
        <v>210</v>
      </c>
      <c r="H26" s="70">
        <f t="shared" si="0"/>
        <v>1</v>
      </c>
      <c r="I26" s="73">
        <v>171.75</v>
      </c>
      <c r="J26" s="73">
        <v>171.75</v>
      </c>
      <c r="K26" s="71">
        <v>139.30000000000001</v>
      </c>
      <c r="L26" s="71">
        <v>127.7</v>
      </c>
      <c r="M26" s="71">
        <v>104.9</v>
      </c>
      <c r="N26" s="71">
        <v>80.7</v>
      </c>
      <c r="O26" s="71">
        <v>83.08</v>
      </c>
      <c r="P26" s="71">
        <v>78</v>
      </c>
      <c r="Q26" s="71">
        <v>62.3</v>
      </c>
      <c r="R26" s="71">
        <v>97.98</v>
      </c>
      <c r="S26" s="71">
        <v>75.900000000000006</v>
      </c>
      <c r="T26" s="71">
        <v>62.8</v>
      </c>
      <c r="U26" s="71">
        <v>55.85</v>
      </c>
      <c r="V26" s="71">
        <v>1</v>
      </c>
      <c r="W26" s="71">
        <v>1</v>
      </c>
      <c r="X26" s="71">
        <v>1</v>
      </c>
      <c r="Y26" s="71">
        <v>1</v>
      </c>
      <c r="Z26" s="71">
        <v>1</v>
      </c>
      <c r="AA26" s="71">
        <v>1</v>
      </c>
      <c r="AB26" s="71">
        <v>1</v>
      </c>
      <c r="AC26" s="71">
        <v>1</v>
      </c>
      <c r="AD26" s="71">
        <v>1</v>
      </c>
      <c r="AE26" s="71">
        <v>1</v>
      </c>
      <c r="AF26" s="71">
        <v>1</v>
      </c>
      <c r="AG26" s="71">
        <v>1</v>
      </c>
      <c r="AH26" s="71">
        <v>1</v>
      </c>
      <c r="AI26" s="72">
        <f t="shared" si="1"/>
        <v>171.75</v>
      </c>
      <c r="AJ26" s="72">
        <f t="shared" si="2"/>
        <v>171.75</v>
      </c>
      <c r="AK26" s="72">
        <f t="shared" si="3"/>
        <v>139.30000000000001</v>
      </c>
      <c r="AL26" s="72">
        <f t="shared" si="4"/>
        <v>127.7</v>
      </c>
      <c r="AM26" s="72">
        <f t="shared" si="5"/>
        <v>104.9</v>
      </c>
      <c r="AN26" s="72">
        <f t="shared" si="6"/>
        <v>80.7</v>
      </c>
      <c r="AO26" s="72">
        <f t="shared" si="7"/>
        <v>83.08</v>
      </c>
      <c r="AP26" s="72">
        <f t="shared" si="8"/>
        <v>78</v>
      </c>
      <c r="AQ26" s="72">
        <f t="shared" si="9"/>
        <v>62.3</v>
      </c>
      <c r="AR26" s="72">
        <f t="shared" si="10"/>
        <v>97.98</v>
      </c>
      <c r="AS26" s="72">
        <f t="shared" si="11"/>
        <v>75.900000000000006</v>
      </c>
      <c r="AT26" s="72">
        <f t="shared" si="12"/>
        <v>62.8</v>
      </c>
      <c r="AU26" s="72">
        <f t="shared" si="13"/>
        <v>55.85</v>
      </c>
    </row>
    <row r="27" spans="1:47" x14ac:dyDescent="0.25">
      <c r="A27" t="s">
        <v>111</v>
      </c>
      <c r="B27" t="s">
        <v>228</v>
      </c>
      <c r="C27" s="58">
        <v>31</v>
      </c>
      <c r="D27" s="58">
        <v>12</v>
      </c>
      <c r="E27" s="58">
        <v>2015</v>
      </c>
      <c r="F27" s="69" t="s">
        <v>210</v>
      </c>
      <c r="G27" s="69" t="s">
        <v>210</v>
      </c>
      <c r="H27" s="70">
        <f t="shared" si="0"/>
        <v>1</v>
      </c>
      <c r="I27" s="73">
        <v>89.83</v>
      </c>
      <c r="J27" s="73">
        <v>89.83</v>
      </c>
      <c r="K27" s="71">
        <v>75.66</v>
      </c>
      <c r="L27" s="71">
        <v>77.12</v>
      </c>
      <c r="M27" s="71">
        <v>71.39</v>
      </c>
      <c r="N27" s="71">
        <v>56.75</v>
      </c>
      <c r="O27" s="71">
        <v>47.85</v>
      </c>
      <c r="P27" s="71">
        <v>55.06</v>
      </c>
      <c r="Q27" s="71">
        <v>45.4</v>
      </c>
      <c r="R27" s="71">
        <v>62.98</v>
      </c>
      <c r="S27" s="71">
        <v>69.95</v>
      </c>
      <c r="T27" s="71">
        <v>74</v>
      </c>
      <c r="U27" s="71">
        <v>58.8</v>
      </c>
      <c r="V27" s="71">
        <v>1</v>
      </c>
      <c r="W27" s="71">
        <v>1</v>
      </c>
      <c r="X27" s="71">
        <v>1</v>
      </c>
      <c r="Y27" s="71">
        <v>1</v>
      </c>
      <c r="Z27" s="71">
        <v>1</v>
      </c>
      <c r="AA27" s="71">
        <v>1</v>
      </c>
      <c r="AB27" s="71">
        <v>1</v>
      </c>
      <c r="AC27" s="71">
        <v>1</v>
      </c>
      <c r="AD27" s="71">
        <v>1</v>
      </c>
      <c r="AE27" s="71">
        <v>1</v>
      </c>
      <c r="AF27" s="71">
        <v>1</v>
      </c>
      <c r="AG27" s="71">
        <v>1</v>
      </c>
      <c r="AH27" s="71">
        <v>1</v>
      </c>
      <c r="AI27" s="72">
        <f t="shared" si="1"/>
        <v>89.83</v>
      </c>
      <c r="AJ27" s="72">
        <f t="shared" si="2"/>
        <v>89.83</v>
      </c>
      <c r="AK27" s="72">
        <f t="shared" si="3"/>
        <v>75.66</v>
      </c>
      <c r="AL27" s="72">
        <f t="shared" si="4"/>
        <v>77.12</v>
      </c>
      <c r="AM27" s="72">
        <f t="shared" si="5"/>
        <v>71.39</v>
      </c>
      <c r="AN27" s="72">
        <f t="shared" si="6"/>
        <v>56.75</v>
      </c>
      <c r="AO27" s="72">
        <f t="shared" si="7"/>
        <v>47.85</v>
      </c>
      <c r="AP27" s="72">
        <f t="shared" si="8"/>
        <v>55.06</v>
      </c>
      <c r="AQ27" s="72">
        <f t="shared" si="9"/>
        <v>45.4</v>
      </c>
      <c r="AR27" s="72">
        <f t="shared" si="10"/>
        <v>62.98</v>
      </c>
      <c r="AS27" s="72">
        <f t="shared" si="11"/>
        <v>69.95</v>
      </c>
      <c r="AT27" s="72">
        <f t="shared" si="12"/>
        <v>74</v>
      </c>
      <c r="AU27" s="72">
        <f t="shared" si="13"/>
        <v>58.8</v>
      </c>
    </row>
    <row r="28" spans="1:47" x14ac:dyDescent="0.25">
      <c r="A28" t="s">
        <v>34</v>
      </c>
      <c r="B28" t="s">
        <v>35</v>
      </c>
      <c r="C28" s="58">
        <v>31</v>
      </c>
      <c r="D28" s="58">
        <v>12</v>
      </c>
      <c r="E28" s="58">
        <v>2015</v>
      </c>
      <c r="F28" s="69" t="s">
        <v>210</v>
      </c>
      <c r="G28" s="69" t="s">
        <v>210</v>
      </c>
      <c r="H28" s="70">
        <f t="shared" si="0"/>
        <v>1</v>
      </c>
      <c r="I28" s="73">
        <v>62.19</v>
      </c>
      <c r="J28" s="73">
        <v>62.19</v>
      </c>
      <c r="K28" s="71">
        <v>54.45</v>
      </c>
      <c r="L28" s="71">
        <v>52.32</v>
      </c>
      <c r="M28" s="71">
        <v>49.905000000000001</v>
      </c>
      <c r="N28" s="71">
        <v>48.57</v>
      </c>
      <c r="O28" s="71">
        <v>47.02</v>
      </c>
      <c r="P28" s="71">
        <v>42.83</v>
      </c>
      <c r="Q28" s="71">
        <v>43.18</v>
      </c>
      <c r="R28" s="71">
        <v>61.4</v>
      </c>
      <c r="S28" s="71">
        <v>57.4</v>
      </c>
      <c r="T28" s="71">
        <v>44.125</v>
      </c>
      <c r="U28" s="71">
        <v>33.975000000000001</v>
      </c>
      <c r="V28" s="71">
        <v>1</v>
      </c>
      <c r="W28" s="71">
        <v>1</v>
      </c>
      <c r="X28" s="71">
        <v>1</v>
      </c>
      <c r="Y28" s="71">
        <v>1</v>
      </c>
      <c r="Z28" s="71">
        <v>1</v>
      </c>
      <c r="AA28" s="71">
        <v>1</v>
      </c>
      <c r="AB28" s="71">
        <v>1</v>
      </c>
      <c r="AC28" s="71">
        <v>1</v>
      </c>
      <c r="AD28" s="71">
        <v>1</v>
      </c>
      <c r="AE28" s="71">
        <v>1</v>
      </c>
      <c r="AF28" s="71">
        <v>1</v>
      </c>
      <c r="AG28" s="71">
        <v>1</v>
      </c>
      <c r="AH28" s="71">
        <v>1</v>
      </c>
      <c r="AI28" s="72">
        <f t="shared" si="1"/>
        <v>62.19</v>
      </c>
      <c r="AJ28" s="72">
        <f t="shared" si="2"/>
        <v>62.19</v>
      </c>
      <c r="AK28" s="72">
        <f t="shared" si="3"/>
        <v>54.45</v>
      </c>
      <c r="AL28" s="72">
        <f t="shared" si="4"/>
        <v>52.32</v>
      </c>
      <c r="AM28" s="72">
        <f t="shared" si="5"/>
        <v>49.905000000000001</v>
      </c>
      <c r="AN28" s="72">
        <f t="shared" si="6"/>
        <v>48.57</v>
      </c>
      <c r="AO28" s="72">
        <f t="shared" si="7"/>
        <v>47.02</v>
      </c>
      <c r="AP28" s="72">
        <f t="shared" si="8"/>
        <v>42.83</v>
      </c>
      <c r="AQ28" s="72">
        <f t="shared" si="9"/>
        <v>43.18</v>
      </c>
      <c r="AR28" s="72">
        <f t="shared" si="10"/>
        <v>61.4</v>
      </c>
      <c r="AS28" s="72">
        <f t="shared" si="11"/>
        <v>57.4</v>
      </c>
      <c r="AT28" s="72">
        <f t="shared" si="12"/>
        <v>44.125</v>
      </c>
      <c r="AU28" s="72">
        <f t="shared" si="13"/>
        <v>33.975000000000001</v>
      </c>
    </row>
    <row r="29" spans="1:47" x14ac:dyDescent="0.25">
      <c r="A29" t="s">
        <v>36</v>
      </c>
      <c r="B29" t="s">
        <v>37</v>
      </c>
      <c r="C29" s="58">
        <v>30</v>
      </c>
      <c r="D29" s="58">
        <v>6</v>
      </c>
      <c r="E29" s="58">
        <v>2015</v>
      </c>
      <c r="F29" s="69" t="s">
        <v>212</v>
      </c>
      <c r="G29" s="69" t="s">
        <v>211</v>
      </c>
      <c r="H29" s="70">
        <f t="shared" si="0"/>
        <v>0</v>
      </c>
      <c r="I29" s="73">
        <v>13.895</v>
      </c>
      <c r="J29" s="73">
        <v>13.895</v>
      </c>
      <c r="K29" s="71">
        <v>18.895</v>
      </c>
      <c r="L29" s="71">
        <v>16.82</v>
      </c>
      <c r="M29" s="71">
        <v>18.059999999999999</v>
      </c>
      <c r="N29" s="71">
        <v>24.52</v>
      </c>
      <c r="O29" s="71">
        <v>17.545000000000002</v>
      </c>
      <c r="P29" s="71">
        <v>13.64</v>
      </c>
      <c r="Q29" s="71">
        <v>19.2</v>
      </c>
      <c r="R29" s="71">
        <v>13.9</v>
      </c>
      <c r="S29" s="71">
        <v>10.49</v>
      </c>
      <c r="T29" s="71">
        <v>7.12</v>
      </c>
      <c r="U29" s="71">
        <v>4.7850000000000001</v>
      </c>
      <c r="V29" s="73">
        <v>1.47417</v>
      </c>
      <c r="W29" s="73">
        <v>1.47417</v>
      </c>
      <c r="X29" s="71">
        <v>1.7034</v>
      </c>
      <c r="Y29" s="71">
        <v>1.5206</v>
      </c>
      <c r="Z29" s="71">
        <v>1.5702</v>
      </c>
      <c r="AA29" s="71">
        <v>1.6049</v>
      </c>
      <c r="AB29" s="71">
        <v>1.4939</v>
      </c>
      <c r="AC29" s="71">
        <v>1.6451</v>
      </c>
      <c r="AD29" s="71">
        <v>1.992</v>
      </c>
      <c r="AE29" s="71">
        <v>2.0084</v>
      </c>
      <c r="AF29" s="71">
        <v>1.8492</v>
      </c>
      <c r="AG29" s="71">
        <v>1.7917000000000001</v>
      </c>
      <c r="AH29" s="71">
        <v>1.8176000000000001</v>
      </c>
      <c r="AI29" s="72">
        <f t="shared" si="1"/>
        <v>20.48359215</v>
      </c>
      <c r="AJ29" s="72">
        <f t="shared" si="2"/>
        <v>20.48359215</v>
      </c>
      <c r="AK29" s="72">
        <f t="shared" si="3"/>
        <v>32.185743000000002</v>
      </c>
      <c r="AL29" s="72">
        <f t="shared" si="4"/>
        <v>25.576491999999998</v>
      </c>
      <c r="AM29" s="72">
        <f t="shared" si="5"/>
        <v>28.357811999999999</v>
      </c>
      <c r="AN29" s="72">
        <f t="shared" si="6"/>
        <v>39.352148</v>
      </c>
      <c r="AO29" s="72">
        <f t="shared" si="7"/>
        <v>26.210475500000001</v>
      </c>
      <c r="AP29" s="72">
        <f t="shared" si="8"/>
        <v>22.439164000000002</v>
      </c>
      <c r="AQ29" s="72">
        <f t="shared" si="9"/>
        <v>38.246400000000001</v>
      </c>
      <c r="AR29" s="72">
        <f t="shared" si="10"/>
        <v>27.91676</v>
      </c>
      <c r="AS29" s="72">
        <f t="shared" si="11"/>
        <v>19.398108000000001</v>
      </c>
      <c r="AT29" s="72">
        <f t="shared" si="12"/>
        <v>12.756904</v>
      </c>
      <c r="AU29" s="72">
        <f t="shared" si="13"/>
        <v>8.6972160000000009</v>
      </c>
    </row>
    <row r="30" spans="1:47" x14ac:dyDescent="0.25">
      <c r="A30" t="s">
        <v>113</v>
      </c>
      <c r="B30" t="s">
        <v>229</v>
      </c>
      <c r="C30" s="58">
        <v>30</v>
      </c>
      <c r="D30" s="58">
        <v>6</v>
      </c>
      <c r="E30" s="58">
        <v>2015</v>
      </c>
      <c r="F30" s="69" t="s">
        <v>211</v>
      </c>
      <c r="G30" s="69" t="s">
        <v>211</v>
      </c>
      <c r="H30" s="70">
        <f t="shared" si="0"/>
        <v>1</v>
      </c>
      <c r="I30" s="73">
        <v>18.64</v>
      </c>
      <c r="J30" s="73">
        <v>18.64</v>
      </c>
      <c r="K30" s="71">
        <v>18.66</v>
      </c>
      <c r="L30" s="71">
        <v>18.8</v>
      </c>
      <c r="M30" s="71">
        <v>16.420000000000002</v>
      </c>
      <c r="N30" s="71">
        <v>12.73</v>
      </c>
      <c r="O30" s="71">
        <v>10.6</v>
      </c>
      <c r="P30" s="71">
        <v>8.7149999999999999</v>
      </c>
      <c r="Q30" s="71">
        <v>9.24</v>
      </c>
      <c r="R30" s="71">
        <v>10.37</v>
      </c>
      <c r="S30" s="71">
        <v>9.0950000000000006</v>
      </c>
      <c r="T30" s="71">
        <v>8.23</v>
      </c>
      <c r="U30" s="71">
        <v>7.4349999999999996</v>
      </c>
      <c r="V30" s="71">
        <v>1</v>
      </c>
      <c r="W30" s="71">
        <v>1</v>
      </c>
      <c r="X30" s="71">
        <v>1</v>
      </c>
      <c r="Y30" s="71">
        <v>1</v>
      </c>
      <c r="Z30" s="71">
        <v>1</v>
      </c>
      <c r="AA30" s="71">
        <v>1</v>
      </c>
      <c r="AB30" s="71">
        <v>1</v>
      </c>
      <c r="AC30" s="71">
        <v>1</v>
      </c>
      <c r="AD30" s="71">
        <v>1</v>
      </c>
      <c r="AE30" s="71">
        <v>1</v>
      </c>
      <c r="AF30" s="71">
        <v>1</v>
      </c>
      <c r="AG30" s="71">
        <v>1</v>
      </c>
      <c r="AH30" s="71">
        <v>1</v>
      </c>
      <c r="AI30" s="72">
        <f t="shared" si="1"/>
        <v>18.64</v>
      </c>
      <c r="AJ30" s="72">
        <f t="shared" si="2"/>
        <v>18.64</v>
      </c>
      <c r="AK30" s="72">
        <f t="shared" si="3"/>
        <v>18.66</v>
      </c>
      <c r="AL30" s="72">
        <f t="shared" si="4"/>
        <v>18.8</v>
      </c>
      <c r="AM30" s="72">
        <f t="shared" si="5"/>
        <v>16.420000000000002</v>
      </c>
      <c r="AN30" s="72">
        <f t="shared" si="6"/>
        <v>12.73</v>
      </c>
      <c r="AO30" s="72">
        <f t="shared" si="7"/>
        <v>10.6</v>
      </c>
      <c r="AP30" s="72">
        <f t="shared" si="8"/>
        <v>8.7149999999999999</v>
      </c>
      <c r="AQ30" s="72">
        <f t="shared" si="9"/>
        <v>9.24</v>
      </c>
      <c r="AR30" s="72">
        <f t="shared" si="10"/>
        <v>10.37</v>
      </c>
      <c r="AS30" s="72">
        <f t="shared" si="11"/>
        <v>9.0950000000000006</v>
      </c>
      <c r="AT30" s="72">
        <f t="shared" si="12"/>
        <v>8.23</v>
      </c>
      <c r="AU30" s="72">
        <f t="shared" si="13"/>
        <v>7.4349999999999996</v>
      </c>
    </row>
    <row r="31" spans="1:47" x14ac:dyDescent="0.25">
      <c r="A31" t="s">
        <v>38</v>
      </c>
      <c r="B31" t="s">
        <v>39</v>
      </c>
      <c r="C31" s="58">
        <v>31</v>
      </c>
      <c r="D31" s="58">
        <v>12</v>
      </c>
      <c r="E31" s="58">
        <v>2015</v>
      </c>
      <c r="F31" s="69" t="s">
        <v>211</v>
      </c>
      <c r="G31" s="69" t="s">
        <v>211</v>
      </c>
      <c r="H31" s="70">
        <f t="shared" si="0"/>
        <v>1</v>
      </c>
      <c r="I31" s="73">
        <v>36.44</v>
      </c>
      <c r="J31" s="73">
        <v>36.44</v>
      </c>
      <c r="K31" s="71">
        <v>35</v>
      </c>
      <c r="L31" s="71">
        <v>32.380000000000003</v>
      </c>
      <c r="M31" s="71">
        <v>31.21</v>
      </c>
      <c r="N31" s="71">
        <v>30.555</v>
      </c>
      <c r="O31" s="71">
        <v>24.635000000000002</v>
      </c>
      <c r="P31" s="71">
        <v>20.164999999999999</v>
      </c>
      <c r="Q31" s="71">
        <v>18</v>
      </c>
      <c r="R31" s="71">
        <v>19.649999999999999</v>
      </c>
      <c r="S31" s="71">
        <v>14.29</v>
      </c>
      <c r="T31" s="71">
        <v>13</v>
      </c>
      <c r="U31" s="71">
        <v>8.9749999999999996</v>
      </c>
      <c r="V31" s="71">
        <v>1</v>
      </c>
      <c r="W31" s="71">
        <v>1</v>
      </c>
      <c r="X31" s="71">
        <v>1</v>
      </c>
      <c r="Y31" s="71">
        <v>1</v>
      </c>
      <c r="Z31" s="71">
        <v>1</v>
      </c>
      <c r="AA31" s="71">
        <v>1</v>
      </c>
      <c r="AB31" s="71">
        <v>1</v>
      </c>
      <c r="AC31" s="71">
        <v>1</v>
      </c>
      <c r="AD31" s="71">
        <v>1</v>
      </c>
      <c r="AE31" s="71">
        <v>1</v>
      </c>
      <c r="AF31" s="71">
        <v>1</v>
      </c>
      <c r="AG31" s="71">
        <v>1</v>
      </c>
      <c r="AH31" s="71">
        <v>1</v>
      </c>
      <c r="AI31" s="72">
        <f t="shared" si="1"/>
        <v>36.44</v>
      </c>
      <c r="AJ31" s="72">
        <f t="shared" si="2"/>
        <v>36.44</v>
      </c>
      <c r="AK31" s="72">
        <f t="shared" si="3"/>
        <v>35</v>
      </c>
      <c r="AL31" s="72">
        <f t="shared" si="4"/>
        <v>32.380000000000003</v>
      </c>
      <c r="AM31" s="72">
        <f t="shared" si="5"/>
        <v>31.21</v>
      </c>
      <c r="AN31" s="72">
        <f t="shared" si="6"/>
        <v>30.555</v>
      </c>
      <c r="AO31" s="72">
        <f t="shared" si="7"/>
        <v>24.635000000000002</v>
      </c>
      <c r="AP31" s="72">
        <f t="shared" si="8"/>
        <v>20.164999999999999</v>
      </c>
      <c r="AQ31" s="72">
        <f t="shared" si="9"/>
        <v>18</v>
      </c>
      <c r="AR31" s="72">
        <f t="shared" si="10"/>
        <v>19.649999999999999</v>
      </c>
      <c r="AS31" s="72">
        <f t="shared" si="11"/>
        <v>14.29</v>
      </c>
      <c r="AT31" s="72">
        <f t="shared" si="12"/>
        <v>13</v>
      </c>
      <c r="AU31" s="72">
        <f t="shared" si="13"/>
        <v>8.9749999999999996</v>
      </c>
    </row>
    <row r="32" spans="1:47" x14ac:dyDescent="0.25">
      <c r="A32" t="s">
        <v>40</v>
      </c>
      <c r="B32" t="s">
        <v>41</v>
      </c>
      <c r="C32" s="58">
        <v>30</v>
      </c>
      <c r="D32" s="58">
        <v>9</v>
      </c>
      <c r="E32" s="58">
        <v>2015</v>
      </c>
      <c r="F32" s="69" t="s">
        <v>211</v>
      </c>
      <c r="G32" s="69" t="s">
        <v>211</v>
      </c>
      <c r="H32" s="70">
        <f t="shared" si="0"/>
        <v>1</v>
      </c>
      <c r="I32" s="73">
        <v>30.96</v>
      </c>
      <c r="J32" s="73">
        <v>30.96</v>
      </c>
      <c r="K32" s="71">
        <v>26.64</v>
      </c>
      <c r="L32" s="71">
        <v>22.87</v>
      </c>
      <c r="M32" s="71">
        <v>22.92</v>
      </c>
      <c r="N32" s="71">
        <v>21.74</v>
      </c>
      <c r="O32" s="71">
        <v>18.97</v>
      </c>
      <c r="P32" s="71">
        <v>18.079999999999998</v>
      </c>
      <c r="Q32" s="71">
        <v>17.97</v>
      </c>
      <c r="R32" s="71">
        <v>22.41</v>
      </c>
      <c r="S32" s="71">
        <v>17.8</v>
      </c>
      <c r="T32" s="71">
        <v>16.239999999999998</v>
      </c>
      <c r="U32" s="71">
        <v>12.0341</v>
      </c>
      <c r="V32" s="71">
        <v>1</v>
      </c>
      <c r="W32" s="71">
        <v>1</v>
      </c>
      <c r="X32" s="71">
        <v>1</v>
      </c>
      <c r="Y32" s="71">
        <v>1</v>
      </c>
      <c r="Z32" s="71">
        <v>1</v>
      </c>
      <c r="AA32" s="71">
        <v>1</v>
      </c>
      <c r="AB32" s="71">
        <v>1</v>
      </c>
      <c r="AC32" s="71">
        <v>1</v>
      </c>
      <c r="AD32" s="71">
        <v>1</v>
      </c>
      <c r="AE32" s="71">
        <v>1</v>
      </c>
      <c r="AF32" s="71">
        <v>1</v>
      </c>
      <c r="AG32" s="71">
        <v>1</v>
      </c>
      <c r="AH32" s="71">
        <v>1</v>
      </c>
      <c r="AI32" s="72">
        <f t="shared" si="1"/>
        <v>30.96</v>
      </c>
      <c r="AJ32" s="72">
        <f t="shared" si="2"/>
        <v>30.96</v>
      </c>
      <c r="AK32" s="72">
        <f t="shared" si="3"/>
        <v>26.64</v>
      </c>
      <c r="AL32" s="72">
        <f t="shared" si="4"/>
        <v>22.87</v>
      </c>
      <c r="AM32" s="72">
        <f t="shared" si="5"/>
        <v>22.92</v>
      </c>
      <c r="AN32" s="72">
        <f t="shared" si="6"/>
        <v>21.74</v>
      </c>
      <c r="AO32" s="72">
        <f t="shared" si="7"/>
        <v>18.97</v>
      </c>
      <c r="AP32" s="72">
        <f t="shared" si="8"/>
        <v>18.079999999999998</v>
      </c>
      <c r="AQ32" s="72">
        <f t="shared" si="9"/>
        <v>17.97</v>
      </c>
      <c r="AR32" s="72">
        <f t="shared" si="10"/>
        <v>22.41</v>
      </c>
      <c r="AS32" s="72">
        <f t="shared" si="11"/>
        <v>17.8</v>
      </c>
      <c r="AT32" s="72">
        <f t="shared" si="12"/>
        <v>16.239999999999998</v>
      </c>
      <c r="AU32" s="72">
        <f t="shared" si="13"/>
        <v>12.0341</v>
      </c>
    </row>
    <row r="33" spans="1:47" x14ac:dyDescent="0.25">
      <c r="A33" t="s">
        <v>115</v>
      </c>
      <c r="B33" t="s">
        <v>230</v>
      </c>
      <c r="C33" s="58">
        <v>31</v>
      </c>
      <c r="D33" s="58">
        <v>3</v>
      </c>
      <c r="E33" s="58">
        <v>2015</v>
      </c>
      <c r="F33" s="69" t="s">
        <v>212</v>
      </c>
      <c r="G33" s="69" t="s">
        <v>211</v>
      </c>
      <c r="H33" s="70">
        <f t="shared" si="0"/>
        <v>0</v>
      </c>
      <c r="I33" s="73">
        <v>36.375</v>
      </c>
      <c r="J33" s="73">
        <v>36.375</v>
      </c>
      <c r="K33" s="71">
        <v>29.95</v>
      </c>
      <c r="L33" s="71">
        <v>34.64</v>
      </c>
      <c r="M33" s="71">
        <v>25.094999999999999</v>
      </c>
      <c r="N33" s="71">
        <v>22.074999999999999</v>
      </c>
      <c r="O33" s="71">
        <v>19.32</v>
      </c>
      <c r="P33" s="71">
        <v>10.37</v>
      </c>
      <c r="Q33" s="71">
        <v>11.04</v>
      </c>
      <c r="R33" s="71">
        <v>11.15</v>
      </c>
      <c r="S33" s="71">
        <v>11.36</v>
      </c>
      <c r="T33" s="71">
        <v>8.2850000000000001</v>
      </c>
      <c r="U33" s="71">
        <v>6.26</v>
      </c>
      <c r="V33" s="73">
        <v>1.47417</v>
      </c>
      <c r="W33" s="73">
        <v>1.47417</v>
      </c>
      <c r="X33" s="71">
        <v>1.6639999999999999</v>
      </c>
      <c r="Y33" s="71">
        <v>1.5198</v>
      </c>
      <c r="Z33" s="71">
        <v>1.6011</v>
      </c>
      <c r="AA33" s="71">
        <v>1.6032999999999999</v>
      </c>
      <c r="AB33" s="71">
        <v>1.5182</v>
      </c>
      <c r="AC33" s="71">
        <v>1.4340999999999999</v>
      </c>
      <c r="AD33" s="71">
        <v>1.9847999999999999</v>
      </c>
      <c r="AE33" s="71">
        <v>1.9679</v>
      </c>
      <c r="AF33" s="71">
        <v>1.7374000000000001</v>
      </c>
      <c r="AG33" s="71">
        <v>1.8794</v>
      </c>
      <c r="AH33" s="71">
        <v>1.8431</v>
      </c>
      <c r="AI33" s="72">
        <f t="shared" si="1"/>
        <v>53.622933750000001</v>
      </c>
      <c r="AJ33" s="72">
        <f t="shared" si="2"/>
        <v>53.622933750000001</v>
      </c>
      <c r="AK33" s="72">
        <f t="shared" si="3"/>
        <v>49.836799999999997</v>
      </c>
      <c r="AL33" s="72">
        <f t="shared" si="4"/>
        <v>52.645872000000004</v>
      </c>
      <c r="AM33" s="72">
        <f t="shared" si="5"/>
        <v>40.179604499999996</v>
      </c>
      <c r="AN33" s="72">
        <f t="shared" si="6"/>
        <v>35.392847499999995</v>
      </c>
      <c r="AO33" s="72">
        <f t="shared" si="7"/>
        <v>29.331624000000001</v>
      </c>
      <c r="AP33" s="72">
        <f t="shared" si="8"/>
        <v>14.871616999999999</v>
      </c>
      <c r="AQ33" s="72">
        <f t="shared" si="9"/>
        <v>21.912191999999997</v>
      </c>
      <c r="AR33" s="72">
        <f t="shared" si="10"/>
        <v>21.942084999999999</v>
      </c>
      <c r="AS33" s="72">
        <f t="shared" si="11"/>
        <v>19.736864000000001</v>
      </c>
      <c r="AT33" s="72">
        <f t="shared" si="12"/>
        <v>15.570829</v>
      </c>
      <c r="AU33" s="72">
        <f t="shared" si="13"/>
        <v>11.537806</v>
      </c>
    </row>
    <row r="34" spans="1:47" x14ac:dyDescent="0.25">
      <c r="A34" t="s">
        <v>42</v>
      </c>
      <c r="B34" t="s">
        <v>43</v>
      </c>
      <c r="C34" s="58">
        <v>31</v>
      </c>
      <c r="D34" s="58">
        <v>12</v>
      </c>
      <c r="E34" s="58">
        <v>2015</v>
      </c>
      <c r="F34" s="69" t="s">
        <v>212</v>
      </c>
      <c r="G34" s="69" t="s">
        <v>211</v>
      </c>
      <c r="H34" s="70">
        <f t="shared" si="0"/>
        <v>0</v>
      </c>
      <c r="I34" s="73">
        <v>5.6129999999999995</v>
      </c>
      <c r="J34" s="73">
        <v>5.6129999999999995</v>
      </c>
      <c r="K34" s="71">
        <v>6.0860000000000003</v>
      </c>
      <c r="L34" s="71">
        <v>6.6239999999999997</v>
      </c>
      <c r="M34" s="71">
        <v>6.4690000000000003</v>
      </c>
      <c r="N34" s="71">
        <v>4.9104999999999999</v>
      </c>
      <c r="O34" s="71">
        <v>6.5110000000000001</v>
      </c>
      <c r="P34" s="71">
        <v>7.0880000000000001</v>
      </c>
      <c r="Q34" s="71">
        <v>5.4142700000000001</v>
      </c>
      <c r="R34" s="71">
        <v>6.8864400000000003</v>
      </c>
      <c r="S34" s="71">
        <v>7.6143400000000003</v>
      </c>
      <c r="T34" s="71">
        <v>7.6306900000000004</v>
      </c>
      <c r="U34" s="71">
        <v>7.1890499999999999</v>
      </c>
      <c r="V34" s="73">
        <v>1.47417</v>
      </c>
      <c r="W34" s="73">
        <v>1.47417</v>
      </c>
      <c r="X34" s="71">
        <v>1.5576000000000001</v>
      </c>
      <c r="Y34" s="71">
        <v>1.6572</v>
      </c>
      <c r="Z34" s="71">
        <v>1.6263000000000001</v>
      </c>
      <c r="AA34" s="71">
        <v>1.5547</v>
      </c>
      <c r="AB34" s="71">
        <v>1.5596000000000001</v>
      </c>
      <c r="AC34" s="71">
        <v>1.6166</v>
      </c>
      <c r="AD34" s="71">
        <v>1.4542999999999999</v>
      </c>
      <c r="AE34" s="71">
        <v>1.9839</v>
      </c>
      <c r="AF34" s="71">
        <v>1.9581999999999999</v>
      </c>
      <c r="AG34" s="71">
        <v>1.7208000000000001</v>
      </c>
      <c r="AH34" s="71">
        <v>1.9192</v>
      </c>
      <c r="AI34" s="72">
        <f t="shared" si="1"/>
        <v>8.2745162099999998</v>
      </c>
      <c r="AJ34" s="72">
        <f t="shared" si="2"/>
        <v>8.2745162099999998</v>
      </c>
      <c r="AK34" s="72">
        <f t="shared" si="3"/>
        <v>9.4795536000000009</v>
      </c>
      <c r="AL34" s="72">
        <f t="shared" si="4"/>
        <v>10.977292799999999</v>
      </c>
      <c r="AM34" s="72">
        <f t="shared" si="5"/>
        <v>10.520534700000001</v>
      </c>
      <c r="AN34" s="72">
        <f t="shared" si="6"/>
        <v>7.6343543499999997</v>
      </c>
      <c r="AO34" s="72">
        <f t="shared" si="7"/>
        <v>10.1545556</v>
      </c>
      <c r="AP34" s="72">
        <f t="shared" si="8"/>
        <v>11.458460800000001</v>
      </c>
      <c r="AQ34" s="72">
        <f t="shared" si="9"/>
        <v>7.8739728609999995</v>
      </c>
      <c r="AR34" s="72">
        <f t="shared" si="10"/>
        <v>13.662008316000001</v>
      </c>
      <c r="AS34" s="72">
        <f t="shared" si="11"/>
        <v>14.910400588</v>
      </c>
      <c r="AT34" s="72">
        <f t="shared" si="12"/>
        <v>13.130891352000001</v>
      </c>
      <c r="AU34" s="72">
        <f t="shared" si="13"/>
        <v>13.797224760000001</v>
      </c>
    </row>
    <row r="35" spans="1:47" x14ac:dyDescent="0.25">
      <c r="A35" t="s">
        <v>44</v>
      </c>
      <c r="B35" t="s">
        <v>45</v>
      </c>
      <c r="C35" s="58">
        <v>31</v>
      </c>
      <c r="D35" s="58">
        <v>12</v>
      </c>
      <c r="E35" s="58">
        <v>2015</v>
      </c>
      <c r="F35" s="69" t="s">
        <v>212</v>
      </c>
      <c r="G35" s="69" t="s">
        <v>211</v>
      </c>
      <c r="H35" s="70">
        <f t="shared" si="0"/>
        <v>0</v>
      </c>
      <c r="I35" s="73">
        <v>28.094999999999999</v>
      </c>
      <c r="J35" s="73">
        <v>28.094999999999999</v>
      </c>
      <c r="K35" s="71">
        <v>30</v>
      </c>
      <c r="L35" s="71">
        <v>34.094999999999999</v>
      </c>
      <c r="M35" s="71">
        <v>35.115000000000002</v>
      </c>
      <c r="N35" s="71">
        <v>31.25</v>
      </c>
      <c r="O35" s="71">
        <v>44.865000000000002</v>
      </c>
      <c r="P35" s="71">
        <v>33.9</v>
      </c>
      <c r="Q35" s="71">
        <v>12.30894</v>
      </c>
      <c r="R35" s="71">
        <v>43.923940000000002</v>
      </c>
      <c r="S35" s="71">
        <v>22.453499999999998</v>
      </c>
      <c r="T35" s="71">
        <v>21.933060000000001</v>
      </c>
      <c r="U35" s="71">
        <v>12.66417</v>
      </c>
      <c r="V35" s="73">
        <v>1.47417</v>
      </c>
      <c r="W35" s="73">
        <v>1.47417</v>
      </c>
      <c r="X35" s="71">
        <v>1.5576000000000001</v>
      </c>
      <c r="Y35" s="71">
        <v>1.6572</v>
      </c>
      <c r="Z35" s="71">
        <v>1.6263000000000001</v>
      </c>
      <c r="AA35" s="71">
        <v>1.5547</v>
      </c>
      <c r="AB35" s="71">
        <v>1.5596000000000001</v>
      </c>
      <c r="AC35" s="71">
        <v>1.6166</v>
      </c>
      <c r="AD35" s="71">
        <v>1.4542999999999999</v>
      </c>
      <c r="AE35" s="71">
        <v>1.9839</v>
      </c>
      <c r="AF35" s="71">
        <v>1.9581999999999999</v>
      </c>
      <c r="AG35" s="71">
        <v>1.7208000000000001</v>
      </c>
      <c r="AH35" s="71">
        <v>1.9192</v>
      </c>
      <c r="AI35" s="72">
        <f t="shared" si="1"/>
        <v>41.416806149999999</v>
      </c>
      <c r="AJ35" s="72">
        <f t="shared" si="2"/>
        <v>41.416806149999999</v>
      </c>
      <c r="AK35" s="72">
        <f t="shared" si="3"/>
        <v>46.728000000000002</v>
      </c>
      <c r="AL35" s="72">
        <f t="shared" si="4"/>
        <v>56.502234000000001</v>
      </c>
      <c r="AM35" s="72">
        <f t="shared" si="5"/>
        <v>57.107524500000004</v>
      </c>
      <c r="AN35" s="72">
        <f t="shared" si="6"/>
        <v>48.584375000000001</v>
      </c>
      <c r="AO35" s="72">
        <f t="shared" si="7"/>
        <v>69.971454000000008</v>
      </c>
      <c r="AP35" s="72">
        <f t="shared" si="8"/>
        <v>54.80274</v>
      </c>
      <c r="AQ35" s="72">
        <f t="shared" si="9"/>
        <v>17.900891441999999</v>
      </c>
      <c r="AR35" s="72">
        <f t="shared" si="10"/>
        <v>87.140704565999997</v>
      </c>
      <c r="AS35" s="72">
        <f t="shared" si="11"/>
        <v>43.968443699999995</v>
      </c>
      <c r="AT35" s="72">
        <f t="shared" si="12"/>
        <v>37.742409648000006</v>
      </c>
      <c r="AU35" s="72">
        <f t="shared" si="13"/>
        <v>24.305075064</v>
      </c>
    </row>
    <row r="36" spans="1:47" x14ac:dyDescent="0.25">
      <c r="A36" t="s">
        <v>46</v>
      </c>
      <c r="B36" t="s">
        <v>47</v>
      </c>
      <c r="C36" s="58">
        <v>31</v>
      </c>
      <c r="D36" s="58">
        <v>12</v>
      </c>
      <c r="E36" s="58">
        <v>2015</v>
      </c>
      <c r="F36" s="69" t="s">
        <v>212</v>
      </c>
      <c r="G36" s="69" t="s">
        <v>211</v>
      </c>
      <c r="H36" s="70">
        <f t="shared" si="0"/>
        <v>0</v>
      </c>
      <c r="I36" s="73">
        <v>4.1825000000000001</v>
      </c>
      <c r="J36" s="73">
        <v>4.1825000000000001</v>
      </c>
      <c r="K36" s="71">
        <v>4.1100000000000003</v>
      </c>
      <c r="L36" s="71">
        <v>4.8804999999999996</v>
      </c>
      <c r="M36" s="71">
        <v>4.2480000000000002</v>
      </c>
      <c r="N36" s="71">
        <v>4.6050000000000004</v>
      </c>
      <c r="O36" s="71">
        <v>4.6555</v>
      </c>
      <c r="P36" s="71">
        <v>6</v>
      </c>
      <c r="Q36" s="71">
        <v>5.26</v>
      </c>
      <c r="R36" s="71">
        <v>6.15</v>
      </c>
      <c r="S36" s="71">
        <v>5.6749999999999998</v>
      </c>
      <c r="T36" s="71">
        <v>6.19</v>
      </c>
      <c r="U36" s="71">
        <v>5.08</v>
      </c>
      <c r="V36" s="73">
        <v>1.47417</v>
      </c>
      <c r="W36" s="73">
        <v>1.47417</v>
      </c>
      <c r="X36" s="71">
        <v>1.5576000000000001</v>
      </c>
      <c r="Y36" s="71">
        <v>1.6572</v>
      </c>
      <c r="Z36" s="71">
        <v>1.6263000000000001</v>
      </c>
      <c r="AA36" s="71">
        <v>1.5547</v>
      </c>
      <c r="AB36" s="71">
        <v>1.5596000000000001</v>
      </c>
      <c r="AC36" s="71">
        <v>1.6166</v>
      </c>
      <c r="AD36" s="71">
        <v>1.4542999999999999</v>
      </c>
      <c r="AE36" s="71">
        <v>1.9839</v>
      </c>
      <c r="AF36" s="71">
        <v>1.9581999999999999</v>
      </c>
      <c r="AG36" s="71">
        <v>1.7208000000000001</v>
      </c>
      <c r="AH36" s="71">
        <v>1.9192</v>
      </c>
      <c r="AI36" s="72">
        <f t="shared" si="1"/>
        <v>6.165716025</v>
      </c>
      <c r="AJ36" s="72">
        <f t="shared" si="2"/>
        <v>6.165716025</v>
      </c>
      <c r="AK36" s="72">
        <f t="shared" si="3"/>
        <v>6.4017360000000005</v>
      </c>
      <c r="AL36" s="72">
        <f t="shared" si="4"/>
        <v>8.0879645999999994</v>
      </c>
      <c r="AM36" s="72">
        <f t="shared" si="5"/>
        <v>6.9085224000000007</v>
      </c>
      <c r="AN36" s="72">
        <f t="shared" si="6"/>
        <v>7.1593935000000002</v>
      </c>
      <c r="AO36" s="72">
        <f t="shared" si="7"/>
        <v>7.2607178000000001</v>
      </c>
      <c r="AP36" s="72">
        <f t="shared" si="8"/>
        <v>9.6996000000000002</v>
      </c>
      <c r="AQ36" s="72">
        <f t="shared" si="9"/>
        <v>7.6496179999999994</v>
      </c>
      <c r="AR36" s="72">
        <f t="shared" si="10"/>
        <v>12.200985000000001</v>
      </c>
      <c r="AS36" s="72">
        <f t="shared" si="11"/>
        <v>11.112784999999999</v>
      </c>
      <c r="AT36" s="72">
        <f t="shared" si="12"/>
        <v>10.651752000000002</v>
      </c>
      <c r="AU36" s="72">
        <f t="shared" si="13"/>
        <v>9.7495360000000009</v>
      </c>
    </row>
    <row r="37" spans="1:47" x14ac:dyDescent="0.25">
      <c r="A37" t="s">
        <v>117</v>
      </c>
      <c r="B37" t="s">
        <v>231</v>
      </c>
      <c r="C37" s="58">
        <v>31</v>
      </c>
      <c r="D37" s="58">
        <v>12</v>
      </c>
      <c r="E37" s="58">
        <v>2015</v>
      </c>
      <c r="F37" s="69" t="s">
        <v>211</v>
      </c>
      <c r="G37" s="69" t="s">
        <v>211</v>
      </c>
      <c r="H37" s="70">
        <f t="shared" si="0"/>
        <v>1</v>
      </c>
      <c r="I37" s="73">
        <v>15.6</v>
      </c>
      <c r="J37" s="73">
        <v>15.6</v>
      </c>
      <c r="K37" s="71">
        <v>13.76</v>
      </c>
      <c r="L37" s="71">
        <v>16.114999999999998</v>
      </c>
      <c r="M37" s="71">
        <v>13.35</v>
      </c>
      <c r="N37" s="71">
        <v>14.715</v>
      </c>
      <c r="O37" s="71">
        <v>12.4</v>
      </c>
      <c r="P37" s="71">
        <v>13.195</v>
      </c>
      <c r="Q37" s="71">
        <v>12.845000000000001</v>
      </c>
      <c r="R37" s="71">
        <v>12.79</v>
      </c>
      <c r="S37" s="71">
        <v>13.44</v>
      </c>
      <c r="T37" s="71">
        <v>14.69</v>
      </c>
      <c r="U37" s="71">
        <v>12.22</v>
      </c>
      <c r="V37" s="71">
        <v>1</v>
      </c>
      <c r="W37" s="71">
        <v>1</v>
      </c>
      <c r="X37" s="71">
        <v>1</v>
      </c>
      <c r="Y37" s="71">
        <v>1</v>
      </c>
      <c r="Z37" s="71">
        <v>1</v>
      </c>
      <c r="AA37" s="71">
        <v>1</v>
      </c>
      <c r="AB37" s="71">
        <v>1</v>
      </c>
      <c r="AC37" s="71">
        <v>1</v>
      </c>
      <c r="AD37" s="71">
        <v>1</v>
      </c>
      <c r="AE37" s="71">
        <v>1</v>
      </c>
      <c r="AF37" s="71">
        <v>1</v>
      </c>
      <c r="AG37" s="71">
        <v>1</v>
      </c>
      <c r="AH37" s="71">
        <v>1</v>
      </c>
      <c r="AI37" s="72">
        <f t="shared" si="1"/>
        <v>15.6</v>
      </c>
      <c r="AJ37" s="72">
        <f t="shared" si="2"/>
        <v>15.6</v>
      </c>
      <c r="AK37" s="72">
        <f t="shared" si="3"/>
        <v>13.76</v>
      </c>
      <c r="AL37" s="72">
        <f t="shared" si="4"/>
        <v>16.114999999999998</v>
      </c>
      <c r="AM37" s="72">
        <f t="shared" si="5"/>
        <v>13.35</v>
      </c>
      <c r="AN37" s="72">
        <f t="shared" si="6"/>
        <v>14.715</v>
      </c>
      <c r="AO37" s="72">
        <f t="shared" si="7"/>
        <v>12.4</v>
      </c>
      <c r="AP37" s="72">
        <f t="shared" si="8"/>
        <v>13.195</v>
      </c>
      <c r="AQ37" s="72">
        <f t="shared" si="9"/>
        <v>12.845000000000001</v>
      </c>
      <c r="AR37" s="72">
        <f t="shared" si="10"/>
        <v>12.79</v>
      </c>
      <c r="AS37" s="72">
        <f t="shared" si="11"/>
        <v>13.44</v>
      </c>
      <c r="AT37" s="72">
        <f t="shared" si="12"/>
        <v>14.69</v>
      </c>
      <c r="AU37" s="72">
        <f t="shared" si="13"/>
        <v>12.22</v>
      </c>
    </row>
    <row r="38" spans="1:47" x14ac:dyDescent="0.25">
      <c r="A38" t="s">
        <v>48</v>
      </c>
      <c r="B38" t="s">
        <v>49</v>
      </c>
      <c r="C38" s="58">
        <v>31</v>
      </c>
      <c r="D38" s="58">
        <v>12</v>
      </c>
      <c r="E38" s="58">
        <v>2015</v>
      </c>
      <c r="F38" s="69" t="s">
        <v>212</v>
      </c>
      <c r="G38" s="69" t="s">
        <v>210</v>
      </c>
      <c r="H38" s="70">
        <f t="shared" ref="H38:H69" si="14">IF(F38=G38,1,0)</f>
        <v>0</v>
      </c>
      <c r="I38" s="73">
        <v>27.06</v>
      </c>
      <c r="J38" s="73">
        <v>27.06</v>
      </c>
      <c r="K38" s="71">
        <v>27.66</v>
      </c>
      <c r="L38" s="71">
        <v>25.905000000000001</v>
      </c>
      <c r="M38" s="71">
        <v>25.975000000000001</v>
      </c>
      <c r="N38" s="71">
        <v>28.15</v>
      </c>
      <c r="O38" s="71">
        <v>24.73</v>
      </c>
      <c r="P38" s="71">
        <v>21.1</v>
      </c>
      <c r="Q38" s="71">
        <v>18.75</v>
      </c>
      <c r="R38" s="71">
        <v>28.75</v>
      </c>
      <c r="S38" s="71">
        <v>26.72</v>
      </c>
      <c r="T38" s="71">
        <v>25.78</v>
      </c>
      <c r="U38" s="71">
        <v>21.175000000000001</v>
      </c>
      <c r="V38" s="73">
        <v>1.0496399999999999</v>
      </c>
      <c r="W38" s="73">
        <v>1.0496399999999999</v>
      </c>
      <c r="X38" s="71">
        <v>1.21</v>
      </c>
      <c r="Y38" s="71">
        <v>1.3778999999999999</v>
      </c>
      <c r="Z38" s="71">
        <v>1.3185</v>
      </c>
      <c r="AA38" s="71">
        <v>1.2963</v>
      </c>
      <c r="AB38" s="71">
        <v>1.3391999999999999</v>
      </c>
      <c r="AC38" s="71">
        <v>1.4334</v>
      </c>
      <c r="AD38" s="71">
        <v>1.4180999999999999</v>
      </c>
      <c r="AE38" s="71">
        <v>1.4676</v>
      </c>
      <c r="AF38" s="71">
        <v>1.3181</v>
      </c>
      <c r="AG38" s="71">
        <v>1.1834</v>
      </c>
      <c r="AH38" s="71">
        <v>1.3623000000000001</v>
      </c>
      <c r="AI38" s="72">
        <f t="shared" ref="AI38:AI70" si="15">I38*V38</f>
        <v>28.403258399999995</v>
      </c>
      <c r="AJ38" s="72">
        <f t="shared" ref="AJ38:AJ70" si="16">J38*W38</f>
        <v>28.403258399999995</v>
      </c>
      <c r="AK38" s="72">
        <f t="shared" ref="AK38:AK70" si="17">K38*X38</f>
        <v>33.468600000000002</v>
      </c>
      <c r="AL38" s="72">
        <f t="shared" ref="AL38:AL70" si="18">L38*Y38</f>
        <v>35.694499499999999</v>
      </c>
      <c r="AM38" s="72">
        <f t="shared" ref="AM38:AM70" si="19">M38*Z38</f>
        <v>34.248037500000002</v>
      </c>
      <c r="AN38" s="72">
        <f t="shared" ref="AN38:AN70" si="20">N38*AA38</f>
        <v>36.490845</v>
      </c>
      <c r="AO38" s="72">
        <f t="shared" ref="AO38:AO70" si="21">O38*AB38</f>
        <v>33.118415999999996</v>
      </c>
      <c r="AP38" s="72">
        <f t="shared" ref="AP38:AP70" si="22">P38*AC38</f>
        <v>30.244740000000004</v>
      </c>
      <c r="AQ38" s="72">
        <f t="shared" ref="AQ38:AQ70" si="23">Q38*AD38</f>
        <v>26.589374999999997</v>
      </c>
      <c r="AR38" s="72">
        <f t="shared" ref="AR38:AR70" si="24">R38*AE38</f>
        <v>42.1935</v>
      </c>
      <c r="AS38" s="72">
        <f t="shared" ref="AS38:AS70" si="25">S38*AF38</f>
        <v>35.219631999999997</v>
      </c>
      <c r="AT38" s="72">
        <f t="shared" ref="AT38:AT70" si="26">T38*AG38</f>
        <v>30.508052000000003</v>
      </c>
      <c r="AU38" s="72">
        <f t="shared" ref="AU38:AU70" si="27">U38*AH38</f>
        <v>28.846702500000003</v>
      </c>
    </row>
    <row r="39" spans="1:47" x14ac:dyDescent="0.25">
      <c r="A39" t="s">
        <v>119</v>
      </c>
      <c r="B39" t="s">
        <v>232</v>
      </c>
      <c r="C39" s="58">
        <v>31</v>
      </c>
      <c r="D39" s="58">
        <v>12</v>
      </c>
      <c r="E39" s="58">
        <v>2015</v>
      </c>
      <c r="F39" s="69" t="s">
        <v>211</v>
      </c>
      <c r="G39" s="69" t="s">
        <v>211</v>
      </c>
      <c r="H39" s="70">
        <f t="shared" si="14"/>
        <v>1</v>
      </c>
      <c r="I39" s="73">
        <v>58.4</v>
      </c>
      <c r="J39" s="73">
        <v>58.4</v>
      </c>
      <c r="K39" s="71">
        <v>52.1</v>
      </c>
      <c r="L39" s="71">
        <v>46.586129999999997</v>
      </c>
      <c r="M39" s="71">
        <v>37.702399999999997</v>
      </c>
      <c r="N39" s="71">
        <v>30.908390000000001</v>
      </c>
      <c r="O39" s="71">
        <v>34.261659999999999</v>
      </c>
      <c r="P39" s="71">
        <v>32.619039999999998</v>
      </c>
      <c r="Q39" s="71">
        <v>25.057179999999999</v>
      </c>
      <c r="R39" s="71">
        <v>28.322970000000002</v>
      </c>
      <c r="S39" s="71">
        <v>22.685590000000001</v>
      </c>
      <c r="T39" s="71">
        <v>18.661670000000001</v>
      </c>
      <c r="U39" s="71">
        <v>15.298679999999999</v>
      </c>
      <c r="V39" s="71">
        <v>1</v>
      </c>
      <c r="W39" s="71">
        <v>1</v>
      </c>
      <c r="X39" s="71">
        <v>1</v>
      </c>
      <c r="Y39" s="71">
        <v>1</v>
      </c>
      <c r="Z39" s="71">
        <v>1</v>
      </c>
      <c r="AA39" s="71">
        <v>1</v>
      </c>
      <c r="AB39" s="71">
        <v>1</v>
      </c>
      <c r="AC39" s="71">
        <v>1</v>
      </c>
      <c r="AD39" s="71">
        <v>1</v>
      </c>
      <c r="AE39" s="71">
        <v>1</v>
      </c>
      <c r="AF39" s="71">
        <v>1</v>
      </c>
      <c r="AG39" s="71">
        <v>1</v>
      </c>
      <c r="AH39" s="71">
        <v>1</v>
      </c>
      <c r="AI39" s="72">
        <f t="shared" si="15"/>
        <v>58.4</v>
      </c>
      <c r="AJ39" s="72">
        <f t="shared" si="16"/>
        <v>58.4</v>
      </c>
      <c r="AK39" s="72">
        <f t="shared" si="17"/>
        <v>52.1</v>
      </c>
      <c r="AL39" s="72">
        <f t="shared" si="18"/>
        <v>46.586129999999997</v>
      </c>
      <c r="AM39" s="72">
        <f t="shared" si="19"/>
        <v>37.702399999999997</v>
      </c>
      <c r="AN39" s="72">
        <f t="shared" si="20"/>
        <v>30.908390000000001</v>
      </c>
      <c r="AO39" s="72">
        <f t="shared" si="21"/>
        <v>34.261659999999999</v>
      </c>
      <c r="AP39" s="72">
        <f t="shared" si="22"/>
        <v>32.619039999999998</v>
      </c>
      <c r="AQ39" s="72">
        <f t="shared" si="23"/>
        <v>25.057179999999999</v>
      </c>
      <c r="AR39" s="72">
        <f t="shared" si="24"/>
        <v>28.322970000000002</v>
      </c>
      <c r="AS39" s="72">
        <f t="shared" si="25"/>
        <v>22.685590000000001</v>
      </c>
      <c r="AT39" s="72">
        <f t="shared" si="26"/>
        <v>18.661670000000001</v>
      </c>
      <c r="AU39" s="72">
        <f t="shared" si="27"/>
        <v>15.298679999999999</v>
      </c>
    </row>
    <row r="40" spans="1:47" x14ac:dyDescent="0.25">
      <c r="A40" t="s">
        <v>50</v>
      </c>
      <c r="B40" t="s">
        <v>51</v>
      </c>
      <c r="C40" s="58">
        <v>31</v>
      </c>
      <c r="D40" s="58">
        <v>3</v>
      </c>
      <c r="E40" s="58">
        <v>2015</v>
      </c>
      <c r="F40" s="69" t="s">
        <v>211</v>
      </c>
      <c r="G40" s="69" t="s">
        <v>211</v>
      </c>
      <c r="H40" s="70">
        <f t="shared" si="14"/>
        <v>1</v>
      </c>
      <c r="I40" s="73">
        <v>2.1894999999999998</v>
      </c>
      <c r="J40" s="73">
        <v>2.1894999999999998</v>
      </c>
      <c r="K40" s="71">
        <v>2.2029999999999998</v>
      </c>
      <c r="L40" s="71">
        <v>1.8660000000000001</v>
      </c>
      <c r="M40" s="71">
        <v>1.722</v>
      </c>
      <c r="N40" s="71">
        <v>1.7649999999999999</v>
      </c>
      <c r="O40" s="71">
        <v>1.52</v>
      </c>
      <c r="P40" s="71">
        <v>1.2275</v>
      </c>
      <c r="Q40" s="71">
        <v>1.5089999999999999</v>
      </c>
      <c r="R40" s="71">
        <v>1.355</v>
      </c>
      <c r="S40" s="71">
        <v>1.2050000000000001</v>
      </c>
      <c r="T40" s="71">
        <v>1.405</v>
      </c>
      <c r="U40" s="71">
        <v>1.2875000000000001</v>
      </c>
      <c r="V40" s="71">
        <v>1</v>
      </c>
      <c r="W40" s="71">
        <v>1</v>
      </c>
      <c r="X40" s="71">
        <v>1</v>
      </c>
      <c r="Y40" s="71">
        <v>1</v>
      </c>
      <c r="Z40" s="71">
        <v>1</v>
      </c>
      <c r="AA40" s="71">
        <v>1</v>
      </c>
      <c r="AB40" s="71">
        <v>1</v>
      </c>
      <c r="AC40" s="71">
        <v>1</v>
      </c>
      <c r="AD40" s="71">
        <v>1</v>
      </c>
      <c r="AE40" s="71">
        <v>1</v>
      </c>
      <c r="AF40" s="71">
        <v>1</v>
      </c>
      <c r="AG40" s="71">
        <v>1</v>
      </c>
      <c r="AH40" s="71">
        <v>1</v>
      </c>
      <c r="AI40" s="72">
        <f t="shared" si="15"/>
        <v>2.1894999999999998</v>
      </c>
      <c r="AJ40" s="72">
        <f t="shared" si="16"/>
        <v>2.1894999999999998</v>
      </c>
      <c r="AK40" s="72">
        <f t="shared" si="17"/>
        <v>2.2029999999999998</v>
      </c>
      <c r="AL40" s="72">
        <f t="shared" si="18"/>
        <v>1.8660000000000001</v>
      </c>
      <c r="AM40" s="72">
        <f t="shared" si="19"/>
        <v>1.722</v>
      </c>
      <c r="AN40" s="72">
        <f t="shared" si="20"/>
        <v>1.7649999999999999</v>
      </c>
      <c r="AO40" s="72">
        <f t="shared" si="21"/>
        <v>1.52</v>
      </c>
      <c r="AP40" s="72">
        <f t="shared" si="22"/>
        <v>1.2275</v>
      </c>
      <c r="AQ40" s="72">
        <f t="shared" si="23"/>
        <v>1.5089999999999999</v>
      </c>
      <c r="AR40" s="72">
        <f t="shared" si="24"/>
        <v>1.355</v>
      </c>
      <c r="AS40" s="72">
        <f t="shared" si="25"/>
        <v>1.2050000000000001</v>
      </c>
      <c r="AT40" s="72">
        <f t="shared" si="26"/>
        <v>1.405</v>
      </c>
      <c r="AU40" s="72">
        <f t="shared" si="27"/>
        <v>1.2875000000000001</v>
      </c>
    </row>
    <row r="41" spans="1:47" x14ac:dyDescent="0.25">
      <c r="A41" t="s">
        <v>52</v>
      </c>
      <c r="B41" t="s">
        <v>53</v>
      </c>
      <c r="C41" s="58">
        <v>31</v>
      </c>
      <c r="D41" s="58">
        <v>12</v>
      </c>
      <c r="E41" s="58">
        <v>2015</v>
      </c>
      <c r="F41" s="69" t="s">
        <v>210</v>
      </c>
      <c r="G41" s="69" t="s">
        <v>210</v>
      </c>
      <c r="H41" s="70">
        <f t="shared" si="14"/>
        <v>1</v>
      </c>
      <c r="I41" s="73">
        <v>40</v>
      </c>
      <c r="J41" s="73">
        <v>40</v>
      </c>
      <c r="K41" s="71">
        <v>32.64</v>
      </c>
      <c r="L41" s="71">
        <v>29.274999999999999</v>
      </c>
      <c r="M41" s="71">
        <v>28.835000000000001</v>
      </c>
      <c r="N41" s="71">
        <v>26.57</v>
      </c>
      <c r="O41" s="71">
        <v>23.3</v>
      </c>
      <c r="P41" s="71">
        <v>22.75</v>
      </c>
      <c r="Q41" s="71">
        <v>17.34</v>
      </c>
      <c r="R41" s="71">
        <v>25.15</v>
      </c>
      <c r="S41" s="71">
        <v>20.7</v>
      </c>
      <c r="T41" s="71">
        <v>19.283000000000001</v>
      </c>
      <c r="U41" s="71">
        <v>16.443000000000001</v>
      </c>
      <c r="V41" s="71">
        <v>1</v>
      </c>
      <c r="W41" s="71">
        <v>1</v>
      </c>
      <c r="X41" s="71">
        <v>1</v>
      </c>
      <c r="Y41" s="71">
        <v>1</v>
      </c>
      <c r="Z41" s="71">
        <v>1</v>
      </c>
      <c r="AA41" s="71">
        <v>1</v>
      </c>
      <c r="AB41" s="71">
        <v>1</v>
      </c>
      <c r="AC41" s="71">
        <v>1</v>
      </c>
      <c r="AD41" s="71">
        <v>1</v>
      </c>
      <c r="AE41" s="71">
        <v>1</v>
      </c>
      <c r="AF41" s="71">
        <v>1</v>
      </c>
      <c r="AG41" s="71">
        <v>1</v>
      </c>
      <c r="AH41" s="71">
        <v>1</v>
      </c>
      <c r="AI41" s="72">
        <f t="shared" si="15"/>
        <v>40</v>
      </c>
      <c r="AJ41" s="72">
        <f t="shared" si="16"/>
        <v>40</v>
      </c>
      <c r="AK41" s="72">
        <f t="shared" si="17"/>
        <v>32.64</v>
      </c>
      <c r="AL41" s="72">
        <f t="shared" si="18"/>
        <v>29.274999999999999</v>
      </c>
      <c r="AM41" s="72">
        <f t="shared" si="19"/>
        <v>28.835000000000001</v>
      </c>
      <c r="AN41" s="72">
        <f t="shared" si="20"/>
        <v>26.57</v>
      </c>
      <c r="AO41" s="72">
        <f t="shared" si="21"/>
        <v>23.3</v>
      </c>
      <c r="AP41" s="72">
        <f t="shared" si="22"/>
        <v>22.75</v>
      </c>
      <c r="AQ41" s="72">
        <f t="shared" si="23"/>
        <v>17.34</v>
      </c>
      <c r="AR41" s="72">
        <f t="shared" si="24"/>
        <v>25.15</v>
      </c>
      <c r="AS41" s="72">
        <f t="shared" si="25"/>
        <v>20.7</v>
      </c>
      <c r="AT41" s="72">
        <f t="shared" si="26"/>
        <v>19.283000000000001</v>
      </c>
      <c r="AU41" s="72">
        <f t="shared" si="27"/>
        <v>16.443000000000001</v>
      </c>
    </row>
    <row r="42" spans="1:47" x14ac:dyDescent="0.25">
      <c r="A42" t="s">
        <v>54</v>
      </c>
      <c r="B42" t="s">
        <v>55</v>
      </c>
      <c r="C42" s="58">
        <v>31</v>
      </c>
      <c r="D42" s="58">
        <v>12</v>
      </c>
      <c r="E42" s="58">
        <v>2015</v>
      </c>
      <c r="F42" s="69" t="s">
        <v>212</v>
      </c>
      <c r="G42" s="69" t="s">
        <v>212</v>
      </c>
      <c r="H42" s="70">
        <f t="shared" si="14"/>
        <v>1</v>
      </c>
      <c r="I42" s="73">
        <v>32.76</v>
      </c>
      <c r="J42" s="73">
        <v>32.76</v>
      </c>
      <c r="K42" s="71">
        <v>33.590000000000003</v>
      </c>
      <c r="L42" s="71">
        <v>35.159999999999997</v>
      </c>
      <c r="M42" s="71">
        <v>33.71</v>
      </c>
      <c r="N42" s="71">
        <v>30.24</v>
      </c>
      <c r="O42" s="71">
        <v>29.38</v>
      </c>
      <c r="P42" s="71">
        <v>28.03</v>
      </c>
      <c r="Q42" s="71">
        <v>28.5</v>
      </c>
      <c r="R42" s="71">
        <v>41.56</v>
      </c>
      <c r="S42" s="71">
        <v>35.75</v>
      </c>
      <c r="T42" s="71">
        <v>24.49</v>
      </c>
      <c r="U42" s="71">
        <v>25.77</v>
      </c>
      <c r="V42" s="71">
        <v>1</v>
      </c>
      <c r="W42" s="71">
        <v>1</v>
      </c>
      <c r="X42" s="71">
        <v>1</v>
      </c>
      <c r="Y42" s="71">
        <v>1</v>
      </c>
      <c r="Z42" s="71">
        <v>1</v>
      </c>
      <c r="AA42" s="71">
        <v>1</v>
      </c>
      <c r="AB42" s="71">
        <v>1</v>
      </c>
      <c r="AC42" s="71">
        <v>1</v>
      </c>
      <c r="AD42" s="71">
        <v>1</v>
      </c>
      <c r="AE42" s="71">
        <v>1</v>
      </c>
      <c r="AF42" s="71">
        <v>1</v>
      </c>
      <c r="AG42" s="71">
        <v>1</v>
      </c>
      <c r="AH42" s="71">
        <v>1</v>
      </c>
      <c r="AI42" s="72">
        <f t="shared" si="15"/>
        <v>32.76</v>
      </c>
      <c r="AJ42" s="72">
        <f t="shared" si="16"/>
        <v>32.76</v>
      </c>
      <c r="AK42" s="72">
        <f t="shared" si="17"/>
        <v>33.590000000000003</v>
      </c>
      <c r="AL42" s="72">
        <f t="shared" si="18"/>
        <v>35.159999999999997</v>
      </c>
      <c r="AM42" s="72">
        <f t="shared" si="19"/>
        <v>33.71</v>
      </c>
      <c r="AN42" s="72">
        <f t="shared" si="20"/>
        <v>30.24</v>
      </c>
      <c r="AO42" s="72">
        <f t="shared" si="21"/>
        <v>29.38</v>
      </c>
      <c r="AP42" s="72">
        <f t="shared" si="22"/>
        <v>28.03</v>
      </c>
      <c r="AQ42" s="72">
        <f t="shared" si="23"/>
        <v>28.5</v>
      </c>
      <c r="AR42" s="72">
        <f t="shared" si="24"/>
        <v>41.56</v>
      </c>
      <c r="AS42" s="72">
        <f t="shared" si="25"/>
        <v>35.75</v>
      </c>
      <c r="AT42" s="72">
        <f t="shared" si="26"/>
        <v>24.49</v>
      </c>
      <c r="AU42" s="72">
        <f t="shared" si="27"/>
        <v>25.77</v>
      </c>
    </row>
    <row r="43" spans="1:47" x14ac:dyDescent="0.25">
      <c r="A43" t="s">
        <v>121</v>
      </c>
      <c r="B43" t="s">
        <v>175</v>
      </c>
      <c r="C43" s="58">
        <v>31</v>
      </c>
      <c r="D43" s="58">
        <v>12</v>
      </c>
      <c r="E43" s="58">
        <v>2015</v>
      </c>
      <c r="F43" s="69" t="s">
        <v>212</v>
      </c>
      <c r="G43" s="69" t="s">
        <v>212</v>
      </c>
      <c r="H43" s="70">
        <f t="shared" si="14"/>
        <v>1</v>
      </c>
      <c r="I43" s="73">
        <v>51.39</v>
      </c>
      <c r="J43" s="73">
        <v>51.39</v>
      </c>
      <c r="K43" s="71">
        <v>49.27</v>
      </c>
      <c r="L43" s="71">
        <v>38.39</v>
      </c>
      <c r="M43" s="71">
        <v>31.44</v>
      </c>
      <c r="N43" s="71">
        <v>29.65</v>
      </c>
      <c r="O43" s="71">
        <v>24.62</v>
      </c>
      <c r="P43" s="71">
        <v>19.63</v>
      </c>
      <c r="Q43" s="75">
        <v>9.3239999999999998</v>
      </c>
      <c r="R43" s="75">
        <v>23.975999999999999</v>
      </c>
      <c r="S43" s="75">
        <v>22.499000000000002</v>
      </c>
      <c r="T43" s="75">
        <v>18.056000000000001</v>
      </c>
      <c r="U43" s="75">
        <v>16.625</v>
      </c>
      <c r="V43" s="71">
        <v>1</v>
      </c>
      <c r="W43" s="71">
        <v>1</v>
      </c>
      <c r="X43" s="71">
        <v>1</v>
      </c>
      <c r="Y43" s="71">
        <v>1</v>
      </c>
      <c r="Z43" s="71">
        <v>1</v>
      </c>
      <c r="AA43" s="71">
        <v>1</v>
      </c>
      <c r="AB43" s="71">
        <v>1</v>
      </c>
      <c r="AC43" s="71">
        <v>1</v>
      </c>
      <c r="AD43" s="71">
        <v>1</v>
      </c>
      <c r="AE43" s="71">
        <v>1</v>
      </c>
      <c r="AF43" s="71">
        <v>1</v>
      </c>
      <c r="AG43" s="71">
        <v>1</v>
      </c>
      <c r="AH43" s="71">
        <v>1</v>
      </c>
      <c r="AI43" s="72">
        <f t="shared" si="15"/>
        <v>51.39</v>
      </c>
      <c r="AJ43" s="72">
        <f t="shared" si="16"/>
        <v>51.39</v>
      </c>
      <c r="AK43" s="72">
        <f t="shared" si="17"/>
        <v>49.27</v>
      </c>
      <c r="AL43" s="72">
        <f t="shared" si="18"/>
        <v>38.39</v>
      </c>
      <c r="AM43" s="72">
        <f t="shared" si="19"/>
        <v>31.44</v>
      </c>
      <c r="AN43" s="72">
        <f t="shared" si="20"/>
        <v>29.65</v>
      </c>
      <c r="AO43" s="72">
        <f t="shared" si="21"/>
        <v>24.62</v>
      </c>
      <c r="AP43" s="72">
        <f t="shared" si="22"/>
        <v>19.63</v>
      </c>
      <c r="AQ43" s="72">
        <f t="shared" si="23"/>
        <v>9.3239999999999998</v>
      </c>
      <c r="AR43" s="72">
        <f t="shared" si="24"/>
        <v>23.975999999999999</v>
      </c>
      <c r="AS43" s="72">
        <f t="shared" si="25"/>
        <v>22.499000000000002</v>
      </c>
      <c r="AT43" s="72">
        <f t="shared" si="26"/>
        <v>18.056000000000001</v>
      </c>
      <c r="AU43" s="72">
        <f t="shared" si="27"/>
        <v>16.625</v>
      </c>
    </row>
    <row r="44" spans="1:47" x14ac:dyDescent="0.25">
      <c r="A44" t="s">
        <v>123</v>
      </c>
      <c r="B44" t="s">
        <v>233</v>
      </c>
      <c r="C44" s="58">
        <v>31</v>
      </c>
      <c r="D44" s="58">
        <v>12</v>
      </c>
      <c r="E44" s="58">
        <v>2015</v>
      </c>
      <c r="F44" s="69" t="s">
        <v>212</v>
      </c>
      <c r="G44" s="69" t="s">
        <v>212</v>
      </c>
      <c r="H44" s="70">
        <f t="shared" si="14"/>
        <v>1</v>
      </c>
      <c r="I44" s="73">
        <v>55.3</v>
      </c>
      <c r="J44" s="73">
        <v>55.3</v>
      </c>
      <c r="K44" s="71">
        <v>56.01</v>
      </c>
      <c r="L44" s="71">
        <v>51.05</v>
      </c>
      <c r="M44" s="71">
        <v>35.299999999999997</v>
      </c>
      <c r="N44" s="71">
        <v>23.2</v>
      </c>
      <c r="O44" s="71">
        <v>57.62</v>
      </c>
      <c r="P44" s="71">
        <v>29.98</v>
      </c>
      <c r="Q44" s="71">
        <v>31.4</v>
      </c>
      <c r="R44" s="71">
        <v>1166</v>
      </c>
      <c r="S44" s="71">
        <v>1434.6</v>
      </c>
      <c r="T44" s="71">
        <v>1364.6</v>
      </c>
      <c r="U44" s="71">
        <v>1313.4</v>
      </c>
      <c r="V44" s="71">
        <v>1</v>
      </c>
      <c r="W44" s="71">
        <v>1</v>
      </c>
      <c r="X44" s="71">
        <v>1</v>
      </c>
      <c r="Y44" s="71">
        <v>1</v>
      </c>
      <c r="Z44" s="71">
        <v>1</v>
      </c>
      <c r="AA44" s="71">
        <v>1</v>
      </c>
      <c r="AB44" s="71">
        <v>1</v>
      </c>
      <c r="AC44" s="71">
        <v>1</v>
      </c>
      <c r="AD44" s="71">
        <v>1</v>
      </c>
      <c r="AE44" s="71">
        <v>1</v>
      </c>
      <c r="AF44" s="71">
        <v>1</v>
      </c>
      <c r="AG44" s="71">
        <v>1</v>
      </c>
      <c r="AH44" s="71">
        <v>1</v>
      </c>
      <c r="AI44" s="72">
        <f t="shared" si="15"/>
        <v>55.3</v>
      </c>
      <c r="AJ44" s="72">
        <f t="shared" si="16"/>
        <v>55.3</v>
      </c>
      <c r="AK44" s="72">
        <f t="shared" si="17"/>
        <v>56.01</v>
      </c>
      <c r="AL44" s="72">
        <f t="shared" si="18"/>
        <v>51.05</v>
      </c>
      <c r="AM44" s="72">
        <f t="shared" si="19"/>
        <v>35.299999999999997</v>
      </c>
      <c r="AN44" s="72">
        <f t="shared" si="20"/>
        <v>23.2</v>
      </c>
      <c r="AO44" s="72">
        <f t="shared" si="21"/>
        <v>57.62</v>
      </c>
      <c r="AP44" s="72">
        <f t="shared" si="22"/>
        <v>29.98</v>
      </c>
      <c r="AQ44" s="72">
        <f t="shared" si="23"/>
        <v>31.4</v>
      </c>
      <c r="AR44" s="72">
        <f t="shared" si="24"/>
        <v>1166</v>
      </c>
      <c r="AS44" s="72">
        <f t="shared" si="25"/>
        <v>1434.6</v>
      </c>
      <c r="AT44" s="72">
        <f t="shared" si="26"/>
        <v>1364.6</v>
      </c>
      <c r="AU44" s="72">
        <f t="shared" si="27"/>
        <v>1313.4</v>
      </c>
    </row>
    <row r="45" spans="1:47" x14ac:dyDescent="0.25">
      <c r="A45" t="s">
        <v>125</v>
      </c>
      <c r="B45" t="s">
        <v>234</v>
      </c>
      <c r="C45" s="58">
        <v>31</v>
      </c>
      <c r="D45" s="58">
        <v>12</v>
      </c>
      <c r="E45" s="58">
        <v>2015</v>
      </c>
      <c r="F45" s="69" t="s">
        <v>212</v>
      </c>
      <c r="G45" s="69" t="s">
        <v>212</v>
      </c>
      <c r="H45" s="70">
        <f t="shared" si="14"/>
        <v>1</v>
      </c>
      <c r="I45" s="73">
        <v>367.74</v>
      </c>
      <c r="J45" s="73">
        <v>367.74</v>
      </c>
      <c r="K45" s="71">
        <v>357.56</v>
      </c>
      <c r="L45" s="71">
        <v>316.47000000000003</v>
      </c>
      <c r="M45" s="71">
        <v>206.71</v>
      </c>
      <c r="N45" s="71">
        <v>178.24</v>
      </c>
      <c r="O45" s="71">
        <v>190.58</v>
      </c>
      <c r="P45" s="71">
        <v>232.2</v>
      </c>
      <c r="Q45" s="71">
        <v>134.15</v>
      </c>
      <c r="R45" s="71">
        <v>216.8</v>
      </c>
      <c r="S45" s="71">
        <v>152.35</v>
      </c>
      <c r="T45" s="71">
        <v>107.99</v>
      </c>
      <c r="U45" s="71">
        <v>77.260000000000005</v>
      </c>
      <c r="V45" s="71">
        <v>1</v>
      </c>
      <c r="W45" s="71">
        <v>1</v>
      </c>
      <c r="X45" s="71">
        <v>1</v>
      </c>
      <c r="Y45" s="71">
        <v>1</v>
      </c>
      <c r="Z45" s="71">
        <v>1</v>
      </c>
      <c r="AA45" s="71">
        <v>1</v>
      </c>
      <c r="AB45" s="71">
        <v>1</v>
      </c>
      <c r="AC45" s="71">
        <v>1</v>
      </c>
      <c r="AD45" s="71">
        <v>1</v>
      </c>
      <c r="AE45" s="71">
        <v>1</v>
      </c>
      <c r="AF45" s="71">
        <v>1</v>
      </c>
      <c r="AG45" s="71">
        <v>1</v>
      </c>
      <c r="AH45" s="71">
        <v>1</v>
      </c>
      <c r="AI45" s="72">
        <f t="shared" si="15"/>
        <v>367.74</v>
      </c>
      <c r="AJ45" s="72">
        <f t="shared" si="16"/>
        <v>367.74</v>
      </c>
      <c r="AK45" s="72">
        <f t="shared" si="17"/>
        <v>357.56</v>
      </c>
      <c r="AL45" s="72">
        <f t="shared" si="18"/>
        <v>316.47000000000003</v>
      </c>
      <c r="AM45" s="72">
        <f t="shared" si="19"/>
        <v>206.71</v>
      </c>
      <c r="AN45" s="72">
        <f t="shared" si="20"/>
        <v>178.24</v>
      </c>
      <c r="AO45" s="72">
        <f t="shared" si="21"/>
        <v>190.58</v>
      </c>
      <c r="AP45" s="72">
        <f t="shared" si="22"/>
        <v>232.2</v>
      </c>
      <c r="AQ45" s="72">
        <f t="shared" si="23"/>
        <v>134.15</v>
      </c>
      <c r="AR45" s="72">
        <f t="shared" si="24"/>
        <v>216.8</v>
      </c>
      <c r="AS45" s="72">
        <f t="shared" si="25"/>
        <v>152.35</v>
      </c>
      <c r="AT45" s="72">
        <f t="shared" si="26"/>
        <v>107.99</v>
      </c>
      <c r="AU45" s="72">
        <f t="shared" si="27"/>
        <v>77.260000000000005</v>
      </c>
    </row>
    <row r="46" spans="1:47" x14ac:dyDescent="0.25">
      <c r="A46" t="s">
        <v>56</v>
      </c>
      <c r="B46" t="s">
        <v>57</v>
      </c>
      <c r="C46" s="58">
        <v>31</v>
      </c>
      <c r="D46" s="58">
        <v>12</v>
      </c>
      <c r="E46" s="58">
        <v>2015</v>
      </c>
      <c r="F46" s="69" t="s">
        <v>212</v>
      </c>
      <c r="G46" s="69" t="s">
        <v>212</v>
      </c>
      <c r="H46" s="70">
        <f t="shared" si="14"/>
        <v>1</v>
      </c>
      <c r="I46" s="73">
        <v>101.62</v>
      </c>
      <c r="J46" s="73">
        <v>101.62</v>
      </c>
      <c r="K46" s="71">
        <v>112.18</v>
      </c>
      <c r="L46" s="71">
        <v>124.91</v>
      </c>
      <c r="M46" s="71">
        <v>108.14</v>
      </c>
      <c r="N46" s="71">
        <v>106.4</v>
      </c>
      <c r="O46" s="71">
        <v>91.25</v>
      </c>
      <c r="P46" s="71">
        <v>76.989999999999995</v>
      </c>
      <c r="Q46" s="71">
        <v>73.97</v>
      </c>
      <c r="R46" s="71">
        <v>93.33</v>
      </c>
      <c r="S46" s="71">
        <v>73.739999999999995</v>
      </c>
      <c r="T46" s="71">
        <v>56.83</v>
      </c>
      <c r="U46" s="71">
        <v>52.51</v>
      </c>
      <c r="V46" s="71">
        <v>1</v>
      </c>
      <c r="W46" s="71">
        <v>1</v>
      </c>
      <c r="X46" s="71">
        <v>1</v>
      </c>
      <c r="Y46" s="71">
        <v>1</v>
      </c>
      <c r="Z46" s="71">
        <v>1</v>
      </c>
      <c r="AA46" s="71">
        <v>1</v>
      </c>
      <c r="AB46" s="71">
        <v>1</v>
      </c>
      <c r="AC46" s="71">
        <v>1</v>
      </c>
      <c r="AD46" s="71">
        <v>1</v>
      </c>
      <c r="AE46" s="71">
        <v>1</v>
      </c>
      <c r="AF46" s="71">
        <v>1</v>
      </c>
      <c r="AG46" s="71">
        <v>1</v>
      </c>
      <c r="AH46" s="71">
        <v>1</v>
      </c>
      <c r="AI46" s="72">
        <f t="shared" si="15"/>
        <v>101.62</v>
      </c>
      <c r="AJ46" s="72">
        <f t="shared" si="16"/>
        <v>101.62</v>
      </c>
      <c r="AK46" s="72">
        <f t="shared" si="17"/>
        <v>112.18</v>
      </c>
      <c r="AL46" s="72">
        <f t="shared" si="18"/>
        <v>124.91</v>
      </c>
      <c r="AM46" s="72">
        <f t="shared" si="19"/>
        <v>108.14</v>
      </c>
      <c r="AN46" s="72">
        <f t="shared" si="20"/>
        <v>106.4</v>
      </c>
      <c r="AO46" s="72">
        <f t="shared" si="21"/>
        <v>91.25</v>
      </c>
      <c r="AP46" s="72">
        <f t="shared" si="22"/>
        <v>76.989999999999995</v>
      </c>
      <c r="AQ46" s="72">
        <f t="shared" si="23"/>
        <v>73.97</v>
      </c>
      <c r="AR46" s="72">
        <f t="shared" si="24"/>
        <v>93.33</v>
      </c>
      <c r="AS46" s="72">
        <f t="shared" si="25"/>
        <v>73.739999999999995</v>
      </c>
      <c r="AT46" s="72">
        <f t="shared" si="26"/>
        <v>56.83</v>
      </c>
      <c r="AU46" s="72">
        <f t="shared" si="27"/>
        <v>52.51</v>
      </c>
    </row>
    <row r="47" spans="1:47" x14ac:dyDescent="0.25">
      <c r="A47" t="s">
        <v>58</v>
      </c>
      <c r="B47" t="s">
        <v>59</v>
      </c>
      <c r="C47" s="58">
        <v>31</v>
      </c>
      <c r="D47" s="58">
        <v>12</v>
      </c>
      <c r="E47" s="58">
        <v>2015</v>
      </c>
      <c r="F47" s="69" t="s">
        <v>212</v>
      </c>
      <c r="G47" s="69" t="s">
        <v>212</v>
      </c>
      <c r="H47" s="70">
        <f t="shared" si="14"/>
        <v>1</v>
      </c>
      <c r="I47" s="73">
        <v>39.909999999999997</v>
      </c>
      <c r="J47" s="73">
        <v>39.909999999999997</v>
      </c>
      <c r="K47" s="71">
        <v>42.22</v>
      </c>
      <c r="L47" s="71">
        <v>41.31</v>
      </c>
      <c r="M47" s="71">
        <v>36.25</v>
      </c>
      <c r="N47" s="71">
        <v>34.984999999999999</v>
      </c>
      <c r="O47" s="71">
        <v>32.884999999999998</v>
      </c>
      <c r="P47" s="71">
        <v>28.5</v>
      </c>
      <c r="Q47" s="71">
        <v>22.635000000000002</v>
      </c>
      <c r="R47" s="71">
        <v>30.684999999999999</v>
      </c>
      <c r="S47" s="71">
        <v>24.2</v>
      </c>
      <c r="T47" s="71">
        <v>20.155000000000001</v>
      </c>
      <c r="U47" s="71">
        <v>20.82</v>
      </c>
      <c r="V47" s="71">
        <v>1</v>
      </c>
      <c r="W47" s="71">
        <v>1</v>
      </c>
      <c r="X47" s="71">
        <v>1</v>
      </c>
      <c r="Y47" s="71">
        <v>1</v>
      </c>
      <c r="Z47" s="71">
        <v>1</v>
      </c>
      <c r="AA47" s="71">
        <v>1</v>
      </c>
      <c r="AB47" s="71">
        <v>1</v>
      </c>
      <c r="AC47" s="71">
        <v>1</v>
      </c>
      <c r="AD47" s="71">
        <v>1</v>
      </c>
      <c r="AE47" s="71">
        <v>1</v>
      </c>
      <c r="AF47" s="71">
        <v>1</v>
      </c>
      <c r="AG47" s="71">
        <v>1</v>
      </c>
      <c r="AH47" s="71">
        <v>1</v>
      </c>
      <c r="AI47" s="72">
        <f t="shared" si="15"/>
        <v>39.909999999999997</v>
      </c>
      <c r="AJ47" s="72">
        <f t="shared" si="16"/>
        <v>39.909999999999997</v>
      </c>
      <c r="AK47" s="72">
        <f t="shared" si="17"/>
        <v>42.22</v>
      </c>
      <c r="AL47" s="72">
        <f t="shared" si="18"/>
        <v>41.31</v>
      </c>
      <c r="AM47" s="72">
        <f t="shared" si="19"/>
        <v>36.25</v>
      </c>
      <c r="AN47" s="72">
        <f t="shared" si="20"/>
        <v>34.984999999999999</v>
      </c>
      <c r="AO47" s="72">
        <f t="shared" si="21"/>
        <v>32.884999999999998</v>
      </c>
      <c r="AP47" s="72">
        <f t="shared" si="22"/>
        <v>28.5</v>
      </c>
      <c r="AQ47" s="72">
        <f t="shared" si="23"/>
        <v>22.635000000000002</v>
      </c>
      <c r="AR47" s="72">
        <f t="shared" si="24"/>
        <v>30.684999999999999</v>
      </c>
      <c r="AS47" s="72">
        <f t="shared" si="25"/>
        <v>24.2</v>
      </c>
      <c r="AT47" s="72">
        <f t="shared" si="26"/>
        <v>20.155000000000001</v>
      </c>
      <c r="AU47" s="72">
        <f t="shared" si="27"/>
        <v>20.82</v>
      </c>
    </row>
    <row r="48" spans="1:47" x14ac:dyDescent="0.25">
      <c r="A48" t="s">
        <v>60</v>
      </c>
      <c r="B48" t="s">
        <v>61</v>
      </c>
      <c r="C48" s="58">
        <v>31</v>
      </c>
      <c r="D48" s="58">
        <v>12</v>
      </c>
      <c r="E48" s="58">
        <v>2015</v>
      </c>
      <c r="F48" s="69" t="s">
        <v>212</v>
      </c>
      <c r="G48" s="69" t="s">
        <v>212</v>
      </c>
      <c r="H48" s="70">
        <f t="shared" si="14"/>
        <v>1</v>
      </c>
      <c r="I48" s="73">
        <v>68.459999999999994</v>
      </c>
      <c r="J48" s="73">
        <v>68.459999999999994</v>
      </c>
      <c r="K48" s="71">
        <v>69.19</v>
      </c>
      <c r="L48" s="71">
        <v>65.209999999999994</v>
      </c>
      <c r="M48" s="71">
        <v>52.27</v>
      </c>
      <c r="N48" s="71">
        <v>46.195</v>
      </c>
      <c r="O48" s="71">
        <v>40.185000000000002</v>
      </c>
      <c r="P48" s="71">
        <v>41.075000000000003</v>
      </c>
      <c r="Q48" s="71">
        <v>34.270000000000003</v>
      </c>
      <c r="R48" s="71">
        <v>38.979999999999997</v>
      </c>
      <c r="S48" s="71">
        <v>32.659999999999997</v>
      </c>
      <c r="T48" s="71">
        <v>27.64</v>
      </c>
      <c r="U48" s="71">
        <v>18.5</v>
      </c>
      <c r="V48" s="71">
        <v>1</v>
      </c>
      <c r="W48" s="71">
        <v>1</v>
      </c>
      <c r="X48" s="71">
        <v>1</v>
      </c>
      <c r="Y48" s="71">
        <v>1</v>
      </c>
      <c r="Z48" s="71">
        <v>1</v>
      </c>
      <c r="AA48" s="71">
        <v>1</v>
      </c>
      <c r="AB48" s="71">
        <v>1</v>
      </c>
      <c r="AC48" s="71">
        <v>1</v>
      </c>
      <c r="AD48" s="71">
        <v>1</v>
      </c>
      <c r="AE48" s="71">
        <v>1</v>
      </c>
      <c r="AF48" s="71">
        <v>1</v>
      </c>
      <c r="AG48" s="71">
        <v>1</v>
      </c>
      <c r="AH48" s="71">
        <v>1</v>
      </c>
      <c r="AI48" s="72">
        <f t="shared" si="15"/>
        <v>68.459999999999994</v>
      </c>
      <c r="AJ48" s="72">
        <f t="shared" si="16"/>
        <v>68.459999999999994</v>
      </c>
      <c r="AK48" s="72">
        <f t="shared" si="17"/>
        <v>69.19</v>
      </c>
      <c r="AL48" s="72">
        <f t="shared" si="18"/>
        <v>65.209999999999994</v>
      </c>
      <c r="AM48" s="72">
        <f t="shared" si="19"/>
        <v>52.27</v>
      </c>
      <c r="AN48" s="72">
        <f t="shared" si="20"/>
        <v>46.195</v>
      </c>
      <c r="AO48" s="72">
        <f t="shared" si="21"/>
        <v>40.185000000000002</v>
      </c>
      <c r="AP48" s="72">
        <f t="shared" si="22"/>
        <v>41.075000000000003</v>
      </c>
      <c r="AQ48" s="72">
        <f t="shared" si="23"/>
        <v>34.270000000000003</v>
      </c>
      <c r="AR48" s="72">
        <f t="shared" si="24"/>
        <v>38.979999999999997</v>
      </c>
      <c r="AS48" s="72">
        <f t="shared" si="25"/>
        <v>32.659999999999997</v>
      </c>
      <c r="AT48" s="72">
        <f t="shared" si="26"/>
        <v>27.64</v>
      </c>
      <c r="AU48" s="72">
        <f t="shared" si="27"/>
        <v>18.5</v>
      </c>
    </row>
    <row r="49" spans="1:47" x14ac:dyDescent="0.25">
      <c r="A49" t="s">
        <v>62</v>
      </c>
      <c r="B49" t="s">
        <v>63</v>
      </c>
      <c r="C49" s="58">
        <v>31</v>
      </c>
      <c r="D49" s="58">
        <v>12</v>
      </c>
      <c r="E49" s="58">
        <v>2015</v>
      </c>
      <c r="F49" s="69" t="s">
        <v>212</v>
      </c>
      <c r="G49" s="69" t="s">
        <v>212</v>
      </c>
      <c r="H49" s="70">
        <f t="shared" si="14"/>
        <v>1</v>
      </c>
      <c r="I49" s="73">
        <v>47.05</v>
      </c>
      <c r="J49" s="73">
        <v>47.05</v>
      </c>
      <c r="K49" s="71">
        <v>45.61</v>
      </c>
      <c r="L49" s="71">
        <v>44.4</v>
      </c>
      <c r="M49" s="71">
        <v>32.3294</v>
      </c>
      <c r="N49" s="71">
        <v>28.76</v>
      </c>
      <c r="O49" s="71">
        <v>34.14</v>
      </c>
      <c r="P49" s="71">
        <v>27.63</v>
      </c>
      <c r="Q49" s="71">
        <v>15.09</v>
      </c>
      <c r="R49" s="71">
        <v>39.42</v>
      </c>
      <c r="S49" s="71">
        <v>39.950000000000003</v>
      </c>
      <c r="T49" s="71">
        <v>44.16</v>
      </c>
      <c r="U49" s="71">
        <v>36.700000000000003</v>
      </c>
      <c r="V49" s="71">
        <v>1</v>
      </c>
      <c r="W49" s="71">
        <v>1</v>
      </c>
      <c r="X49" s="71">
        <v>1</v>
      </c>
      <c r="Y49" s="71">
        <v>1</v>
      </c>
      <c r="Z49" s="71">
        <v>1</v>
      </c>
      <c r="AA49" s="71">
        <v>1</v>
      </c>
      <c r="AB49" s="71">
        <v>1</v>
      </c>
      <c r="AC49" s="71">
        <v>1</v>
      </c>
      <c r="AD49" s="71">
        <v>1</v>
      </c>
      <c r="AE49" s="71">
        <v>1</v>
      </c>
      <c r="AF49" s="71">
        <v>1</v>
      </c>
      <c r="AG49" s="71">
        <v>1</v>
      </c>
      <c r="AH49" s="71">
        <v>1</v>
      </c>
      <c r="AI49" s="72">
        <f t="shared" si="15"/>
        <v>47.05</v>
      </c>
      <c r="AJ49" s="72">
        <f t="shared" si="16"/>
        <v>47.05</v>
      </c>
      <c r="AK49" s="72">
        <f t="shared" si="17"/>
        <v>45.61</v>
      </c>
      <c r="AL49" s="72">
        <f t="shared" si="18"/>
        <v>44.4</v>
      </c>
      <c r="AM49" s="72">
        <f t="shared" si="19"/>
        <v>32.3294</v>
      </c>
      <c r="AN49" s="72">
        <f t="shared" si="20"/>
        <v>28.76</v>
      </c>
      <c r="AO49" s="72">
        <f t="shared" si="21"/>
        <v>34.14</v>
      </c>
      <c r="AP49" s="72">
        <f t="shared" si="22"/>
        <v>27.63</v>
      </c>
      <c r="AQ49" s="72">
        <f t="shared" si="23"/>
        <v>15.09</v>
      </c>
      <c r="AR49" s="72">
        <f t="shared" si="24"/>
        <v>39.42</v>
      </c>
      <c r="AS49" s="72">
        <f t="shared" si="25"/>
        <v>39.950000000000003</v>
      </c>
      <c r="AT49" s="72">
        <f t="shared" si="26"/>
        <v>44.16</v>
      </c>
      <c r="AU49" s="72">
        <f t="shared" si="27"/>
        <v>36.700000000000003</v>
      </c>
    </row>
    <row r="50" spans="1:47" x14ac:dyDescent="0.25">
      <c r="A50" t="s">
        <v>64</v>
      </c>
      <c r="B50" t="s">
        <v>65</v>
      </c>
      <c r="C50" s="58">
        <v>31</v>
      </c>
      <c r="D50" s="58">
        <v>12</v>
      </c>
      <c r="E50" s="58">
        <v>2015</v>
      </c>
      <c r="F50" s="69" t="s">
        <v>212</v>
      </c>
      <c r="G50" s="69" t="s">
        <v>212</v>
      </c>
      <c r="H50" s="70">
        <f t="shared" si="14"/>
        <v>1</v>
      </c>
      <c r="I50" s="73">
        <v>83.87</v>
      </c>
      <c r="J50" s="73">
        <v>83.87</v>
      </c>
      <c r="K50" s="71">
        <v>92.45</v>
      </c>
      <c r="L50" s="71">
        <v>101.2</v>
      </c>
      <c r="M50" s="71">
        <v>86.55</v>
      </c>
      <c r="N50" s="71">
        <v>84.76</v>
      </c>
      <c r="O50" s="71">
        <v>73.12</v>
      </c>
      <c r="P50" s="71">
        <v>68.19</v>
      </c>
      <c r="Q50" s="71">
        <v>79.83</v>
      </c>
      <c r="R50" s="71">
        <v>93.69</v>
      </c>
      <c r="S50" s="71">
        <v>76.989999999999995</v>
      </c>
      <c r="T50" s="71">
        <v>56.17</v>
      </c>
      <c r="U50" s="71">
        <v>51.26</v>
      </c>
      <c r="V50" s="71">
        <v>1</v>
      </c>
      <c r="W50" s="71">
        <v>1</v>
      </c>
      <c r="X50" s="71">
        <v>1</v>
      </c>
      <c r="Y50" s="71">
        <v>1</v>
      </c>
      <c r="Z50" s="71">
        <v>1</v>
      </c>
      <c r="AA50" s="71">
        <v>1</v>
      </c>
      <c r="AB50" s="71">
        <v>1</v>
      </c>
      <c r="AC50" s="71">
        <v>1</v>
      </c>
      <c r="AD50" s="71">
        <v>1</v>
      </c>
      <c r="AE50" s="71">
        <v>1</v>
      </c>
      <c r="AF50" s="71">
        <v>1</v>
      </c>
      <c r="AG50" s="71">
        <v>1</v>
      </c>
      <c r="AH50" s="71">
        <v>1</v>
      </c>
      <c r="AI50" s="72">
        <f t="shared" si="15"/>
        <v>83.87</v>
      </c>
      <c r="AJ50" s="72">
        <f t="shared" si="16"/>
        <v>83.87</v>
      </c>
      <c r="AK50" s="72">
        <f t="shared" si="17"/>
        <v>92.45</v>
      </c>
      <c r="AL50" s="72">
        <f t="shared" si="18"/>
        <v>101.2</v>
      </c>
      <c r="AM50" s="72">
        <f t="shared" si="19"/>
        <v>86.55</v>
      </c>
      <c r="AN50" s="72">
        <f t="shared" si="20"/>
        <v>84.76</v>
      </c>
      <c r="AO50" s="72">
        <f t="shared" si="21"/>
        <v>73.12</v>
      </c>
      <c r="AP50" s="72">
        <f t="shared" si="22"/>
        <v>68.19</v>
      </c>
      <c r="AQ50" s="72">
        <f t="shared" si="23"/>
        <v>79.83</v>
      </c>
      <c r="AR50" s="72">
        <f t="shared" si="24"/>
        <v>93.69</v>
      </c>
      <c r="AS50" s="72">
        <f t="shared" si="25"/>
        <v>76.989999999999995</v>
      </c>
      <c r="AT50" s="72">
        <f t="shared" si="26"/>
        <v>56.17</v>
      </c>
      <c r="AU50" s="72">
        <f t="shared" si="27"/>
        <v>51.26</v>
      </c>
    </row>
    <row r="51" spans="1:47" x14ac:dyDescent="0.25">
      <c r="A51" t="s">
        <v>66</v>
      </c>
      <c r="B51" t="s">
        <v>67</v>
      </c>
      <c r="C51" s="58">
        <v>31</v>
      </c>
      <c r="D51" s="58">
        <v>12</v>
      </c>
      <c r="E51" s="58">
        <v>2015</v>
      </c>
      <c r="F51" s="69" t="s">
        <v>212</v>
      </c>
      <c r="G51" s="69" t="s">
        <v>212</v>
      </c>
      <c r="H51" s="70">
        <f t="shared" si="14"/>
        <v>1</v>
      </c>
      <c r="I51" s="73">
        <v>25.04</v>
      </c>
      <c r="J51" s="73">
        <v>25.04</v>
      </c>
      <c r="K51" s="71">
        <v>25.27</v>
      </c>
      <c r="L51" s="71">
        <v>28.03</v>
      </c>
      <c r="M51" s="71">
        <v>20.99</v>
      </c>
      <c r="N51" s="71">
        <v>17.91</v>
      </c>
      <c r="O51" s="71">
        <v>18.29</v>
      </c>
      <c r="P51" s="71">
        <v>15.13</v>
      </c>
      <c r="Q51" s="71">
        <v>16.2</v>
      </c>
      <c r="R51" s="71">
        <v>37.07</v>
      </c>
      <c r="S51" s="71">
        <v>37.341999999999999</v>
      </c>
      <c r="T51" s="71">
        <v>35.049999999999997</v>
      </c>
      <c r="U51" s="71">
        <v>36.5</v>
      </c>
      <c r="V51" s="71">
        <v>1</v>
      </c>
      <c r="W51" s="71">
        <v>1</v>
      </c>
      <c r="X51" s="71">
        <v>1</v>
      </c>
      <c r="Y51" s="71">
        <v>1</v>
      </c>
      <c r="Z51" s="71">
        <v>1</v>
      </c>
      <c r="AA51" s="71">
        <v>1</v>
      </c>
      <c r="AB51" s="71">
        <v>1</v>
      </c>
      <c r="AC51" s="71">
        <v>1</v>
      </c>
      <c r="AD51" s="71">
        <v>1</v>
      </c>
      <c r="AE51" s="71">
        <v>1</v>
      </c>
      <c r="AF51" s="71">
        <v>1</v>
      </c>
      <c r="AG51" s="71">
        <v>1</v>
      </c>
      <c r="AH51" s="71">
        <v>1</v>
      </c>
      <c r="AI51" s="72">
        <f t="shared" si="15"/>
        <v>25.04</v>
      </c>
      <c r="AJ51" s="72">
        <f t="shared" si="16"/>
        <v>25.04</v>
      </c>
      <c r="AK51" s="72">
        <f t="shared" si="17"/>
        <v>25.27</v>
      </c>
      <c r="AL51" s="72">
        <f t="shared" si="18"/>
        <v>28.03</v>
      </c>
      <c r="AM51" s="72">
        <f t="shared" si="19"/>
        <v>20.99</v>
      </c>
      <c r="AN51" s="72">
        <f t="shared" si="20"/>
        <v>17.91</v>
      </c>
      <c r="AO51" s="72">
        <f t="shared" si="21"/>
        <v>18.29</v>
      </c>
      <c r="AP51" s="72">
        <f t="shared" si="22"/>
        <v>15.13</v>
      </c>
      <c r="AQ51" s="72">
        <f t="shared" si="23"/>
        <v>16.2</v>
      </c>
      <c r="AR51" s="72">
        <f t="shared" si="24"/>
        <v>37.07</v>
      </c>
      <c r="AS51" s="72">
        <f t="shared" si="25"/>
        <v>37.341999999999999</v>
      </c>
      <c r="AT51" s="72">
        <f t="shared" si="26"/>
        <v>35.049999999999997</v>
      </c>
      <c r="AU51" s="72">
        <f t="shared" si="27"/>
        <v>36.5</v>
      </c>
    </row>
    <row r="52" spans="1:47" x14ac:dyDescent="0.25">
      <c r="A52" s="54" t="s">
        <v>127</v>
      </c>
      <c r="B52" t="s">
        <v>235</v>
      </c>
      <c r="C52" s="58">
        <v>31</v>
      </c>
      <c r="D52" s="58">
        <v>5</v>
      </c>
      <c r="E52" s="58">
        <v>2015</v>
      </c>
      <c r="F52" s="69" t="s">
        <v>212</v>
      </c>
      <c r="G52" s="69" t="s">
        <v>212</v>
      </c>
      <c r="H52" s="70">
        <f t="shared" si="14"/>
        <v>1</v>
      </c>
      <c r="I52" s="73">
        <v>52.15</v>
      </c>
      <c r="J52" s="73">
        <v>52.15</v>
      </c>
      <c r="K52" s="71">
        <v>54.93</v>
      </c>
      <c r="L52" s="71">
        <v>47.08</v>
      </c>
      <c r="M52" s="71">
        <v>38.325000000000003</v>
      </c>
      <c r="N52" s="71">
        <v>39.770000000000003</v>
      </c>
      <c r="O52" s="71">
        <v>35.615000000000002</v>
      </c>
      <c r="P52" s="71">
        <v>25.59</v>
      </c>
      <c r="Q52" s="71">
        <v>31.6</v>
      </c>
      <c r="R52" s="71">
        <v>30.6</v>
      </c>
      <c r="S52" s="71">
        <v>25.945</v>
      </c>
      <c r="T52" s="71">
        <v>24.75</v>
      </c>
      <c r="U52" s="71">
        <v>23.024999999999999</v>
      </c>
      <c r="V52" s="71">
        <v>1</v>
      </c>
      <c r="W52" s="71">
        <v>1</v>
      </c>
      <c r="X52" s="71">
        <v>1</v>
      </c>
      <c r="Y52" s="71">
        <v>1</v>
      </c>
      <c r="Z52" s="71">
        <v>1</v>
      </c>
      <c r="AA52" s="71">
        <v>1</v>
      </c>
      <c r="AB52" s="71">
        <v>1</v>
      </c>
      <c r="AC52" s="71">
        <v>1</v>
      </c>
      <c r="AD52" s="71">
        <v>1</v>
      </c>
      <c r="AE52" s="71">
        <v>1</v>
      </c>
      <c r="AF52" s="71">
        <v>1</v>
      </c>
      <c r="AG52" s="71">
        <v>1</v>
      </c>
      <c r="AH52" s="71">
        <v>1</v>
      </c>
      <c r="AI52" s="72">
        <f t="shared" si="15"/>
        <v>52.15</v>
      </c>
      <c r="AJ52" s="72">
        <f t="shared" si="16"/>
        <v>52.15</v>
      </c>
      <c r="AK52" s="72">
        <f t="shared" si="17"/>
        <v>54.93</v>
      </c>
      <c r="AL52" s="72">
        <f t="shared" si="18"/>
        <v>47.08</v>
      </c>
      <c r="AM52" s="72">
        <f t="shared" si="19"/>
        <v>38.325000000000003</v>
      </c>
      <c r="AN52" s="72">
        <f t="shared" si="20"/>
        <v>39.770000000000003</v>
      </c>
      <c r="AO52" s="72">
        <f t="shared" si="21"/>
        <v>35.615000000000002</v>
      </c>
      <c r="AP52" s="72">
        <f t="shared" si="22"/>
        <v>25.59</v>
      </c>
      <c r="AQ52" s="72">
        <f t="shared" si="23"/>
        <v>31.6</v>
      </c>
      <c r="AR52" s="72">
        <f t="shared" si="24"/>
        <v>30.6</v>
      </c>
      <c r="AS52" s="72">
        <f t="shared" si="25"/>
        <v>25.945</v>
      </c>
      <c r="AT52" s="72">
        <f t="shared" si="26"/>
        <v>24.75</v>
      </c>
      <c r="AU52" s="72">
        <f t="shared" si="27"/>
        <v>23.024999999999999</v>
      </c>
    </row>
    <row r="53" spans="1:47" x14ac:dyDescent="0.25">
      <c r="A53" t="s">
        <v>68</v>
      </c>
      <c r="B53" t="s">
        <v>69</v>
      </c>
      <c r="C53" s="58">
        <v>31</v>
      </c>
      <c r="D53" s="58">
        <v>12</v>
      </c>
      <c r="E53" s="58">
        <v>2015</v>
      </c>
      <c r="F53" s="69" t="s">
        <v>212</v>
      </c>
      <c r="G53" s="69" t="s">
        <v>212</v>
      </c>
      <c r="H53" s="70">
        <f t="shared" si="14"/>
        <v>1</v>
      </c>
      <c r="I53" s="73">
        <v>189.34</v>
      </c>
      <c r="J53" s="73">
        <v>189.34</v>
      </c>
      <c r="K53" s="71">
        <v>193.83</v>
      </c>
      <c r="L53" s="71">
        <v>177.26</v>
      </c>
      <c r="M53" s="71">
        <v>127.56</v>
      </c>
      <c r="N53" s="71">
        <v>90.43</v>
      </c>
      <c r="O53" s="71">
        <v>168.16</v>
      </c>
      <c r="P53" s="71">
        <v>168.84</v>
      </c>
      <c r="Q53" s="71">
        <v>82.06</v>
      </c>
      <c r="R53" s="71">
        <v>215.05</v>
      </c>
      <c r="S53" s="71">
        <v>199.91</v>
      </c>
      <c r="T53" s="71">
        <v>128.38</v>
      </c>
      <c r="U53" s="71">
        <v>104.92</v>
      </c>
      <c r="V53" s="71">
        <v>1</v>
      </c>
      <c r="W53" s="71">
        <v>1</v>
      </c>
      <c r="X53" s="71">
        <v>1</v>
      </c>
      <c r="Y53" s="71">
        <v>1</v>
      </c>
      <c r="Z53" s="71">
        <v>1</v>
      </c>
      <c r="AA53" s="71">
        <v>1</v>
      </c>
      <c r="AB53" s="71">
        <v>1</v>
      </c>
      <c r="AC53" s="71">
        <v>1</v>
      </c>
      <c r="AD53" s="71">
        <v>1</v>
      </c>
      <c r="AE53" s="71">
        <v>1</v>
      </c>
      <c r="AF53" s="71">
        <v>1</v>
      </c>
      <c r="AG53" s="71">
        <v>1</v>
      </c>
      <c r="AH53" s="71">
        <v>1</v>
      </c>
      <c r="AI53" s="72">
        <f t="shared" si="15"/>
        <v>189.34</v>
      </c>
      <c r="AJ53" s="72">
        <f t="shared" si="16"/>
        <v>189.34</v>
      </c>
      <c r="AK53" s="72">
        <f t="shared" si="17"/>
        <v>193.83</v>
      </c>
      <c r="AL53" s="72">
        <f t="shared" si="18"/>
        <v>177.26</v>
      </c>
      <c r="AM53" s="72">
        <f t="shared" si="19"/>
        <v>127.56</v>
      </c>
      <c r="AN53" s="72">
        <f t="shared" si="20"/>
        <v>90.43</v>
      </c>
      <c r="AO53" s="72">
        <f t="shared" si="21"/>
        <v>168.16</v>
      </c>
      <c r="AP53" s="72">
        <f t="shared" si="22"/>
        <v>168.84</v>
      </c>
      <c r="AQ53" s="72">
        <f t="shared" si="23"/>
        <v>82.06</v>
      </c>
      <c r="AR53" s="72">
        <f t="shared" si="24"/>
        <v>215.05</v>
      </c>
      <c r="AS53" s="72">
        <f t="shared" si="25"/>
        <v>199.91</v>
      </c>
      <c r="AT53" s="72">
        <f t="shared" si="26"/>
        <v>128.38</v>
      </c>
      <c r="AU53" s="72">
        <f t="shared" si="27"/>
        <v>104.92</v>
      </c>
    </row>
    <row r="54" spans="1:47" x14ac:dyDescent="0.25">
      <c r="A54" t="s">
        <v>70</v>
      </c>
      <c r="B54" t="s">
        <v>71</v>
      </c>
      <c r="C54" s="58">
        <v>31</v>
      </c>
      <c r="D54" s="58">
        <v>12</v>
      </c>
      <c r="E54" s="58">
        <v>2015</v>
      </c>
      <c r="F54" s="69" t="s">
        <v>212</v>
      </c>
      <c r="G54" s="69" t="s">
        <v>212</v>
      </c>
      <c r="H54" s="70">
        <f t="shared" si="14"/>
        <v>1</v>
      </c>
      <c r="I54" s="73">
        <v>154.28</v>
      </c>
      <c r="J54" s="73">
        <v>154.28</v>
      </c>
      <c r="K54" s="71">
        <v>160.44</v>
      </c>
      <c r="L54" s="71">
        <v>187.57</v>
      </c>
      <c r="M54" s="71">
        <v>191.55</v>
      </c>
      <c r="N54" s="71">
        <v>183.88</v>
      </c>
      <c r="O54" s="71">
        <v>146.76</v>
      </c>
      <c r="P54" s="71">
        <v>130.9</v>
      </c>
      <c r="Q54" s="71">
        <v>84.16</v>
      </c>
      <c r="R54" s="71">
        <v>108.1</v>
      </c>
      <c r="S54" s="71">
        <v>97.33</v>
      </c>
      <c r="T54" s="71">
        <v>82.2</v>
      </c>
      <c r="U54" s="71">
        <v>98.58</v>
      </c>
      <c r="V54" s="71">
        <v>1</v>
      </c>
      <c r="W54" s="71">
        <v>1</v>
      </c>
      <c r="X54" s="71">
        <v>1</v>
      </c>
      <c r="Y54" s="71">
        <v>1</v>
      </c>
      <c r="Z54" s="71">
        <v>1</v>
      </c>
      <c r="AA54" s="71">
        <v>1</v>
      </c>
      <c r="AB54" s="71">
        <v>1</v>
      </c>
      <c r="AC54" s="71">
        <v>1</v>
      </c>
      <c r="AD54" s="71">
        <v>1</v>
      </c>
      <c r="AE54" s="71">
        <v>1</v>
      </c>
      <c r="AF54" s="71">
        <v>1</v>
      </c>
      <c r="AG54" s="71">
        <v>1</v>
      </c>
      <c r="AH54" s="71">
        <v>1</v>
      </c>
      <c r="AI54" s="72">
        <f t="shared" si="15"/>
        <v>154.28</v>
      </c>
      <c r="AJ54" s="72">
        <f t="shared" si="16"/>
        <v>154.28</v>
      </c>
      <c r="AK54" s="72">
        <f t="shared" si="17"/>
        <v>160.44</v>
      </c>
      <c r="AL54" s="72">
        <f t="shared" si="18"/>
        <v>187.57</v>
      </c>
      <c r="AM54" s="72">
        <f t="shared" si="19"/>
        <v>191.55</v>
      </c>
      <c r="AN54" s="72">
        <f t="shared" si="20"/>
        <v>183.88</v>
      </c>
      <c r="AO54" s="72">
        <f t="shared" si="21"/>
        <v>146.76</v>
      </c>
      <c r="AP54" s="72">
        <f t="shared" si="22"/>
        <v>130.9</v>
      </c>
      <c r="AQ54" s="72">
        <f t="shared" si="23"/>
        <v>84.16</v>
      </c>
      <c r="AR54" s="72">
        <f t="shared" si="24"/>
        <v>108.1</v>
      </c>
      <c r="AS54" s="72">
        <f t="shared" si="25"/>
        <v>97.33</v>
      </c>
      <c r="AT54" s="72">
        <f t="shared" si="26"/>
        <v>82.2</v>
      </c>
      <c r="AU54" s="72">
        <f t="shared" si="27"/>
        <v>98.58</v>
      </c>
    </row>
    <row r="55" spans="1:47" x14ac:dyDescent="0.25">
      <c r="A55" t="s">
        <v>72</v>
      </c>
      <c r="B55" t="s">
        <v>73</v>
      </c>
      <c r="C55" s="58">
        <v>31</v>
      </c>
      <c r="D55" s="58">
        <v>12</v>
      </c>
      <c r="E55" s="58">
        <v>2015</v>
      </c>
      <c r="F55" s="69" t="s">
        <v>212</v>
      </c>
      <c r="G55" s="69" t="s">
        <v>212</v>
      </c>
      <c r="H55" s="70">
        <f t="shared" si="14"/>
        <v>1</v>
      </c>
      <c r="I55" s="73">
        <v>61</v>
      </c>
      <c r="J55" s="73">
        <v>61</v>
      </c>
      <c r="K55" s="71">
        <v>62.58</v>
      </c>
      <c r="L55" s="71">
        <v>58.48</v>
      </c>
      <c r="M55" s="71">
        <v>43.969099999999997</v>
      </c>
      <c r="N55" s="71">
        <v>33.25</v>
      </c>
      <c r="O55" s="71">
        <v>42.42</v>
      </c>
      <c r="P55" s="71">
        <v>41.67</v>
      </c>
      <c r="Q55" s="71">
        <v>31.53</v>
      </c>
      <c r="R55" s="71">
        <v>43.65</v>
      </c>
      <c r="S55" s="71">
        <v>48.35</v>
      </c>
      <c r="T55" s="71">
        <v>39.69</v>
      </c>
      <c r="U55" s="71">
        <v>39.01</v>
      </c>
      <c r="V55" s="71">
        <v>1</v>
      </c>
      <c r="W55" s="71">
        <v>1</v>
      </c>
      <c r="X55" s="71">
        <v>1</v>
      </c>
      <c r="Y55" s="71">
        <v>1</v>
      </c>
      <c r="Z55" s="71">
        <v>1</v>
      </c>
      <c r="AA55" s="71">
        <v>1</v>
      </c>
      <c r="AB55" s="71">
        <v>1</v>
      </c>
      <c r="AC55" s="71">
        <v>1</v>
      </c>
      <c r="AD55" s="71">
        <v>1</v>
      </c>
      <c r="AE55" s="71">
        <v>1</v>
      </c>
      <c r="AF55" s="71">
        <v>1</v>
      </c>
      <c r="AG55" s="71">
        <v>1</v>
      </c>
      <c r="AH55" s="71">
        <v>1</v>
      </c>
      <c r="AI55" s="72">
        <f t="shared" si="15"/>
        <v>61</v>
      </c>
      <c r="AJ55" s="72">
        <f t="shared" si="16"/>
        <v>61</v>
      </c>
      <c r="AK55" s="72">
        <f t="shared" si="17"/>
        <v>62.58</v>
      </c>
      <c r="AL55" s="72">
        <f t="shared" si="18"/>
        <v>58.48</v>
      </c>
      <c r="AM55" s="72">
        <f t="shared" si="19"/>
        <v>43.969099999999997</v>
      </c>
      <c r="AN55" s="72">
        <f t="shared" si="20"/>
        <v>33.25</v>
      </c>
      <c r="AO55" s="72">
        <f t="shared" si="21"/>
        <v>42.42</v>
      </c>
      <c r="AP55" s="72">
        <f t="shared" si="22"/>
        <v>41.67</v>
      </c>
      <c r="AQ55" s="72">
        <f t="shared" si="23"/>
        <v>31.53</v>
      </c>
      <c r="AR55" s="72">
        <f t="shared" si="24"/>
        <v>43.65</v>
      </c>
      <c r="AS55" s="72">
        <f t="shared" si="25"/>
        <v>48.35</v>
      </c>
      <c r="AT55" s="72">
        <f t="shared" si="26"/>
        <v>39.69</v>
      </c>
      <c r="AU55" s="72">
        <f t="shared" si="27"/>
        <v>39.01</v>
      </c>
    </row>
    <row r="56" spans="1:47" x14ac:dyDescent="0.25">
      <c r="A56" t="s">
        <v>74</v>
      </c>
      <c r="B56" t="s">
        <v>75</v>
      </c>
      <c r="C56" s="58">
        <v>31</v>
      </c>
      <c r="D56" s="58">
        <v>12</v>
      </c>
      <c r="E56" s="58">
        <v>2015</v>
      </c>
      <c r="F56" s="69" t="s">
        <v>212</v>
      </c>
      <c r="G56" s="69" t="s">
        <v>212</v>
      </c>
      <c r="H56" s="70">
        <f t="shared" si="14"/>
        <v>1</v>
      </c>
      <c r="I56" s="73">
        <v>99.21</v>
      </c>
      <c r="J56" s="73">
        <v>99.21</v>
      </c>
      <c r="K56" s="71">
        <v>104.57</v>
      </c>
      <c r="L56" s="71">
        <v>91.55</v>
      </c>
      <c r="M56" s="71">
        <v>70.099999999999994</v>
      </c>
      <c r="N56" s="71">
        <v>65.58</v>
      </c>
      <c r="O56" s="71">
        <v>61.85</v>
      </c>
      <c r="P56" s="71">
        <v>64.41</v>
      </c>
      <c r="Q56" s="71">
        <v>59.83</v>
      </c>
      <c r="R56" s="71">
        <v>66.7</v>
      </c>
      <c r="S56" s="71">
        <v>66.08</v>
      </c>
      <c r="T56" s="71">
        <v>60.1</v>
      </c>
      <c r="U56" s="71">
        <v>63.42</v>
      </c>
      <c r="V56" s="71">
        <v>1</v>
      </c>
      <c r="W56" s="71">
        <v>1</v>
      </c>
      <c r="X56" s="71">
        <v>1</v>
      </c>
      <c r="Y56" s="71">
        <v>1</v>
      </c>
      <c r="Z56" s="71">
        <v>1</v>
      </c>
      <c r="AA56" s="71">
        <v>1</v>
      </c>
      <c r="AB56" s="71">
        <v>1</v>
      </c>
      <c r="AC56" s="71">
        <v>1</v>
      </c>
      <c r="AD56" s="71">
        <v>1</v>
      </c>
      <c r="AE56" s="71">
        <v>1</v>
      </c>
      <c r="AF56" s="71">
        <v>1</v>
      </c>
      <c r="AG56" s="71">
        <v>1</v>
      </c>
      <c r="AH56" s="71">
        <v>1</v>
      </c>
      <c r="AI56" s="72">
        <f t="shared" si="15"/>
        <v>99.21</v>
      </c>
      <c r="AJ56" s="72">
        <f t="shared" si="16"/>
        <v>99.21</v>
      </c>
      <c r="AK56" s="72">
        <f t="shared" si="17"/>
        <v>104.57</v>
      </c>
      <c r="AL56" s="72">
        <f t="shared" si="18"/>
        <v>91.55</v>
      </c>
      <c r="AM56" s="72">
        <f t="shared" si="19"/>
        <v>70.099999999999994</v>
      </c>
      <c r="AN56" s="72">
        <f t="shared" si="20"/>
        <v>65.58</v>
      </c>
      <c r="AO56" s="72">
        <f t="shared" si="21"/>
        <v>61.85</v>
      </c>
      <c r="AP56" s="72">
        <f t="shared" si="22"/>
        <v>64.41</v>
      </c>
      <c r="AQ56" s="72">
        <f t="shared" si="23"/>
        <v>59.83</v>
      </c>
      <c r="AR56" s="72">
        <f t="shared" si="24"/>
        <v>66.7</v>
      </c>
      <c r="AS56" s="72">
        <f t="shared" si="25"/>
        <v>66.08</v>
      </c>
      <c r="AT56" s="72">
        <f t="shared" si="26"/>
        <v>60.1</v>
      </c>
      <c r="AU56" s="72">
        <f t="shared" si="27"/>
        <v>63.42</v>
      </c>
    </row>
    <row r="57" spans="1:47" x14ac:dyDescent="0.25">
      <c r="A57" t="s">
        <v>129</v>
      </c>
      <c r="B57" t="s">
        <v>203</v>
      </c>
      <c r="C57" s="58">
        <v>31</v>
      </c>
      <c r="D57" s="58">
        <v>12</v>
      </c>
      <c r="E57" s="58">
        <v>2015</v>
      </c>
      <c r="F57" s="69" t="s">
        <v>212</v>
      </c>
      <c r="G57" s="69" t="s">
        <v>212</v>
      </c>
      <c r="H57" s="70">
        <f t="shared" si="14"/>
        <v>1</v>
      </c>
      <c r="I57" s="73">
        <v>105.79</v>
      </c>
      <c r="J57" s="73">
        <v>105.79</v>
      </c>
      <c r="K57" s="71">
        <v>115.54</v>
      </c>
      <c r="L57" s="71">
        <v>104.46</v>
      </c>
      <c r="M57" s="71">
        <v>84.43</v>
      </c>
      <c r="N57" s="71">
        <v>73.56</v>
      </c>
      <c r="O57" s="71">
        <v>63.04</v>
      </c>
      <c r="P57" s="71">
        <v>63.71</v>
      </c>
      <c r="Q57" s="71">
        <v>52.74</v>
      </c>
      <c r="R57" s="71">
        <v>69.34</v>
      </c>
      <c r="S57" s="71">
        <v>67.95</v>
      </c>
      <c r="T57" s="71">
        <v>60.65</v>
      </c>
      <c r="U57" s="71">
        <v>65.81</v>
      </c>
      <c r="V57" s="71">
        <v>1</v>
      </c>
      <c r="W57" s="71">
        <v>1</v>
      </c>
      <c r="X57" s="71">
        <v>1</v>
      </c>
      <c r="Y57" s="71">
        <v>1</v>
      </c>
      <c r="Z57" s="71">
        <v>1</v>
      </c>
      <c r="AA57" s="71">
        <v>1</v>
      </c>
      <c r="AB57" s="71">
        <v>1</v>
      </c>
      <c r="AC57" s="71">
        <v>1</v>
      </c>
      <c r="AD57" s="71">
        <v>1</v>
      </c>
      <c r="AE57" s="71">
        <v>1</v>
      </c>
      <c r="AF57" s="71">
        <v>1</v>
      </c>
      <c r="AG57" s="71">
        <v>1</v>
      </c>
      <c r="AH57" s="71">
        <v>1</v>
      </c>
      <c r="AI57" s="72">
        <f t="shared" si="15"/>
        <v>105.79</v>
      </c>
      <c r="AJ57" s="72">
        <f t="shared" si="16"/>
        <v>105.79</v>
      </c>
      <c r="AK57" s="72">
        <f t="shared" si="17"/>
        <v>115.54</v>
      </c>
      <c r="AL57" s="72">
        <f t="shared" si="18"/>
        <v>104.46</v>
      </c>
      <c r="AM57" s="72">
        <f t="shared" si="19"/>
        <v>84.43</v>
      </c>
      <c r="AN57" s="72">
        <f t="shared" si="20"/>
        <v>73.56</v>
      </c>
      <c r="AO57" s="72">
        <f t="shared" si="21"/>
        <v>63.04</v>
      </c>
      <c r="AP57" s="72">
        <f t="shared" si="22"/>
        <v>63.71</v>
      </c>
      <c r="AQ57" s="72">
        <f t="shared" si="23"/>
        <v>52.74</v>
      </c>
      <c r="AR57" s="72">
        <f t="shared" si="24"/>
        <v>69.34</v>
      </c>
      <c r="AS57" s="72">
        <f t="shared" si="25"/>
        <v>67.95</v>
      </c>
      <c r="AT57" s="72">
        <f t="shared" si="26"/>
        <v>60.65</v>
      </c>
      <c r="AU57" s="72">
        <f t="shared" si="27"/>
        <v>65.81</v>
      </c>
    </row>
    <row r="58" spans="1:47" x14ac:dyDescent="0.25">
      <c r="A58" t="s">
        <v>76</v>
      </c>
      <c r="B58" t="s">
        <v>77</v>
      </c>
      <c r="C58" s="58">
        <v>31</v>
      </c>
      <c r="D58" s="58">
        <v>12</v>
      </c>
      <c r="E58" s="58">
        <v>2015</v>
      </c>
      <c r="F58" s="69" t="s">
        <v>212</v>
      </c>
      <c r="G58" s="69" t="s">
        <v>212</v>
      </c>
      <c r="H58" s="70">
        <f t="shared" si="14"/>
        <v>1</v>
      </c>
      <c r="I58" s="73">
        <v>61.65</v>
      </c>
      <c r="J58" s="73">
        <v>61.65</v>
      </c>
      <c r="K58" s="71">
        <v>62.66</v>
      </c>
      <c r="L58" s="71">
        <v>53.91</v>
      </c>
      <c r="M58" s="71">
        <v>45.47</v>
      </c>
      <c r="N58" s="71"/>
      <c r="O58" s="71"/>
      <c r="P58" s="71"/>
      <c r="Q58" s="71"/>
      <c r="R58" s="71"/>
      <c r="S58" s="71"/>
      <c r="T58" s="71"/>
      <c r="U58" s="71"/>
      <c r="V58" s="71">
        <v>1</v>
      </c>
      <c r="W58" s="71">
        <v>1</v>
      </c>
      <c r="X58" s="71">
        <v>1</v>
      </c>
      <c r="Y58" s="71">
        <v>1</v>
      </c>
      <c r="Z58" s="71">
        <v>1</v>
      </c>
      <c r="AA58" s="71">
        <v>1</v>
      </c>
      <c r="AB58" s="71">
        <v>1</v>
      </c>
      <c r="AC58" s="71">
        <v>1</v>
      </c>
      <c r="AD58" s="71">
        <v>1</v>
      </c>
      <c r="AE58" s="71">
        <v>1</v>
      </c>
      <c r="AF58" s="71">
        <v>1</v>
      </c>
      <c r="AG58" s="71">
        <v>1</v>
      </c>
      <c r="AH58" s="71">
        <v>1</v>
      </c>
      <c r="AI58" s="72">
        <f t="shared" si="15"/>
        <v>61.65</v>
      </c>
      <c r="AJ58" s="72">
        <f t="shared" si="16"/>
        <v>61.65</v>
      </c>
      <c r="AK58" s="72">
        <f t="shared" si="17"/>
        <v>62.66</v>
      </c>
      <c r="AL58" s="72">
        <f t="shared" si="18"/>
        <v>53.91</v>
      </c>
      <c r="AM58" s="72">
        <f t="shared" si="19"/>
        <v>45.47</v>
      </c>
      <c r="AN58" s="72">
        <f t="shared" si="20"/>
        <v>0</v>
      </c>
      <c r="AO58" s="72">
        <f t="shared" si="21"/>
        <v>0</v>
      </c>
      <c r="AP58" s="72">
        <f t="shared" si="22"/>
        <v>0</v>
      </c>
      <c r="AQ58" s="72">
        <f t="shared" si="23"/>
        <v>0</v>
      </c>
      <c r="AR58" s="72">
        <f t="shared" si="24"/>
        <v>0</v>
      </c>
      <c r="AS58" s="72">
        <f t="shared" si="25"/>
        <v>0</v>
      </c>
      <c r="AT58" s="72">
        <f t="shared" si="26"/>
        <v>0</v>
      </c>
      <c r="AU58" s="72">
        <f t="shared" si="27"/>
        <v>0</v>
      </c>
    </row>
    <row r="59" spans="1:47" x14ac:dyDescent="0.25">
      <c r="A59" t="s">
        <v>78</v>
      </c>
      <c r="B59" t="s">
        <v>79</v>
      </c>
      <c r="C59" s="58">
        <v>31</v>
      </c>
      <c r="D59" s="58">
        <v>12</v>
      </c>
      <c r="E59" s="58">
        <v>2015</v>
      </c>
      <c r="F59" s="69" t="s">
        <v>212</v>
      </c>
      <c r="G59" s="69" t="s">
        <v>212</v>
      </c>
      <c r="H59" s="70">
        <f t="shared" si="14"/>
        <v>1</v>
      </c>
      <c r="I59" s="73">
        <v>96.35</v>
      </c>
      <c r="J59" s="73">
        <v>96.35</v>
      </c>
      <c r="K59" s="71">
        <v>93.7</v>
      </c>
      <c r="L59" s="71">
        <v>97.03</v>
      </c>
      <c r="M59" s="71">
        <v>88.21</v>
      </c>
      <c r="N59" s="71">
        <v>100.33</v>
      </c>
      <c r="O59" s="71">
        <v>76.760000000000005</v>
      </c>
      <c r="P59" s="71">
        <v>62.44</v>
      </c>
      <c r="Q59" s="71">
        <v>62.19</v>
      </c>
      <c r="R59" s="71">
        <v>58.91</v>
      </c>
      <c r="S59" s="71">
        <v>44.4</v>
      </c>
      <c r="T59" s="71">
        <v>33.72</v>
      </c>
      <c r="U59" s="71">
        <v>32.06</v>
      </c>
      <c r="V59" s="71">
        <v>1</v>
      </c>
      <c r="W59" s="71">
        <v>1</v>
      </c>
      <c r="X59" s="71">
        <v>1</v>
      </c>
      <c r="Y59" s="71">
        <v>1</v>
      </c>
      <c r="Z59" s="71">
        <v>1</v>
      </c>
      <c r="AA59" s="71">
        <v>1</v>
      </c>
      <c r="AB59" s="71">
        <v>1</v>
      </c>
      <c r="AC59" s="71">
        <v>1</v>
      </c>
      <c r="AD59" s="71">
        <v>1</v>
      </c>
      <c r="AE59" s="71">
        <v>1</v>
      </c>
      <c r="AF59" s="71">
        <v>1</v>
      </c>
      <c r="AG59" s="71">
        <v>1</v>
      </c>
      <c r="AH59" s="71">
        <v>1</v>
      </c>
      <c r="AI59" s="72">
        <f t="shared" si="15"/>
        <v>96.35</v>
      </c>
      <c r="AJ59" s="72">
        <f t="shared" si="16"/>
        <v>96.35</v>
      </c>
      <c r="AK59" s="72">
        <f t="shared" si="17"/>
        <v>93.7</v>
      </c>
      <c r="AL59" s="72">
        <f t="shared" si="18"/>
        <v>97.03</v>
      </c>
      <c r="AM59" s="72">
        <f t="shared" si="19"/>
        <v>88.21</v>
      </c>
      <c r="AN59" s="72">
        <f t="shared" si="20"/>
        <v>100.33</v>
      </c>
      <c r="AO59" s="72">
        <f t="shared" si="21"/>
        <v>76.760000000000005</v>
      </c>
      <c r="AP59" s="72">
        <f t="shared" si="22"/>
        <v>62.44</v>
      </c>
      <c r="AQ59" s="72">
        <f t="shared" si="23"/>
        <v>62.19</v>
      </c>
      <c r="AR59" s="72">
        <f t="shared" si="24"/>
        <v>58.91</v>
      </c>
      <c r="AS59" s="72">
        <f t="shared" si="25"/>
        <v>44.4</v>
      </c>
      <c r="AT59" s="72">
        <f t="shared" si="26"/>
        <v>33.72</v>
      </c>
      <c r="AU59" s="72">
        <f t="shared" si="27"/>
        <v>32.06</v>
      </c>
    </row>
    <row r="60" spans="1:47" x14ac:dyDescent="0.25">
      <c r="A60" t="s">
        <v>80</v>
      </c>
      <c r="B60" t="s">
        <v>81</v>
      </c>
      <c r="C60" s="58">
        <v>31</v>
      </c>
      <c r="D60" s="58">
        <v>12</v>
      </c>
      <c r="E60" s="58">
        <v>2015</v>
      </c>
      <c r="F60" s="69" t="s">
        <v>212</v>
      </c>
      <c r="G60" s="69" t="s">
        <v>212</v>
      </c>
      <c r="H60" s="70">
        <f t="shared" si="14"/>
        <v>1</v>
      </c>
      <c r="I60" s="73">
        <v>56.2</v>
      </c>
      <c r="J60" s="73">
        <v>56.2</v>
      </c>
      <c r="K60" s="71">
        <v>56.79</v>
      </c>
      <c r="L60" s="71">
        <v>50.05</v>
      </c>
      <c r="M60" s="71">
        <v>40.94</v>
      </c>
      <c r="N60" s="71">
        <v>37.700000000000003</v>
      </c>
      <c r="O60" s="71">
        <v>36.04</v>
      </c>
      <c r="P60" s="71">
        <v>36.54</v>
      </c>
      <c r="Q60" s="71">
        <v>30.4</v>
      </c>
      <c r="R60" s="71">
        <v>58.11</v>
      </c>
      <c r="S60" s="71">
        <v>43.59</v>
      </c>
      <c r="T60" s="71">
        <v>31.81</v>
      </c>
      <c r="U60" s="71">
        <v>32.14</v>
      </c>
      <c r="V60" s="71">
        <v>1</v>
      </c>
      <c r="W60" s="71">
        <v>1</v>
      </c>
      <c r="X60" s="71">
        <v>1</v>
      </c>
      <c r="Y60" s="71">
        <v>1</v>
      </c>
      <c r="Z60" s="71">
        <v>1</v>
      </c>
      <c r="AA60" s="71">
        <v>1</v>
      </c>
      <c r="AB60" s="71">
        <v>1</v>
      </c>
      <c r="AC60" s="71">
        <v>1</v>
      </c>
      <c r="AD60" s="71">
        <v>1</v>
      </c>
      <c r="AE60" s="71">
        <v>1</v>
      </c>
      <c r="AF60" s="71">
        <v>1</v>
      </c>
      <c r="AG60" s="71">
        <v>1</v>
      </c>
      <c r="AH60" s="71">
        <v>1</v>
      </c>
      <c r="AI60" s="72">
        <f t="shared" si="15"/>
        <v>56.2</v>
      </c>
      <c r="AJ60" s="72">
        <f t="shared" si="16"/>
        <v>56.2</v>
      </c>
      <c r="AK60" s="72">
        <f t="shared" si="17"/>
        <v>56.79</v>
      </c>
      <c r="AL60" s="72">
        <f t="shared" si="18"/>
        <v>50.05</v>
      </c>
      <c r="AM60" s="72">
        <f t="shared" si="19"/>
        <v>40.94</v>
      </c>
      <c r="AN60" s="72">
        <f t="shared" si="20"/>
        <v>37.700000000000003</v>
      </c>
      <c r="AO60" s="72">
        <f t="shared" si="21"/>
        <v>36.04</v>
      </c>
      <c r="AP60" s="72">
        <f t="shared" si="22"/>
        <v>36.54</v>
      </c>
      <c r="AQ60" s="72">
        <f t="shared" si="23"/>
        <v>30.4</v>
      </c>
      <c r="AR60" s="72">
        <f t="shared" si="24"/>
        <v>58.11</v>
      </c>
      <c r="AS60" s="72">
        <f t="shared" si="25"/>
        <v>43.59</v>
      </c>
      <c r="AT60" s="72">
        <f t="shared" si="26"/>
        <v>31.81</v>
      </c>
      <c r="AU60" s="72">
        <f t="shared" si="27"/>
        <v>32.14</v>
      </c>
    </row>
    <row r="61" spans="1:47" x14ac:dyDescent="0.25">
      <c r="A61" s="54" t="s">
        <v>82</v>
      </c>
      <c r="B61" t="s">
        <v>83</v>
      </c>
      <c r="C61" s="58">
        <v>30</v>
      </c>
      <c r="D61" s="58">
        <v>6</v>
      </c>
      <c r="E61" s="58">
        <v>2015</v>
      </c>
      <c r="F61" s="69" t="s">
        <v>212</v>
      </c>
      <c r="G61" s="69" t="s">
        <v>212</v>
      </c>
      <c r="H61" s="70">
        <f t="shared" si="14"/>
        <v>1</v>
      </c>
      <c r="I61" s="73">
        <v>41.38</v>
      </c>
      <c r="J61" s="73">
        <v>41.38</v>
      </c>
      <c r="K61" s="71">
        <v>41.7</v>
      </c>
      <c r="L61" s="71">
        <v>34.545000000000002</v>
      </c>
      <c r="M61" s="71">
        <v>30.59</v>
      </c>
      <c r="N61" s="71">
        <v>26</v>
      </c>
      <c r="O61" s="71">
        <v>23.01</v>
      </c>
      <c r="P61" s="71">
        <v>23.77</v>
      </c>
      <c r="Q61" s="71">
        <v>27.51</v>
      </c>
      <c r="R61" s="71">
        <v>29.47</v>
      </c>
      <c r="S61" s="71">
        <v>23.3</v>
      </c>
      <c r="T61" s="71">
        <v>24.84</v>
      </c>
      <c r="U61" s="71">
        <v>28.56</v>
      </c>
      <c r="V61" s="71">
        <v>1</v>
      </c>
      <c r="W61" s="71">
        <v>1</v>
      </c>
      <c r="X61" s="71">
        <v>1</v>
      </c>
      <c r="Y61" s="71">
        <v>1</v>
      </c>
      <c r="Z61" s="71">
        <v>1</v>
      </c>
      <c r="AA61" s="71">
        <v>1</v>
      </c>
      <c r="AB61" s="71">
        <v>1</v>
      </c>
      <c r="AC61" s="71">
        <v>1</v>
      </c>
      <c r="AD61" s="71">
        <v>1</v>
      </c>
      <c r="AE61" s="71">
        <v>1</v>
      </c>
      <c r="AF61" s="71">
        <v>1</v>
      </c>
      <c r="AG61" s="71">
        <v>1</v>
      </c>
      <c r="AH61" s="71">
        <v>1</v>
      </c>
      <c r="AI61" s="72">
        <f t="shared" si="15"/>
        <v>41.38</v>
      </c>
      <c r="AJ61" s="72">
        <f t="shared" si="16"/>
        <v>41.38</v>
      </c>
      <c r="AK61" s="72">
        <f t="shared" si="17"/>
        <v>41.7</v>
      </c>
      <c r="AL61" s="72">
        <f t="shared" si="18"/>
        <v>34.545000000000002</v>
      </c>
      <c r="AM61" s="72">
        <f t="shared" si="19"/>
        <v>30.59</v>
      </c>
      <c r="AN61" s="72">
        <f t="shared" si="20"/>
        <v>26</v>
      </c>
      <c r="AO61" s="72">
        <f t="shared" si="21"/>
        <v>23.01</v>
      </c>
      <c r="AP61" s="72">
        <f t="shared" si="22"/>
        <v>23.77</v>
      </c>
      <c r="AQ61" s="72">
        <f t="shared" si="23"/>
        <v>27.51</v>
      </c>
      <c r="AR61" s="72">
        <f t="shared" si="24"/>
        <v>29.47</v>
      </c>
      <c r="AS61" s="72">
        <f t="shared" si="25"/>
        <v>23.3</v>
      </c>
      <c r="AT61" s="72">
        <f t="shared" si="26"/>
        <v>24.84</v>
      </c>
      <c r="AU61" s="72">
        <f t="shared" si="27"/>
        <v>28.56</v>
      </c>
    </row>
    <row r="62" spans="1:47" x14ac:dyDescent="0.25">
      <c r="A62" t="s">
        <v>84</v>
      </c>
      <c r="B62" t="s">
        <v>85</v>
      </c>
      <c r="C62" s="58">
        <v>31</v>
      </c>
      <c r="D62" s="58">
        <v>12</v>
      </c>
      <c r="E62" s="58">
        <v>2015</v>
      </c>
      <c r="F62" s="69" t="s">
        <v>212</v>
      </c>
      <c r="G62" s="69" t="s">
        <v>212</v>
      </c>
      <c r="H62" s="70">
        <f t="shared" si="14"/>
        <v>1</v>
      </c>
      <c r="I62" s="73">
        <v>34.51</v>
      </c>
      <c r="J62" s="73">
        <v>34.51</v>
      </c>
      <c r="K62" s="71">
        <v>36.325000000000003</v>
      </c>
      <c r="L62" s="71">
        <v>35.299999999999997</v>
      </c>
      <c r="M62" s="75">
        <v>12.9</v>
      </c>
      <c r="N62" s="75">
        <v>18.138999999999999</v>
      </c>
      <c r="O62" s="75">
        <v>4.9779999999999998</v>
      </c>
      <c r="P62" s="75">
        <v>7.5809999999999995</v>
      </c>
      <c r="Q62" s="75">
        <v>1.242</v>
      </c>
      <c r="R62" s="71"/>
      <c r="S62" s="71"/>
      <c r="T62" s="71"/>
      <c r="U62" s="71"/>
      <c r="V62" s="71">
        <v>1</v>
      </c>
      <c r="W62" s="71">
        <v>1</v>
      </c>
      <c r="X62" s="71">
        <v>1</v>
      </c>
      <c r="Y62" s="71">
        <v>1</v>
      </c>
      <c r="Z62" s="71">
        <v>1</v>
      </c>
      <c r="AA62" s="71">
        <v>1</v>
      </c>
      <c r="AB62" s="71">
        <v>1</v>
      </c>
      <c r="AC62" s="71">
        <v>1</v>
      </c>
      <c r="AD62" s="71">
        <v>1</v>
      </c>
      <c r="AE62" s="71">
        <v>1</v>
      </c>
      <c r="AF62" s="71">
        <v>1</v>
      </c>
      <c r="AG62" s="71">
        <v>1</v>
      </c>
      <c r="AH62" s="71">
        <v>1</v>
      </c>
      <c r="AI62" s="72">
        <f t="shared" si="15"/>
        <v>34.51</v>
      </c>
      <c r="AJ62" s="72">
        <f t="shared" si="16"/>
        <v>34.51</v>
      </c>
      <c r="AK62" s="72">
        <f t="shared" si="17"/>
        <v>36.325000000000003</v>
      </c>
      <c r="AL62" s="72">
        <f t="shared" si="18"/>
        <v>35.299999999999997</v>
      </c>
      <c r="AM62" s="72">
        <f t="shared" si="19"/>
        <v>12.9</v>
      </c>
      <c r="AN62" s="72">
        <f t="shared" si="20"/>
        <v>18.138999999999999</v>
      </c>
      <c r="AO62" s="72">
        <f t="shared" si="21"/>
        <v>4.9779999999999998</v>
      </c>
      <c r="AP62" s="72">
        <f t="shared" si="22"/>
        <v>7.5809999999999995</v>
      </c>
      <c r="AQ62" s="72">
        <f t="shared" si="23"/>
        <v>1.242</v>
      </c>
      <c r="AR62" s="72">
        <f t="shared" si="24"/>
        <v>0</v>
      </c>
      <c r="AS62" s="72">
        <f t="shared" si="25"/>
        <v>0</v>
      </c>
      <c r="AT62" s="72">
        <f t="shared" si="26"/>
        <v>0</v>
      </c>
      <c r="AU62" s="72">
        <f t="shared" si="27"/>
        <v>0</v>
      </c>
    </row>
    <row r="63" spans="1:47" x14ac:dyDescent="0.25">
      <c r="A63" s="54" t="s">
        <v>86</v>
      </c>
      <c r="B63" t="s">
        <v>87</v>
      </c>
      <c r="C63" s="58">
        <v>31</v>
      </c>
      <c r="D63" s="58">
        <v>8</v>
      </c>
      <c r="E63" s="58">
        <v>2015</v>
      </c>
      <c r="F63" s="69" t="s">
        <v>212</v>
      </c>
      <c r="G63" s="69" t="s">
        <v>212</v>
      </c>
      <c r="H63" s="70">
        <f t="shared" si="14"/>
        <v>1</v>
      </c>
      <c r="I63" s="73">
        <v>116.87</v>
      </c>
      <c r="J63" s="73">
        <v>116.87</v>
      </c>
      <c r="K63" s="71">
        <v>115.65</v>
      </c>
      <c r="L63" s="71">
        <v>97.89</v>
      </c>
      <c r="M63" s="71">
        <v>87.11</v>
      </c>
      <c r="N63" s="71">
        <v>68.930000000000007</v>
      </c>
      <c r="O63" s="71">
        <v>52.65</v>
      </c>
      <c r="P63" s="71">
        <v>83.88</v>
      </c>
      <c r="Q63" s="71">
        <v>114.25</v>
      </c>
      <c r="R63" s="71">
        <v>69.739999999999995</v>
      </c>
      <c r="S63" s="71">
        <v>47.42</v>
      </c>
      <c r="T63" s="71">
        <v>31.85</v>
      </c>
      <c r="U63" s="71">
        <v>18.3</v>
      </c>
      <c r="V63" s="71">
        <v>1</v>
      </c>
      <c r="W63" s="71">
        <v>1</v>
      </c>
      <c r="X63" s="71">
        <v>1</v>
      </c>
      <c r="Y63" s="71">
        <v>1</v>
      </c>
      <c r="Z63" s="71">
        <v>1</v>
      </c>
      <c r="AA63" s="71">
        <v>1</v>
      </c>
      <c r="AB63" s="71">
        <v>1</v>
      </c>
      <c r="AC63" s="71">
        <v>1</v>
      </c>
      <c r="AD63" s="71">
        <v>1</v>
      </c>
      <c r="AE63" s="71">
        <v>1</v>
      </c>
      <c r="AF63" s="71">
        <v>1</v>
      </c>
      <c r="AG63" s="71">
        <v>1</v>
      </c>
      <c r="AH63" s="71">
        <v>1</v>
      </c>
      <c r="AI63" s="72">
        <f t="shared" si="15"/>
        <v>116.87</v>
      </c>
      <c r="AJ63" s="72">
        <f t="shared" si="16"/>
        <v>116.87</v>
      </c>
      <c r="AK63" s="72">
        <f t="shared" si="17"/>
        <v>115.65</v>
      </c>
      <c r="AL63" s="72">
        <f t="shared" si="18"/>
        <v>97.89</v>
      </c>
      <c r="AM63" s="72">
        <f t="shared" si="19"/>
        <v>87.11</v>
      </c>
      <c r="AN63" s="72">
        <f t="shared" si="20"/>
        <v>68.930000000000007</v>
      </c>
      <c r="AO63" s="72">
        <f t="shared" si="21"/>
        <v>52.65</v>
      </c>
      <c r="AP63" s="72">
        <f t="shared" si="22"/>
        <v>83.88</v>
      </c>
      <c r="AQ63" s="72">
        <f t="shared" si="23"/>
        <v>114.25</v>
      </c>
      <c r="AR63" s="72">
        <f t="shared" si="24"/>
        <v>69.739999999999995</v>
      </c>
      <c r="AS63" s="72">
        <f t="shared" si="25"/>
        <v>47.42</v>
      </c>
      <c r="AT63" s="72">
        <f t="shared" si="26"/>
        <v>31.85</v>
      </c>
      <c r="AU63" s="72">
        <f t="shared" si="27"/>
        <v>18.3</v>
      </c>
    </row>
    <row r="64" spans="1:47" x14ac:dyDescent="0.25">
      <c r="A64" s="54" t="s">
        <v>88</v>
      </c>
      <c r="B64" t="s">
        <v>89</v>
      </c>
      <c r="C64" s="58">
        <v>31</v>
      </c>
      <c r="D64" s="58">
        <v>5</v>
      </c>
      <c r="E64" s="58">
        <v>2015</v>
      </c>
      <c r="F64" s="69" t="s">
        <v>212</v>
      </c>
      <c r="G64" s="69" t="s">
        <v>212</v>
      </c>
      <c r="H64" s="70">
        <f t="shared" si="14"/>
        <v>1</v>
      </c>
      <c r="I64" s="73">
        <v>42.38</v>
      </c>
      <c r="J64" s="73">
        <v>42.38</v>
      </c>
      <c r="K64" s="71">
        <v>42.02</v>
      </c>
      <c r="L64" s="71">
        <v>33.78</v>
      </c>
      <c r="M64" s="71">
        <v>26.47</v>
      </c>
      <c r="N64" s="71">
        <v>34.22</v>
      </c>
      <c r="O64" s="71">
        <v>22.57</v>
      </c>
      <c r="P64" s="71">
        <v>19.59</v>
      </c>
      <c r="Q64" s="71">
        <v>22.84</v>
      </c>
      <c r="R64" s="71">
        <v>19.38</v>
      </c>
      <c r="S64" s="71">
        <v>14.22</v>
      </c>
      <c r="T64" s="71">
        <v>12.8</v>
      </c>
      <c r="U64" s="71">
        <v>11.4</v>
      </c>
      <c r="V64" s="71">
        <v>1</v>
      </c>
      <c r="W64" s="71">
        <v>1</v>
      </c>
      <c r="X64" s="71">
        <v>1</v>
      </c>
      <c r="Y64" s="71">
        <v>1</v>
      </c>
      <c r="Z64" s="71">
        <v>1</v>
      </c>
      <c r="AA64" s="71">
        <v>1</v>
      </c>
      <c r="AB64" s="71">
        <v>1</v>
      </c>
      <c r="AC64" s="71">
        <v>1</v>
      </c>
      <c r="AD64" s="71">
        <v>1</v>
      </c>
      <c r="AE64" s="71">
        <v>1</v>
      </c>
      <c r="AF64" s="71">
        <v>1</v>
      </c>
      <c r="AG64" s="71">
        <v>1</v>
      </c>
      <c r="AH64" s="71">
        <v>1</v>
      </c>
      <c r="AI64" s="72">
        <f t="shared" si="15"/>
        <v>42.38</v>
      </c>
      <c r="AJ64" s="72">
        <f t="shared" si="16"/>
        <v>42.38</v>
      </c>
      <c r="AK64" s="72">
        <f t="shared" si="17"/>
        <v>42.02</v>
      </c>
      <c r="AL64" s="72">
        <f t="shared" si="18"/>
        <v>33.78</v>
      </c>
      <c r="AM64" s="72">
        <f t="shared" si="19"/>
        <v>26.47</v>
      </c>
      <c r="AN64" s="72">
        <f t="shared" si="20"/>
        <v>34.22</v>
      </c>
      <c r="AO64" s="72">
        <f t="shared" si="21"/>
        <v>22.57</v>
      </c>
      <c r="AP64" s="72">
        <f t="shared" si="22"/>
        <v>19.59</v>
      </c>
      <c r="AQ64" s="72">
        <f t="shared" si="23"/>
        <v>22.84</v>
      </c>
      <c r="AR64" s="72">
        <f t="shared" si="24"/>
        <v>19.38</v>
      </c>
      <c r="AS64" s="72">
        <f t="shared" si="25"/>
        <v>14.22</v>
      </c>
      <c r="AT64" s="72">
        <f t="shared" si="26"/>
        <v>12.8</v>
      </c>
      <c r="AU64" s="72">
        <f t="shared" si="27"/>
        <v>11.4</v>
      </c>
    </row>
    <row r="65" spans="1:47" x14ac:dyDescent="0.25">
      <c r="A65" t="s">
        <v>90</v>
      </c>
      <c r="B65" t="s">
        <v>91</v>
      </c>
      <c r="C65" s="58">
        <v>31</v>
      </c>
      <c r="D65" s="58">
        <v>12</v>
      </c>
      <c r="E65" s="58">
        <v>2015</v>
      </c>
      <c r="F65" s="69" t="s">
        <v>212</v>
      </c>
      <c r="G65" s="69" t="s">
        <v>212</v>
      </c>
      <c r="H65" s="70">
        <f t="shared" si="14"/>
        <v>1</v>
      </c>
      <c r="I65" s="73">
        <v>94.32</v>
      </c>
      <c r="J65" s="73">
        <v>94.32</v>
      </c>
      <c r="K65" s="71">
        <v>94.56</v>
      </c>
      <c r="L65" s="71">
        <v>82.94</v>
      </c>
      <c r="M65" s="71">
        <v>68.430000000000007</v>
      </c>
      <c r="N65" s="71">
        <v>66.349999999999994</v>
      </c>
      <c r="O65" s="71">
        <v>65.33</v>
      </c>
      <c r="P65" s="71">
        <v>60.8</v>
      </c>
      <c r="Q65" s="71">
        <v>54.77</v>
      </c>
      <c r="R65" s="71">
        <v>75.900000000000006</v>
      </c>
      <c r="S65" s="71">
        <v>62.66</v>
      </c>
      <c r="T65" s="71">
        <v>59.34</v>
      </c>
      <c r="U65" s="71">
        <v>52.2</v>
      </c>
      <c r="V65" s="71">
        <v>1</v>
      </c>
      <c r="W65" s="71">
        <v>1</v>
      </c>
      <c r="X65" s="71">
        <v>1</v>
      </c>
      <c r="Y65" s="71">
        <v>1</v>
      </c>
      <c r="Z65" s="71">
        <v>1</v>
      </c>
      <c r="AA65" s="71">
        <v>1</v>
      </c>
      <c r="AB65" s="71">
        <v>1</v>
      </c>
      <c r="AC65" s="71">
        <v>1</v>
      </c>
      <c r="AD65" s="71">
        <v>1</v>
      </c>
      <c r="AE65" s="71">
        <v>1</v>
      </c>
      <c r="AF65" s="71">
        <v>1</v>
      </c>
      <c r="AG65" s="71">
        <v>1</v>
      </c>
      <c r="AH65" s="71">
        <v>1</v>
      </c>
      <c r="AI65" s="72">
        <f t="shared" si="15"/>
        <v>94.32</v>
      </c>
      <c r="AJ65" s="72">
        <f t="shared" si="16"/>
        <v>94.32</v>
      </c>
      <c r="AK65" s="72">
        <f t="shared" si="17"/>
        <v>94.56</v>
      </c>
      <c r="AL65" s="72">
        <f t="shared" si="18"/>
        <v>82.94</v>
      </c>
      <c r="AM65" s="72">
        <f t="shared" si="19"/>
        <v>68.430000000000007</v>
      </c>
      <c r="AN65" s="72">
        <f t="shared" si="20"/>
        <v>66.349999999999994</v>
      </c>
      <c r="AO65" s="72">
        <f t="shared" si="21"/>
        <v>65.33</v>
      </c>
      <c r="AP65" s="72">
        <f t="shared" si="22"/>
        <v>60.8</v>
      </c>
      <c r="AQ65" s="72">
        <f t="shared" si="23"/>
        <v>54.77</v>
      </c>
      <c r="AR65" s="72">
        <f t="shared" si="24"/>
        <v>75.900000000000006</v>
      </c>
      <c r="AS65" s="72">
        <f t="shared" si="25"/>
        <v>62.66</v>
      </c>
      <c r="AT65" s="72">
        <f t="shared" si="26"/>
        <v>59.34</v>
      </c>
      <c r="AU65" s="72">
        <f t="shared" si="27"/>
        <v>52.2</v>
      </c>
    </row>
    <row r="66" spans="1:47" x14ac:dyDescent="0.25">
      <c r="A66" t="s">
        <v>92</v>
      </c>
      <c r="B66" t="s">
        <v>93</v>
      </c>
      <c r="C66" s="58">
        <v>31</v>
      </c>
      <c r="D66" s="58">
        <v>12</v>
      </c>
      <c r="E66" s="58">
        <v>2015</v>
      </c>
      <c r="F66" s="69" t="s">
        <v>212</v>
      </c>
      <c r="G66" s="69" t="s">
        <v>212</v>
      </c>
      <c r="H66" s="70">
        <f t="shared" si="14"/>
        <v>1</v>
      </c>
      <c r="I66" s="73">
        <v>34</v>
      </c>
      <c r="J66" s="73">
        <v>34</v>
      </c>
      <c r="K66" s="71">
        <v>31.15</v>
      </c>
      <c r="L66" s="71">
        <v>30.63</v>
      </c>
      <c r="M66" s="71">
        <v>25.0793</v>
      </c>
      <c r="N66" s="71">
        <v>21.64</v>
      </c>
      <c r="O66" s="71">
        <v>17.510000000000002</v>
      </c>
      <c r="P66" s="71">
        <v>18.190000000000001</v>
      </c>
      <c r="Q66" s="71">
        <v>17.71</v>
      </c>
      <c r="R66" s="71">
        <v>22.73</v>
      </c>
      <c r="S66" s="71">
        <v>25.97</v>
      </c>
      <c r="T66" s="71">
        <v>23.32</v>
      </c>
      <c r="U66" s="71">
        <v>26.89</v>
      </c>
      <c r="V66" s="71">
        <v>1</v>
      </c>
      <c r="W66" s="71">
        <v>1</v>
      </c>
      <c r="X66" s="71">
        <v>1</v>
      </c>
      <c r="Y66" s="71">
        <v>1</v>
      </c>
      <c r="Z66" s="71">
        <v>1</v>
      </c>
      <c r="AA66" s="71">
        <v>1</v>
      </c>
      <c r="AB66" s="71">
        <v>1</v>
      </c>
      <c r="AC66" s="71">
        <v>1</v>
      </c>
      <c r="AD66" s="71">
        <v>1</v>
      </c>
      <c r="AE66" s="71">
        <v>1</v>
      </c>
      <c r="AF66" s="71">
        <v>1</v>
      </c>
      <c r="AG66" s="71">
        <v>1</v>
      </c>
      <c r="AH66" s="71">
        <v>1</v>
      </c>
      <c r="AI66" s="72">
        <f t="shared" si="15"/>
        <v>34</v>
      </c>
      <c r="AJ66" s="72">
        <f t="shared" si="16"/>
        <v>34</v>
      </c>
      <c r="AK66" s="72">
        <f t="shared" si="17"/>
        <v>31.15</v>
      </c>
      <c r="AL66" s="72">
        <f t="shared" si="18"/>
        <v>30.63</v>
      </c>
      <c r="AM66" s="72">
        <f t="shared" si="19"/>
        <v>25.0793</v>
      </c>
      <c r="AN66" s="72">
        <f t="shared" si="20"/>
        <v>21.64</v>
      </c>
      <c r="AO66" s="72">
        <f t="shared" si="21"/>
        <v>17.510000000000002</v>
      </c>
      <c r="AP66" s="72">
        <f t="shared" si="22"/>
        <v>18.190000000000001</v>
      </c>
      <c r="AQ66" s="72">
        <f t="shared" si="23"/>
        <v>17.71</v>
      </c>
      <c r="AR66" s="72">
        <f t="shared" si="24"/>
        <v>22.73</v>
      </c>
      <c r="AS66" s="72">
        <f t="shared" si="25"/>
        <v>25.97</v>
      </c>
      <c r="AT66" s="72">
        <f t="shared" si="26"/>
        <v>23.32</v>
      </c>
      <c r="AU66" s="72">
        <f t="shared" si="27"/>
        <v>26.89</v>
      </c>
    </row>
    <row r="67" spans="1:47" x14ac:dyDescent="0.25">
      <c r="A67" t="s">
        <v>94</v>
      </c>
      <c r="B67" t="s">
        <v>95</v>
      </c>
      <c r="C67" s="58">
        <v>31</v>
      </c>
      <c r="D67" s="58">
        <v>12</v>
      </c>
      <c r="E67" s="58">
        <v>2015</v>
      </c>
      <c r="F67" s="69" t="s">
        <v>212</v>
      </c>
      <c r="G67" s="69" t="s">
        <v>212</v>
      </c>
      <c r="H67" s="70">
        <f t="shared" si="14"/>
        <v>1</v>
      </c>
      <c r="I67" s="73">
        <v>77.650000000000006</v>
      </c>
      <c r="J67" s="73">
        <v>77.650000000000006</v>
      </c>
      <c r="K67" s="71">
        <v>81.45</v>
      </c>
      <c r="L67" s="71">
        <v>87.13</v>
      </c>
      <c r="M67" s="71">
        <v>83.64</v>
      </c>
      <c r="N67" s="71">
        <v>78.48</v>
      </c>
      <c r="O67" s="71">
        <v>58.53</v>
      </c>
      <c r="P67" s="71">
        <v>48.19</v>
      </c>
      <c r="Q67" s="71">
        <v>43.51</v>
      </c>
      <c r="R67" s="71"/>
      <c r="S67" s="71"/>
      <c r="T67" s="71"/>
      <c r="U67" s="71"/>
      <c r="V67" s="71">
        <v>1</v>
      </c>
      <c r="W67" s="71">
        <v>1</v>
      </c>
      <c r="X67" s="71">
        <v>1</v>
      </c>
      <c r="Y67" s="71">
        <v>1</v>
      </c>
      <c r="Z67" s="71">
        <v>1</v>
      </c>
      <c r="AA67" s="71">
        <v>1</v>
      </c>
      <c r="AB67" s="71">
        <v>1</v>
      </c>
      <c r="AC67" s="71">
        <v>1</v>
      </c>
      <c r="AD67" s="71">
        <v>1</v>
      </c>
      <c r="AE67" s="71">
        <v>1</v>
      </c>
      <c r="AF67" s="71">
        <v>1</v>
      </c>
      <c r="AG67" s="71">
        <v>1</v>
      </c>
      <c r="AH67" s="71">
        <v>1</v>
      </c>
      <c r="AI67" s="72">
        <f t="shared" si="15"/>
        <v>77.650000000000006</v>
      </c>
      <c r="AJ67" s="72">
        <f t="shared" si="16"/>
        <v>77.650000000000006</v>
      </c>
      <c r="AK67" s="72">
        <f t="shared" si="17"/>
        <v>81.45</v>
      </c>
      <c r="AL67" s="72">
        <f t="shared" si="18"/>
        <v>87.13</v>
      </c>
      <c r="AM67" s="72">
        <f t="shared" si="19"/>
        <v>83.64</v>
      </c>
      <c r="AN67" s="72">
        <f t="shared" si="20"/>
        <v>78.48</v>
      </c>
      <c r="AO67" s="72">
        <f t="shared" si="21"/>
        <v>58.53</v>
      </c>
      <c r="AP67" s="72">
        <f t="shared" si="22"/>
        <v>48.19</v>
      </c>
      <c r="AQ67" s="72">
        <f t="shared" si="23"/>
        <v>43.51</v>
      </c>
      <c r="AR67" s="72">
        <f t="shared" si="24"/>
        <v>0</v>
      </c>
      <c r="AS67" s="72">
        <f t="shared" si="25"/>
        <v>0</v>
      </c>
      <c r="AT67" s="72">
        <f t="shared" si="26"/>
        <v>0</v>
      </c>
      <c r="AU67" s="72">
        <f t="shared" si="27"/>
        <v>0</v>
      </c>
    </row>
    <row r="68" spans="1:47" x14ac:dyDescent="0.25">
      <c r="A68" s="54" t="s">
        <v>96</v>
      </c>
      <c r="B68" t="s">
        <v>97</v>
      </c>
      <c r="C68" s="58">
        <v>30</v>
      </c>
      <c r="D68" s="58">
        <v>6</v>
      </c>
      <c r="E68" s="58">
        <v>2015</v>
      </c>
      <c r="F68" s="69" t="s">
        <v>212</v>
      </c>
      <c r="G68" s="69" t="s">
        <v>212</v>
      </c>
      <c r="H68" s="70">
        <f t="shared" si="14"/>
        <v>1</v>
      </c>
      <c r="I68" s="73">
        <v>81.83</v>
      </c>
      <c r="J68" s="73">
        <v>81.83</v>
      </c>
      <c r="K68" s="71">
        <v>78.59</v>
      </c>
      <c r="L68" s="71">
        <v>76.989999999999995</v>
      </c>
      <c r="M68" s="71">
        <v>61.25</v>
      </c>
      <c r="N68" s="71">
        <v>63.57</v>
      </c>
      <c r="O68" s="71">
        <v>59.98</v>
      </c>
      <c r="P68" s="71">
        <v>51.1</v>
      </c>
      <c r="Q68" s="71">
        <v>60.81</v>
      </c>
      <c r="R68" s="71">
        <v>61.19</v>
      </c>
      <c r="S68" s="71">
        <v>56.65</v>
      </c>
      <c r="T68" s="71">
        <v>52.75</v>
      </c>
      <c r="U68" s="71">
        <v>54.44</v>
      </c>
      <c r="V68" s="71">
        <v>1</v>
      </c>
      <c r="W68" s="71">
        <v>1</v>
      </c>
      <c r="X68" s="71">
        <v>1</v>
      </c>
      <c r="Y68" s="71">
        <v>1</v>
      </c>
      <c r="Z68" s="71">
        <v>1</v>
      </c>
      <c r="AA68" s="71">
        <v>1</v>
      </c>
      <c r="AB68" s="71">
        <v>1</v>
      </c>
      <c r="AC68" s="71">
        <v>1</v>
      </c>
      <c r="AD68" s="71">
        <v>1</v>
      </c>
      <c r="AE68" s="71">
        <v>1</v>
      </c>
      <c r="AF68" s="71">
        <v>1</v>
      </c>
      <c r="AG68" s="71">
        <v>1</v>
      </c>
      <c r="AH68" s="71">
        <v>1</v>
      </c>
      <c r="AI68" s="72">
        <f t="shared" si="15"/>
        <v>81.83</v>
      </c>
      <c r="AJ68" s="72">
        <f t="shared" si="16"/>
        <v>81.83</v>
      </c>
      <c r="AK68" s="72">
        <f t="shared" si="17"/>
        <v>78.59</v>
      </c>
      <c r="AL68" s="72">
        <f t="shared" si="18"/>
        <v>76.989999999999995</v>
      </c>
      <c r="AM68" s="72">
        <f t="shared" si="19"/>
        <v>61.25</v>
      </c>
      <c r="AN68" s="72">
        <f t="shared" si="20"/>
        <v>63.57</v>
      </c>
      <c r="AO68" s="72">
        <f t="shared" si="21"/>
        <v>59.98</v>
      </c>
      <c r="AP68" s="72">
        <f t="shared" si="22"/>
        <v>51.1</v>
      </c>
      <c r="AQ68" s="72">
        <f t="shared" si="23"/>
        <v>60.81</v>
      </c>
      <c r="AR68" s="72">
        <f t="shared" si="24"/>
        <v>61.19</v>
      </c>
      <c r="AS68" s="72">
        <f t="shared" si="25"/>
        <v>56.65</v>
      </c>
      <c r="AT68" s="72">
        <f t="shared" si="26"/>
        <v>52.75</v>
      </c>
      <c r="AU68" s="72">
        <f t="shared" si="27"/>
        <v>54.44</v>
      </c>
    </row>
    <row r="69" spans="1:47" x14ac:dyDescent="0.25">
      <c r="A69" t="s">
        <v>98</v>
      </c>
      <c r="B69" t="s">
        <v>99</v>
      </c>
      <c r="C69" s="58">
        <v>31</v>
      </c>
      <c r="D69" s="58">
        <v>12</v>
      </c>
      <c r="E69" s="58">
        <v>2015</v>
      </c>
      <c r="F69" s="69" t="s">
        <v>212</v>
      </c>
      <c r="G69" s="69" t="s">
        <v>212</v>
      </c>
      <c r="H69" s="70">
        <f t="shared" si="14"/>
        <v>1</v>
      </c>
      <c r="I69" s="73">
        <v>48.84</v>
      </c>
      <c r="J69" s="73">
        <v>48.84</v>
      </c>
      <c r="K69" s="71">
        <v>46.78</v>
      </c>
      <c r="L69" s="71">
        <v>49.14</v>
      </c>
      <c r="M69" s="71">
        <v>43.27</v>
      </c>
      <c r="N69" s="71">
        <v>40.119999999999997</v>
      </c>
      <c r="O69" s="71">
        <v>35.78</v>
      </c>
      <c r="P69" s="71">
        <v>33.130000000000003</v>
      </c>
      <c r="Q69" s="71">
        <v>33.9</v>
      </c>
      <c r="R69" s="71">
        <v>43.69</v>
      </c>
      <c r="S69" s="71">
        <v>37.299999999999997</v>
      </c>
      <c r="T69" s="71">
        <v>30.12</v>
      </c>
      <c r="U69" s="71">
        <v>40.51</v>
      </c>
      <c r="V69" s="71">
        <v>1</v>
      </c>
      <c r="W69" s="71">
        <v>1</v>
      </c>
      <c r="X69" s="71">
        <v>1</v>
      </c>
      <c r="Y69" s="71">
        <v>1</v>
      </c>
      <c r="Z69" s="71">
        <v>1</v>
      </c>
      <c r="AA69" s="71">
        <v>1</v>
      </c>
      <c r="AB69" s="71">
        <v>1</v>
      </c>
      <c r="AC69" s="71">
        <v>1</v>
      </c>
      <c r="AD69" s="71">
        <v>1</v>
      </c>
      <c r="AE69" s="71">
        <v>1</v>
      </c>
      <c r="AF69" s="71">
        <v>1</v>
      </c>
      <c r="AG69" s="71">
        <v>1</v>
      </c>
      <c r="AH69" s="71">
        <v>1</v>
      </c>
      <c r="AI69" s="72">
        <f t="shared" si="15"/>
        <v>48.84</v>
      </c>
      <c r="AJ69" s="72">
        <f t="shared" si="16"/>
        <v>48.84</v>
      </c>
      <c r="AK69" s="72">
        <f t="shared" si="17"/>
        <v>46.78</v>
      </c>
      <c r="AL69" s="72">
        <f t="shared" si="18"/>
        <v>49.14</v>
      </c>
      <c r="AM69" s="72">
        <f t="shared" si="19"/>
        <v>43.27</v>
      </c>
      <c r="AN69" s="72">
        <f t="shared" si="20"/>
        <v>40.119999999999997</v>
      </c>
      <c r="AO69" s="72">
        <f t="shared" si="21"/>
        <v>35.78</v>
      </c>
      <c r="AP69" s="72">
        <f t="shared" si="22"/>
        <v>33.130000000000003</v>
      </c>
      <c r="AQ69" s="72">
        <f t="shared" si="23"/>
        <v>33.9</v>
      </c>
      <c r="AR69" s="72">
        <f t="shared" si="24"/>
        <v>43.69</v>
      </c>
      <c r="AS69" s="72">
        <f t="shared" si="25"/>
        <v>37.299999999999997</v>
      </c>
      <c r="AT69" s="72">
        <f t="shared" si="26"/>
        <v>30.12</v>
      </c>
      <c r="AU69" s="72">
        <f t="shared" si="27"/>
        <v>40.51</v>
      </c>
    </row>
    <row r="70" spans="1:47" x14ac:dyDescent="0.25">
      <c r="A70" s="54" t="s">
        <v>100</v>
      </c>
      <c r="B70" t="s">
        <v>101</v>
      </c>
      <c r="C70" s="58">
        <v>31</v>
      </c>
      <c r="D70" s="58">
        <v>1</v>
      </c>
      <c r="E70" s="58">
        <v>2015</v>
      </c>
      <c r="F70" s="69" t="s">
        <v>212</v>
      </c>
      <c r="G70" s="69" t="s">
        <v>212</v>
      </c>
      <c r="H70" s="70">
        <f t="shared" ref="H70" si="28">IF(F70=G70,1,0)</f>
        <v>1</v>
      </c>
      <c r="I70" s="73">
        <v>81.900000000000006</v>
      </c>
      <c r="J70" s="71">
        <v>84.98</v>
      </c>
      <c r="K70" s="71">
        <v>74.680000000000007</v>
      </c>
      <c r="L70" s="71">
        <v>69.95</v>
      </c>
      <c r="M70" s="71">
        <v>61.36</v>
      </c>
      <c r="N70" s="71">
        <v>56.07</v>
      </c>
      <c r="O70" s="71">
        <v>53.43</v>
      </c>
      <c r="P70" s="71">
        <v>47.12</v>
      </c>
      <c r="Q70" s="71">
        <v>50.77</v>
      </c>
      <c r="R70" s="71">
        <v>47.67</v>
      </c>
      <c r="S70" s="71">
        <v>46.11</v>
      </c>
      <c r="T70" s="71">
        <v>52.4</v>
      </c>
      <c r="U70" s="71">
        <v>53.85</v>
      </c>
      <c r="V70" s="71">
        <v>1</v>
      </c>
      <c r="W70" s="71">
        <v>1</v>
      </c>
      <c r="X70" s="71">
        <v>1</v>
      </c>
      <c r="Y70" s="71">
        <v>1</v>
      </c>
      <c r="Z70" s="71">
        <v>1</v>
      </c>
      <c r="AA70" s="71">
        <v>1</v>
      </c>
      <c r="AB70" s="71">
        <v>1</v>
      </c>
      <c r="AC70" s="71">
        <v>1</v>
      </c>
      <c r="AD70" s="71">
        <v>1</v>
      </c>
      <c r="AE70" s="71">
        <v>1</v>
      </c>
      <c r="AF70" s="71">
        <v>1</v>
      </c>
      <c r="AG70" s="71">
        <v>1</v>
      </c>
      <c r="AH70" s="71">
        <v>1</v>
      </c>
      <c r="AI70" s="72">
        <f t="shared" si="15"/>
        <v>81.900000000000006</v>
      </c>
      <c r="AJ70" s="72">
        <f t="shared" si="16"/>
        <v>84.98</v>
      </c>
      <c r="AK70" s="72">
        <f t="shared" si="17"/>
        <v>74.680000000000007</v>
      </c>
      <c r="AL70" s="72">
        <f t="shared" si="18"/>
        <v>69.95</v>
      </c>
      <c r="AM70" s="72">
        <f t="shared" si="19"/>
        <v>61.36</v>
      </c>
      <c r="AN70" s="72">
        <f t="shared" si="20"/>
        <v>56.07</v>
      </c>
      <c r="AO70" s="72">
        <f t="shared" si="21"/>
        <v>53.43</v>
      </c>
      <c r="AP70" s="72">
        <f t="shared" si="22"/>
        <v>47.12</v>
      </c>
      <c r="AQ70" s="72">
        <f t="shared" si="23"/>
        <v>50.77</v>
      </c>
      <c r="AR70" s="72">
        <f t="shared" si="24"/>
        <v>47.67</v>
      </c>
      <c r="AS70" s="72">
        <f t="shared" si="25"/>
        <v>46.11</v>
      </c>
      <c r="AT70" s="72">
        <f t="shared" si="26"/>
        <v>52.4</v>
      </c>
      <c r="AU70" s="72">
        <f t="shared" si="27"/>
        <v>53.85</v>
      </c>
    </row>
    <row r="71" spans="1:47" x14ac:dyDescent="0.25"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</row>
    <row r="72" spans="1:47" x14ac:dyDescent="0.25"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</row>
    <row r="73" spans="1:47" x14ac:dyDescent="0.25"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</row>
  </sheetData>
  <autoFilter ref="A5:AU70">
    <sortState ref="A6:AU70">
      <sortCondition ref="B5:B70"/>
    </sortState>
  </autoFilter>
  <mergeCells count="5">
    <mergeCell ref="V3:AH3"/>
    <mergeCell ref="AI3:AU3"/>
    <mergeCell ref="C4:E4"/>
    <mergeCell ref="F4:H4"/>
    <mergeCell ref="I3:U3"/>
  </mergeCells>
  <conditionalFormatting sqref="H6:H70">
    <cfRule type="cellIs" dxfId="1" priority="1" operator="equal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4.140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1"/>
      <c r="T1" s="98" t="s">
        <v>144</v>
      </c>
      <c r="U1" s="98"/>
      <c r="V1" s="98"/>
      <c r="W1" s="1"/>
      <c r="X1" s="1"/>
      <c r="Y1" s="98" t="s">
        <v>152</v>
      </c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</row>
    <row r="2" spans="1:37" x14ac:dyDescent="0.25">
      <c r="A2" s="1"/>
      <c r="B2" s="1"/>
      <c r="C2" s="98" t="s">
        <v>198</v>
      </c>
      <c r="D2" s="98"/>
      <c r="E2" s="98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60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  <c r="Y2" s="1">
        <f t="shared" ref="Y2:AJ2" si="0">F2</f>
        <v>2017</v>
      </c>
      <c r="Z2" s="1">
        <f t="shared" si="0"/>
        <v>2016</v>
      </c>
      <c r="AA2" s="1">
        <f t="shared" si="0"/>
        <v>2015</v>
      </c>
      <c r="AB2" s="1">
        <f t="shared" si="0"/>
        <v>2014</v>
      </c>
      <c r="AC2" s="1">
        <f t="shared" si="0"/>
        <v>2013</v>
      </c>
      <c r="AD2" s="1">
        <f t="shared" si="0"/>
        <v>2012</v>
      </c>
      <c r="AE2" s="1">
        <f t="shared" si="0"/>
        <v>2011</v>
      </c>
      <c r="AF2" s="1">
        <f t="shared" si="0"/>
        <v>2010</v>
      </c>
      <c r="AG2" s="1">
        <f t="shared" si="0"/>
        <v>2009</v>
      </c>
      <c r="AH2" s="1">
        <f t="shared" si="0"/>
        <v>2008</v>
      </c>
      <c r="AI2" s="1">
        <f t="shared" si="0"/>
        <v>2007</v>
      </c>
      <c r="AJ2" s="1">
        <f t="shared" si="0"/>
        <v>2006</v>
      </c>
    </row>
    <row r="3" spans="1:37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59" t="s">
        <v>201</v>
      </c>
      <c r="G3" s="1" t="s">
        <v>141</v>
      </c>
      <c r="H3" s="1" t="s">
        <v>142</v>
      </c>
      <c r="I3" s="38" t="s">
        <v>131</v>
      </c>
      <c r="J3" s="38" t="s">
        <v>132</v>
      </c>
      <c r="K3" s="38" t="s">
        <v>133</v>
      </c>
      <c r="L3" s="38" t="s">
        <v>134</v>
      </c>
      <c r="M3" s="38" t="s">
        <v>135</v>
      </c>
      <c r="N3" s="38" t="s">
        <v>136</v>
      </c>
      <c r="O3" s="38" t="s">
        <v>137</v>
      </c>
      <c r="P3" s="38" t="s">
        <v>138</v>
      </c>
      <c r="Q3" s="38" t="s">
        <v>139</v>
      </c>
      <c r="R3" s="60" t="s">
        <v>140</v>
      </c>
      <c r="S3" s="1" t="s">
        <v>150</v>
      </c>
      <c r="T3" s="1" t="s">
        <v>201</v>
      </c>
      <c r="U3" s="1" t="s">
        <v>141</v>
      </c>
      <c r="V3" s="1" t="s">
        <v>142</v>
      </c>
      <c r="W3" s="1" t="s">
        <v>193</v>
      </c>
      <c r="X3" s="1" t="s">
        <v>151</v>
      </c>
      <c r="Y3" s="38" t="s">
        <v>201</v>
      </c>
      <c r="Z3" s="1" t="s">
        <v>141</v>
      </c>
      <c r="AA3" s="1" t="s">
        <v>142</v>
      </c>
      <c r="AB3" s="1" t="s">
        <v>131</v>
      </c>
      <c r="AC3" s="1" t="s">
        <v>132</v>
      </c>
      <c r="AD3" s="1" t="s">
        <v>133</v>
      </c>
      <c r="AE3" s="1" t="s">
        <v>134</v>
      </c>
      <c r="AF3" s="1" t="s">
        <v>135</v>
      </c>
      <c r="AG3" s="1" t="s">
        <v>136</v>
      </c>
      <c r="AH3" s="1" t="s">
        <v>137</v>
      </c>
      <c r="AI3" s="1" t="s">
        <v>138</v>
      </c>
      <c r="AJ3" s="1" t="s">
        <v>139</v>
      </c>
      <c r="AK3" s="1" t="s">
        <v>153</v>
      </c>
    </row>
    <row r="4" spans="1:37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67">
        <v>118</v>
      </c>
      <c r="G4" s="79">
        <v>107</v>
      </c>
      <c r="H4" s="79">
        <v>102</v>
      </c>
      <c r="I4" s="61">
        <v>96.98</v>
      </c>
      <c r="J4" s="61">
        <v>103.44</v>
      </c>
      <c r="K4" s="61">
        <v>95.32</v>
      </c>
      <c r="L4" s="61">
        <v>82.12</v>
      </c>
      <c r="M4" s="61">
        <v>80.680000000000007</v>
      </c>
      <c r="N4" s="61">
        <v>75.489999999999995</v>
      </c>
      <c r="O4" s="61">
        <v>60.72</v>
      </c>
      <c r="P4" s="61">
        <v>59.74</v>
      </c>
      <c r="Q4" s="61">
        <v>54.48</v>
      </c>
      <c r="R4" s="62">
        <v>50.78</v>
      </c>
      <c r="S4" s="13">
        <f>AVERAGE(F4:R4)</f>
        <v>83.59615384615384</v>
      </c>
      <c r="T4" s="4">
        <f t="shared" ref="T4:T67" ca="1" si="1">IF(DAYS360(TODAY(),DATE(E4+2,D4,C4))&gt;=720,0,360-U4)</f>
        <v>0</v>
      </c>
      <c r="U4" s="4">
        <f t="shared" ref="U4:U67" ca="1" si="2">IF(DAYS360(TODAY(),DATE(E4+1,D4,C4))&lt;=360,DAYS360(TODAY(),DATE(E4+1,D4,C4)),360-V4)</f>
        <v>73</v>
      </c>
      <c r="V4" s="4">
        <f t="shared" ref="V4:V67" ca="1" si="3">IF(DATE(E4,D4,C4)&lt;=TODAY(),0,DAYS360(TODAY(),DATE(E4,D4,C4)))</f>
        <v>287</v>
      </c>
      <c r="W4" s="13">
        <f t="shared" ref="W4:W67" ca="1" si="4">(F4/360*T4)+(G4/360*U4)+(H4/360*V4)</f>
        <v>103.01388888888889</v>
      </c>
      <c r="X4" s="5">
        <f t="shared" ref="X4:X67" ca="1" si="5">IF(W4&lt;0,IF(W4&lt;0,((W4/S4)-1)*-1,(W4/S4)-1),IF(S4&lt;0,ABS((W4/S4)-1),(W4/S4)-1))</f>
        <v>0.23228024435753913</v>
      </c>
      <c r="Y4" s="15">
        <f>IF(F4&lt;&gt;"",IF(G4&lt;&gt;"",IF(F4&lt;0,IF(G4&lt;0,((F4/G4)-1)*-1,(F4/G4)-1),IF(G4&lt;0,ABS((F4/G4)-1),(F4/G4)-1))),99.99999)</f>
        <v>0.10280373831775691</v>
      </c>
      <c r="Z4" s="15">
        <f t="shared" ref="Z4:AJ27" si="6">IF(H4&lt;&gt;"",IF(G4&lt;0,IF(H4&lt;0,((G4/H4)-1)*-1,(G4/H4)-1),IF(H4&lt;0,ABS((G4/H4)-1),(G4/H4)-1)),99.99999)</f>
        <v>4.9019607843137303E-2</v>
      </c>
      <c r="AA4" s="15">
        <f t="shared" si="6"/>
        <v>5.1763250154670981E-2</v>
      </c>
      <c r="AB4" s="15">
        <f t="shared" si="6"/>
        <v>-6.245166279969061E-2</v>
      </c>
      <c r="AC4" s="15">
        <f t="shared" si="6"/>
        <v>8.5186739404112588E-2</v>
      </c>
      <c r="AD4" s="15">
        <f t="shared" si="6"/>
        <v>0.16074037993180701</v>
      </c>
      <c r="AE4" s="15">
        <f t="shared" si="6"/>
        <v>1.7848289538919149E-2</v>
      </c>
      <c r="AF4" s="15">
        <f t="shared" si="6"/>
        <v>6.8750827924228597E-2</v>
      </c>
      <c r="AG4" s="15">
        <f t="shared" si="6"/>
        <v>0.24324769433465088</v>
      </c>
      <c r="AH4" s="15">
        <f t="shared" si="6"/>
        <v>1.6404419149648408E-2</v>
      </c>
      <c r="AI4" s="15">
        <f t="shared" si="6"/>
        <v>9.6549192364170366E-2</v>
      </c>
      <c r="AJ4" s="15">
        <f t="shared" si="6"/>
        <v>7.2863332020480343E-2</v>
      </c>
      <c r="AK4" s="5">
        <f>MIN(Y4:AJ4)</f>
        <v>-6.245166279969061E-2</v>
      </c>
    </row>
    <row r="5" spans="1:37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31.3</v>
      </c>
      <c r="G5" s="79">
        <v>31.7</v>
      </c>
      <c r="H5" s="79">
        <v>30.9</v>
      </c>
      <c r="I5" s="61">
        <v>29.5</v>
      </c>
      <c r="J5" s="61">
        <v>30.64</v>
      </c>
      <c r="K5" s="61">
        <v>25.53</v>
      </c>
      <c r="L5" s="61">
        <v>23.98</v>
      </c>
      <c r="M5" s="61">
        <v>23.96</v>
      </c>
      <c r="N5" s="61">
        <v>21.76</v>
      </c>
      <c r="O5" s="61">
        <v>19.02</v>
      </c>
      <c r="P5" s="61">
        <v>18.04</v>
      </c>
      <c r="Q5" s="61">
        <v>15.06</v>
      </c>
      <c r="R5" s="62">
        <v>12.04</v>
      </c>
      <c r="S5" s="13">
        <f t="shared" ref="S5:S68" si="7">AVERAGE(F5:R5)</f>
        <v>24.110000000000007</v>
      </c>
      <c r="T5" s="4">
        <f t="shared" ca="1" si="1"/>
        <v>0</v>
      </c>
      <c r="U5" s="4">
        <f t="shared" ca="1" si="2"/>
        <v>73</v>
      </c>
      <c r="V5" s="4">
        <f t="shared" ca="1" si="3"/>
        <v>287</v>
      </c>
      <c r="W5" s="13">
        <f t="shared" ca="1" si="4"/>
        <v>31.062222222222221</v>
      </c>
      <c r="X5" s="5">
        <f t="shared" ca="1" si="5"/>
        <v>0.28835430204156842</v>
      </c>
      <c r="Y5" s="15">
        <f t="shared" ref="Y5:Y68" si="8">IF(F5&lt;&gt;"",IF(G5&lt;&gt;"",IF(F5&lt;0,IF(G5&lt;0,((F5/G5)-1)*-1,(F5/G5)-1),IF(G5&lt;0,ABS((F5/G5)-1),(F5/G5)-1))),99.99999)</f>
        <v>-1.2618296529968376E-2</v>
      </c>
      <c r="Z5" s="15">
        <f t="shared" si="6"/>
        <v>2.5889967637540368E-2</v>
      </c>
      <c r="AA5" s="15">
        <f t="shared" si="6"/>
        <v>4.7457627118643986E-2</v>
      </c>
      <c r="AB5" s="15">
        <f t="shared" si="6"/>
        <v>-3.7206266318537851E-2</v>
      </c>
      <c r="AC5" s="15">
        <f t="shared" si="6"/>
        <v>0.20015667841754792</v>
      </c>
      <c r="AD5" s="15">
        <f t="shared" si="6"/>
        <v>6.4637197664720647E-2</v>
      </c>
      <c r="AE5" s="15">
        <f t="shared" si="6"/>
        <v>8.3472454090149917E-4</v>
      </c>
      <c r="AF5" s="15">
        <f t="shared" si="6"/>
        <v>0.10110294117647056</v>
      </c>
      <c r="AG5" s="15">
        <f t="shared" si="6"/>
        <v>0.14405888538380673</v>
      </c>
      <c r="AH5" s="15">
        <f t="shared" si="6"/>
        <v>5.4323725055432481E-2</v>
      </c>
      <c r="AI5" s="15">
        <f t="shared" si="6"/>
        <v>0.19787516600265587</v>
      </c>
      <c r="AJ5" s="15">
        <f t="shared" si="6"/>
        <v>0.25083056478405319</v>
      </c>
      <c r="AK5" s="5">
        <f t="shared" ref="AK5:AK68" si="9">MIN(Y5:AJ5)</f>
        <v>-3.7206266318537851E-2</v>
      </c>
    </row>
    <row r="6" spans="1:37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36.799999999999997</v>
      </c>
      <c r="G6" s="79">
        <v>33</v>
      </c>
      <c r="H6" s="79">
        <v>28</v>
      </c>
      <c r="I6" s="66">
        <v>23.1</v>
      </c>
      <c r="J6" s="61">
        <v>22.37</v>
      </c>
      <c r="K6" s="61">
        <v>16.8</v>
      </c>
      <c r="L6" s="61">
        <v>14.02</v>
      </c>
      <c r="M6" s="61">
        <v>10.98</v>
      </c>
      <c r="N6" s="61">
        <v>8.5399999999999991</v>
      </c>
      <c r="O6" s="63"/>
      <c r="P6" s="63"/>
      <c r="Q6" s="63"/>
      <c r="R6" s="64"/>
      <c r="S6" s="13">
        <f t="shared" si="7"/>
        <v>21.512222222222224</v>
      </c>
      <c r="T6" s="4">
        <f t="shared" ca="1" si="1"/>
        <v>0</v>
      </c>
      <c r="U6" s="4">
        <f t="shared" ca="1" si="2"/>
        <v>73</v>
      </c>
      <c r="V6" s="4">
        <f t="shared" ca="1" si="3"/>
        <v>287</v>
      </c>
      <c r="W6" s="13">
        <f t="shared" ca="1" si="4"/>
        <v>29.013888888888889</v>
      </c>
      <c r="X6" s="5">
        <f t="shared" ca="1" si="5"/>
        <v>0.34871649191673981</v>
      </c>
      <c r="Y6" s="15">
        <f t="shared" si="8"/>
        <v>0.115151515151515</v>
      </c>
      <c r="Z6" s="15">
        <f t="shared" si="6"/>
        <v>0.1785714285714286</v>
      </c>
      <c r="AA6" s="15">
        <f t="shared" si="6"/>
        <v>0.21212121212121215</v>
      </c>
      <c r="AB6" s="15">
        <f t="shared" si="6"/>
        <v>3.2632990612427415E-2</v>
      </c>
      <c r="AC6" s="15">
        <f t="shared" si="6"/>
        <v>0.33154761904761898</v>
      </c>
      <c r="AD6" s="15">
        <f t="shared" si="6"/>
        <v>0.19828815977175474</v>
      </c>
      <c r="AE6" s="15">
        <f t="shared" si="6"/>
        <v>0.27686703096539156</v>
      </c>
      <c r="AF6" s="15">
        <f t="shared" si="6"/>
        <v>0.28571428571428581</v>
      </c>
      <c r="AG6" s="15">
        <f t="shared" si="6"/>
        <v>99.999989999999997</v>
      </c>
      <c r="AH6" s="15">
        <f t="shared" si="6"/>
        <v>99.999989999999997</v>
      </c>
      <c r="AI6" s="15">
        <f t="shared" si="6"/>
        <v>99.999989999999997</v>
      </c>
      <c r="AJ6" s="15">
        <f t="shared" si="6"/>
        <v>99.999989999999997</v>
      </c>
      <c r="AK6" s="5">
        <f t="shared" si="9"/>
        <v>3.2632990612427415E-2</v>
      </c>
    </row>
    <row r="7" spans="1:37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>
        <v>24.8</v>
      </c>
      <c r="G7" s="79">
        <v>23.8</v>
      </c>
      <c r="H7" s="79">
        <v>22.5</v>
      </c>
      <c r="I7" s="66">
        <v>22</v>
      </c>
      <c r="J7" s="61">
        <v>19.399999999999999</v>
      </c>
      <c r="K7" s="61">
        <v>18.899999999999999</v>
      </c>
      <c r="L7" s="61">
        <v>17.21</v>
      </c>
      <c r="M7" s="61">
        <v>17.850000000000001</v>
      </c>
      <c r="N7" s="63"/>
      <c r="O7" s="63"/>
      <c r="P7" s="63"/>
      <c r="Q7" s="63"/>
      <c r="R7" s="64"/>
      <c r="S7" s="13">
        <f t="shared" si="7"/>
        <v>20.807500000000001</v>
      </c>
      <c r="T7" s="4">
        <f t="shared" ca="1" si="1"/>
        <v>0</v>
      </c>
      <c r="U7" s="4">
        <f t="shared" ca="1" si="2"/>
        <v>73</v>
      </c>
      <c r="V7" s="4">
        <f t="shared" ca="1" si="3"/>
        <v>287</v>
      </c>
      <c r="W7" s="13">
        <f t="shared" ca="1" si="4"/>
        <v>22.763611111111111</v>
      </c>
      <c r="X7" s="5">
        <f t="shared" ca="1" si="5"/>
        <v>9.4009905616297518E-2</v>
      </c>
      <c r="Y7" s="15">
        <f t="shared" si="8"/>
        <v>4.2016806722689148E-2</v>
      </c>
      <c r="Z7" s="15">
        <f t="shared" si="6"/>
        <v>5.7777777777777706E-2</v>
      </c>
      <c r="AA7" s="15">
        <f t="shared" si="6"/>
        <v>2.2727272727272707E-2</v>
      </c>
      <c r="AB7" s="15">
        <f t="shared" si="6"/>
        <v>0.13402061855670122</v>
      </c>
      <c r="AC7" s="15">
        <f t="shared" si="6"/>
        <v>2.6455026455026509E-2</v>
      </c>
      <c r="AD7" s="15">
        <f t="shared" si="6"/>
        <v>9.8198721673445455E-2</v>
      </c>
      <c r="AE7" s="15">
        <f t="shared" si="6"/>
        <v>-3.5854341736694662E-2</v>
      </c>
      <c r="AF7" s="15">
        <f t="shared" si="6"/>
        <v>99.999989999999997</v>
      </c>
      <c r="AG7" s="15">
        <f t="shared" si="6"/>
        <v>99.999989999999997</v>
      </c>
      <c r="AH7" s="15">
        <f t="shared" si="6"/>
        <v>99.999989999999997</v>
      </c>
      <c r="AI7" s="15">
        <f t="shared" si="6"/>
        <v>99.999989999999997</v>
      </c>
      <c r="AJ7" s="15">
        <f t="shared" si="6"/>
        <v>99.999989999999997</v>
      </c>
      <c r="AK7" s="5">
        <f t="shared" si="9"/>
        <v>-3.5854341736694662E-2</v>
      </c>
    </row>
    <row r="8" spans="1:37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54.5</v>
      </c>
      <c r="G8" s="79">
        <v>51.9</v>
      </c>
      <c r="H8" s="79">
        <v>49.5</v>
      </c>
      <c r="I8" s="66">
        <v>49.3</v>
      </c>
      <c r="J8" s="61">
        <v>53.67</v>
      </c>
      <c r="K8" s="61">
        <v>58.1</v>
      </c>
      <c r="L8" s="61">
        <v>57.44</v>
      </c>
      <c r="M8" s="61">
        <v>52.55</v>
      </c>
      <c r="N8" s="61">
        <v>59.02</v>
      </c>
      <c r="O8" s="61">
        <v>53.78</v>
      </c>
      <c r="P8" s="61">
        <v>69.84</v>
      </c>
      <c r="Q8" s="61">
        <v>62.52</v>
      </c>
      <c r="R8" s="62">
        <v>59.21</v>
      </c>
      <c r="S8" s="13">
        <f t="shared" si="7"/>
        <v>56.25615384615385</v>
      </c>
      <c r="T8" s="4">
        <f t="shared" ca="1" si="1"/>
        <v>0</v>
      </c>
      <c r="U8" s="4">
        <f t="shared" ca="1" si="2"/>
        <v>73</v>
      </c>
      <c r="V8" s="4">
        <f t="shared" ca="1" si="3"/>
        <v>287</v>
      </c>
      <c r="W8" s="13">
        <f t="shared" ca="1" si="4"/>
        <v>49.986666666666672</v>
      </c>
      <c r="X8" s="5">
        <f t="shared" ca="1" si="5"/>
        <v>-0.11144535754492957</v>
      </c>
      <c r="Y8" s="15">
        <f t="shared" si="8"/>
        <v>5.0096339113680166E-2</v>
      </c>
      <c r="Z8" s="15">
        <f t="shared" si="6"/>
        <v>4.8484848484848353E-2</v>
      </c>
      <c r="AA8" s="15">
        <f t="shared" si="6"/>
        <v>4.0567951318459805E-3</v>
      </c>
      <c r="AB8" s="15">
        <f t="shared" si="6"/>
        <v>-8.1423514067449299E-2</v>
      </c>
      <c r="AC8" s="15">
        <f t="shared" si="6"/>
        <v>-7.624784853700517E-2</v>
      </c>
      <c r="AD8" s="15">
        <f t="shared" si="6"/>
        <v>1.149025069637899E-2</v>
      </c>
      <c r="AE8" s="15">
        <f t="shared" si="6"/>
        <v>9.3054234062797336E-2</v>
      </c>
      <c r="AF8" s="15">
        <f t="shared" si="6"/>
        <v>-0.10962385631989169</v>
      </c>
      <c r="AG8" s="15">
        <f t="shared" si="6"/>
        <v>9.7433990330977993E-2</v>
      </c>
      <c r="AH8" s="15">
        <f t="shared" si="6"/>
        <v>-0.22995418098510889</v>
      </c>
      <c r="AI8" s="15">
        <f t="shared" si="6"/>
        <v>0.11708253358925136</v>
      </c>
      <c r="AJ8" s="15">
        <f t="shared" si="6"/>
        <v>5.590271913528122E-2</v>
      </c>
      <c r="AK8" s="5">
        <f t="shared" si="9"/>
        <v>-0.22995418098510889</v>
      </c>
    </row>
    <row r="9" spans="1:37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24</v>
      </c>
      <c r="G9" s="79">
        <v>20.8</v>
      </c>
      <c r="H9" s="79">
        <v>18.600000000000001</v>
      </c>
      <c r="I9" s="66">
        <v>16</v>
      </c>
      <c r="J9" s="61">
        <v>13.51</v>
      </c>
      <c r="K9" s="61">
        <v>13.04</v>
      </c>
      <c r="L9" s="61">
        <v>11.97</v>
      </c>
      <c r="M9" s="61">
        <v>11.59</v>
      </c>
      <c r="N9" s="61">
        <v>10.46</v>
      </c>
      <c r="O9" s="61">
        <v>9.76</v>
      </c>
      <c r="P9" s="61">
        <v>8.2100000000000009</v>
      </c>
      <c r="Q9" s="61">
        <v>7.1</v>
      </c>
      <c r="R9" s="62">
        <v>5.13</v>
      </c>
      <c r="S9" s="13">
        <f t="shared" si="7"/>
        <v>13.090000000000002</v>
      </c>
      <c r="T9" s="4">
        <f t="shared" ca="1" si="1"/>
        <v>0</v>
      </c>
      <c r="U9" s="4">
        <f t="shared" ca="1" si="2"/>
        <v>73</v>
      </c>
      <c r="V9" s="4">
        <f t="shared" ca="1" si="3"/>
        <v>287</v>
      </c>
      <c r="W9" s="13">
        <f t="shared" ca="1" si="4"/>
        <v>19.046111111111113</v>
      </c>
      <c r="X9" s="5">
        <f t="shared" ca="1" si="5"/>
        <v>0.45501230795348446</v>
      </c>
      <c r="Y9" s="15">
        <f t="shared" si="8"/>
        <v>0.15384615384615374</v>
      </c>
      <c r="Z9" s="15">
        <f t="shared" si="6"/>
        <v>0.11827956989247301</v>
      </c>
      <c r="AA9" s="15">
        <f t="shared" si="6"/>
        <v>0.16250000000000009</v>
      </c>
      <c r="AB9" s="15">
        <f t="shared" si="6"/>
        <v>0.18430792005921548</v>
      </c>
      <c r="AC9" s="15">
        <f t="shared" si="6"/>
        <v>3.6042944785276143E-2</v>
      </c>
      <c r="AD9" s="15">
        <f t="shared" si="6"/>
        <v>8.9390142021720909E-2</v>
      </c>
      <c r="AE9" s="15">
        <f t="shared" si="6"/>
        <v>3.2786885245901676E-2</v>
      </c>
      <c r="AF9" s="15">
        <f t="shared" si="6"/>
        <v>0.10803059273422555</v>
      </c>
      <c r="AG9" s="15">
        <f t="shared" si="6"/>
        <v>7.1721311475410054E-2</v>
      </c>
      <c r="AH9" s="15">
        <f t="shared" si="6"/>
        <v>0.18879415347137618</v>
      </c>
      <c r="AI9" s="15">
        <f t="shared" si="6"/>
        <v>0.15633802816901432</v>
      </c>
      <c r="AJ9" s="15">
        <f t="shared" si="6"/>
        <v>0.38401559454191037</v>
      </c>
      <c r="AK9" s="5">
        <f t="shared" si="9"/>
        <v>3.2786885245901676E-2</v>
      </c>
    </row>
    <row r="10" spans="1:37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>
        <v>10.9</v>
      </c>
      <c r="G10" s="79">
        <v>9.73</v>
      </c>
      <c r="H10" s="79">
        <v>8.7899999999999991</v>
      </c>
      <c r="I10" s="61">
        <v>7.74</v>
      </c>
      <c r="J10" s="61">
        <v>8.15</v>
      </c>
      <c r="K10" s="61">
        <v>9.89</v>
      </c>
      <c r="L10" s="61">
        <v>9.11</v>
      </c>
      <c r="M10" s="61">
        <v>8.69</v>
      </c>
      <c r="N10" s="61">
        <v>6.76</v>
      </c>
      <c r="O10" s="61">
        <v>6.47</v>
      </c>
      <c r="P10" s="61">
        <v>9.16</v>
      </c>
      <c r="Q10" s="61">
        <v>9.33</v>
      </c>
      <c r="R10" s="62">
        <v>8.98</v>
      </c>
      <c r="S10" s="13">
        <f t="shared" si="7"/>
        <v>8.7461538461538471</v>
      </c>
      <c r="T10" s="4">
        <f t="shared" ca="1" si="1"/>
        <v>0</v>
      </c>
      <c r="U10" s="4">
        <f t="shared" ca="1" si="2"/>
        <v>73</v>
      </c>
      <c r="V10" s="4">
        <f t="shared" ca="1" si="3"/>
        <v>287</v>
      </c>
      <c r="W10" s="13">
        <f t="shared" ca="1" si="4"/>
        <v>8.9806111111111093</v>
      </c>
      <c r="X10" s="5">
        <f t="shared" ca="1" si="5"/>
        <v>2.6806899247532101E-2</v>
      </c>
      <c r="Y10" s="15">
        <f t="shared" si="8"/>
        <v>0.12024665981500515</v>
      </c>
      <c r="Z10" s="15">
        <f t="shared" si="6"/>
        <v>0.10693970420932897</v>
      </c>
      <c r="AA10" s="15">
        <f t="shared" si="6"/>
        <v>0.13565891472868197</v>
      </c>
      <c r="AB10" s="15">
        <f t="shared" si="6"/>
        <v>-5.0306748466257711E-2</v>
      </c>
      <c r="AC10" s="15">
        <f t="shared" si="6"/>
        <v>-0.17593528816986859</v>
      </c>
      <c r="AD10" s="15">
        <f t="shared" si="6"/>
        <v>8.5620197585071445E-2</v>
      </c>
      <c r="AE10" s="15">
        <f t="shared" si="6"/>
        <v>4.833141542002295E-2</v>
      </c>
      <c r="AF10" s="15">
        <f t="shared" si="6"/>
        <v>0.28550295857988162</v>
      </c>
      <c r="AG10" s="15">
        <f t="shared" si="6"/>
        <v>4.4822256568779029E-2</v>
      </c>
      <c r="AH10" s="15">
        <f t="shared" si="6"/>
        <v>-0.29366812227074235</v>
      </c>
      <c r="AI10" s="15">
        <f t="shared" si="6"/>
        <v>-1.8220793140407254E-2</v>
      </c>
      <c r="AJ10" s="15">
        <f t="shared" si="6"/>
        <v>3.897550111358572E-2</v>
      </c>
      <c r="AK10" s="5">
        <f t="shared" si="9"/>
        <v>-0.29366812227074235</v>
      </c>
    </row>
    <row r="11" spans="1:37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>
        <v>7.14</v>
      </c>
      <c r="G11" s="79">
        <v>6.36</v>
      </c>
      <c r="H11" s="79">
        <v>6.25</v>
      </c>
      <c r="I11" s="61">
        <v>7.51</v>
      </c>
      <c r="J11" s="61">
        <v>7.2</v>
      </c>
      <c r="K11" s="61">
        <v>7.07</v>
      </c>
      <c r="L11" s="61">
        <v>9.24</v>
      </c>
      <c r="M11" s="61">
        <v>9.9600000000000009</v>
      </c>
      <c r="N11" s="61">
        <v>9.6199999999999992</v>
      </c>
      <c r="O11" s="61">
        <v>9.89</v>
      </c>
      <c r="P11" s="61">
        <v>10.37</v>
      </c>
      <c r="Q11" s="61">
        <v>11.39</v>
      </c>
      <c r="R11" s="62">
        <v>11.81</v>
      </c>
      <c r="S11" s="13">
        <f t="shared" si="7"/>
        <v>8.754615384615386</v>
      </c>
      <c r="T11" s="4">
        <f t="shared" ca="1" si="1"/>
        <v>0</v>
      </c>
      <c r="U11" s="4">
        <f t="shared" ca="1" si="2"/>
        <v>73</v>
      </c>
      <c r="V11" s="4">
        <f t="shared" ca="1" si="3"/>
        <v>287</v>
      </c>
      <c r="W11" s="13">
        <f t="shared" ca="1" si="4"/>
        <v>6.2723055555555565</v>
      </c>
      <c r="X11" s="5">
        <f t="shared" ca="1" si="5"/>
        <v>-0.28354299075457146</v>
      </c>
      <c r="Y11" s="15">
        <f t="shared" si="8"/>
        <v>0.12264150943396213</v>
      </c>
      <c r="Z11" s="15">
        <f t="shared" si="6"/>
        <v>1.760000000000006E-2</v>
      </c>
      <c r="AA11" s="15">
        <f t="shared" si="6"/>
        <v>-0.16777629826897467</v>
      </c>
      <c r="AB11" s="15">
        <f t="shared" si="6"/>
        <v>4.3055555555555403E-2</v>
      </c>
      <c r="AC11" s="15">
        <f t="shared" si="6"/>
        <v>1.8387553041018467E-2</v>
      </c>
      <c r="AD11" s="15">
        <f t="shared" si="6"/>
        <v>-0.23484848484848486</v>
      </c>
      <c r="AE11" s="15">
        <f t="shared" si="6"/>
        <v>-7.2289156626506035E-2</v>
      </c>
      <c r="AF11" s="15">
        <f t="shared" si="6"/>
        <v>3.5343035343035512E-2</v>
      </c>
      <c r="AG11" s="15">
        <f t="shared" si="6"/>
        <v>-2.7300303336703857E-2</v>
      </c>
      <c r="AH11" s="15">
        <f t="shared" si="6"/>
        <v>-4.6287367405978608E-2</v>
      </c>
      <c r="AI11" s="15">
        <f t="shared" si="6"/>
        <v>-8.9552238805970297E-2</v>
      </c>
      <c r="AJ11" s="15">
        <f t="shared" si="6"/>
        <v>-3.5563082133784896E-2</v>
      </c>
      <c r="AK11" s="5">
        <f t="shared" si="9"/>
        <v>-0.23484848484848486</v>
      </c>
    </row>
    <row r="12" spans="1:37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67">
        <v>22.6</v>
      </c>
      <c r="G12" s="79">
        <v>19.600000000000001</v>
      </c>
      <c r="H12" s="79">
        <v>17.600000000000001</v>
      </c>
      <c r="I12" s="66">
        <v>16.3</v>
      </c>
      <c r="J12" s="61">
        <v>13.06</v>
      </c>
      <c r="K12" s="61">
        <v>11.53</v>
      </c>
      <c r="L12" s="61">
        <v>10.34</v>
      </c>
      <c r="M12" s="61">
        <v>7.99</v>
      </c>
      <c r="N12" s="61">
        <v>6.91</v>
      </c>
      <c r="O12" s="61">
        <v>5.86</v>
      </c>
      <c r="P12" s="61">
        <v>5.22</v>
      </c>
      <c r="Q12" s="61">
        <v>4.84</v>
      </c>
      <c r="R12" s="62">
        <v>4.57</v>
      </c>
      <c r="S12" s="13">
        <f t="shared" si="7"/>
        <v>11.263076923076925</v>
      </c>
      <c r="T12" s="4">
        <f t="shared" ca="1" si="1"/>
        <v>0</v>
      </c>
      <c r="U12" s="4">
        <f t="shared" ca="1" si="2"/>
        <v>73</v>
      </c>
      <c r="V12" s="4">
        <f t="shared" ca="1" si="3"/>
        <v>287</v>
      </c>
      <c r="W12" s="13">
        <f t="shared" ca="1" si="4"/>
        <v>18.005555555555556</v>
      </c>
      <c r="X12" s="5">
        <f t="shared" ca="1" si="5"/>
        <v>0.59863558408839079</v>
      </c>
      <c r="Y12" s="15">
        <f t="shared" si="8"/>
        <v>0.15306122448979598</v>
      </c>
      <c r="Z12" s="15">
        <f t="shared" si="6"/>
        <v>0.11363636363636354</v>
      </c>
      <c r="AA12" s="15">
        <f t="shared" si="6"/>
        <v>7.9754601226993849E-2</v>
      </c>
      <c r="AB12" s="15">
        <f t="shared" si="6"/>
        <v>0.24808575803981614</v>
      </c>
      <c r="AC12" s="15">
        <f t="shared" si="6"/>
        <v>0.1326973113616654</v>
      </c>
      <c r="AD12" s="15">
        <f t="shared" si="6"/>
        <v>0.11508704061895547</v>
      </c>
      <c r="AE12" s="15">
        <f t="shared" si="6"/>
        <v>0.29411764705882337</v>
      </c>
      <c r="AF12" s="15">
        <f t="shared" si="6"/>
        <v>0.15629522431259035</v>
      </c>
      <c r="AG12" s="15">
        <f t="shared" si="6"/>
        <v>0.17918088737201354</v>
      </c>
      <c r="AH12" s="15">
        <f t="shared" si="6"/>
        <v>0.12260536398467448</v>
      </c>
      <c r="AI12" s="15">
        <f t="shared" si="6"/>
        <v>7.8512396694214948E-2</v>
      </c>
      <c r="AJ12" s="15">
        <f t="shared" si="6"/>
        <v>5.908096280087527E-2</v>
      </c>
      <c r="AK12" s="5">
        <f t="shared" si="9"/>
        <v>5.908096280087527E-2</v>
      </c>
    </row>
    <row r="13" spans="1:37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67">
        <v>46.3</v>
      </c>
      <c r="G13" s="79">
        <v>42.3</v>
      </c>
      <c r="H13" s="79">
        <v>38.9</v>
      </c>
      <c r="I13" s="66">
        <v>37.1</v>
      </c>
      <c r="J13" s="61">
        <v>31.91</v>
      </c>
      <c r="K13" s="61">
        <v>34.880000000000003</v>
      </c>
      <c r="L13" s="61">
        <v>34.49</v>
      </c>
      <c r="M13" s="61">
        <v>31.01</v>
      </c>
      <c r="N13" s="61">
        <v>29.15</v>
      </c>
      <c r="O13" s="61">
        <v>29.29</v>
      </c>
      <c r="P13" s="61">
        <v>31.72</v>
      </c>
      <c r="Q13" s="61">
        <v>32.89</v>
      </c>
      <c r="R13" s="62">
        <v>30.6</v>
      </c>
      <c r="S13" s="13">
        <f t="shared" si="7"/>
        <v>34.656923076923071</v>
      </c>
      <c r="T13" s="4">
        <f t="shared" ca="1" si="1"/>
        <v>0</v>
      </c>
      <c r="U13" s="4">
        <f t="shared" ca="1" si="2"/>
        <v>164</v>
      </c>
      <c r="V13" s="4">
        <f t="shared" ca="1" si="3"/>
        <v>196</v>
      </c>
      <c r="W13" s="13">
        <f t="shared" ca="1" si="4"/>
        <v>40.448888888888888</v>
      </c>
      <c r="X13" s="5">
        <f t="shared" ca="1" si="5"/>
        <v>0.16712290929896478</v>
      </c>
      <c r="Y13" s="15">
        <f t="shared" si="8"/>
        <v>9.456264775413703E-2</v>
      </c>
      <c r="Z13" s="15">
        <f t="shared" si="6"/>
        <v>8.740359897172234E-2</v>
      </c>
      <c r="AA13" s="15">
        <f t="shared" si="6"/>
        <v>4.8517520215633381E-2</v>
      </c>
      <c r="AB13" s="15">
        <f t="shared" si="6"/>
        <v>0.16264493889062992</v>
      </c>
      <c r="AC13" s="15">
        <f t="shared" si="6"/>
        <v>-8.5149082568807377E-2</v>
      </c>
      <c r="AD13" s="15">
        <f t="shared" si="6"/>
        <v>1.1307625398666366E-2</v>
      </c>
      <c r="AE13" s="15">
        <f t="shared" si="6"/>
        <v>0.11222186391486622</v>
      </c>
      <c r="AF13" s="15">
        <f t="shared" si="6"/>
        <v>6.3807890222984609E-2</v>
      </c>
      <c r="AG13" s="15">
        <f t="shared" si="6"/>
        <v>-4.7797883236599947E-3</v>
      </c>
      <c r="AH13" s="15">
        <f t="shared" si="6"/>
        <v>-7.6607818411097095E-2</v>
      </c>
      <c r="AI13" s="15">
        <f t="shared" si="6"/>
        <v>-3.5573122529644285E-2</v>
      </c>
      <c r="AJ13" s="15">
        <f t="shared" si="6"/>
        <v>7.4836601307189499E-2</v>
      </c>
      <c r="AK13" s="5">
        <f t="shared" si="9"/>
        <v>-8.5149082568807377E-2</v>
      </c>
    </row>
    <row r="14" spans="1:37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>
        <v>146</v>
      </c>
      <c r="G14" s="79">
        <v>139</v>
      </c>
      <c r="H14" s="79">
        <v>134</v>
      </c>
      <c r="I14" s="61">
        <v>132.82</v>
      </c>
      <c r="J14" s="61">
        <v>109.71</v>
      </c>
      <c r="K14" s="61">
        <v>117.45</v>
      </c>
      <c r="L14" s="61">
        <v>98.65</v>
      </c>
      <c r="M14" s="61">
        <v>97.89</v>
      </c>
      <c r="N14" s="61">
        <v>88.49</v>
      </c>
      <c r="O14" s="61">
        <v>74.349999999999994</v>
      </c>
      <c r="P14" s="61">
        <v>106.07</v>
      </c>
      <c r="Q14" s="61">
        <v>116.8</v>
      </c>
      <c r="R14" s="62">
        <v>97.26</v>
      </c>
      <c r="S14" s="13">
        <f t="shared" si="7"/>
        <v>112.19153846153844</v>
      </c>
      <c r="T14" s="4">
        <f t="shared" ca="1" si="1"/>
        <v>0</v>
      </c>
      <c r="U14" s="4">
        <f t="shared" ca="1" si="2"/>
        <v>73</v>
      </c>
      <c r="V14" s="4">
        <f t="shared" ca="1" si="3"/>
        <v>287</v>
      </c>
      <c r="W14" s="13">
        <f t="shared" ca="1" si="4"/>
        <v>135.01388888888889</v>
      </c>
      <c r="X14" s="5">
        <f t="shared" ca="1" si="5"/>
        <v>0.20342309892803923</v>
      </c>
      <c r="Y14" s="15">
        <f t="shared" si="8"/>
        <v>5.0359712230215736E-2</v>
      </c>
      <c r="Z14" s="15">
        <f t="shared" si="6"/>
        <v>3.7313432835820892E-2</v>
      </c>
      <c r="AA14" s="15">
        <f t="shared" si="6"/>
        <v>8.8842041861165733E-3</v>
      </c>
      <c r="AB14" s="15">
        <f t="shared" si="6"/>
        <v>0.21064624920244279</v>
      </c>
      <c r="AC14" s="15">
        <f t="shared" si="6"/>
        <v>-6.5900383141762497E-2</v>
      </c>
      <c r="AD14" s="15">
        <f t="shared" si="6"/>
        <v>0.19057273188038515</v>
      </c>
      <c r="AE14" s="15">
        <f t="shared" si="6"/>
        <v>7.7638165287567951E-3</v>
      </c>
      <c r="AF14" s="15">
        <f t="shared" si="6"/>
        <v>0.10622669228161374</v>
      </c>
      <c r="AG14" s="15">
        <f t="shared" si="6"/>
        <v>0.19018157363819777</v>
      </c>
      <c r="AH14" s="15">
        <f t="shared" si="6"/>
        <v>-0.29904779862355046</v>
      </c>
      <c r="AI14" s="15">
        <f t="shared" si="6"/>
        <v>-9.186643835616437E-2</v>
      </c>
      <c r="AJ14" s="15">
        <f t="shared" si="6"/>
        <v>0.20090479128110217</v>
      </c>
      <c r="AK14" s="5">
        <f t="shared" si="9"/>
        <v>-0.29904779862355046</v>
      </c>
    </row>
    <row r="15" spans="1:37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203</v>
      </c>
      <c r="G15" s="79">
        <v>189</v>
      </c>
      <c r="H15" s="79">
        <v>181</v>
      </c>
      <c r="I15" s="61">
        <v>173.66</v>
      </c>
      <c r="J15" s="61">
        <v>144.88</v>
      </c>
      <c r="K15" s="61">
        <v>151.56</v>
      </c>
      <c r="L15" s="61">
        <v>128.62</v>
      </c>
      <c r="M15" s="61">
        <v>120.86</v>
      </c>
      <c r="N15" s="61">
        <v>111.7</v>
      </c>
      <c r="O15" s="61">
        <v>101.58</v>
      </c>
      <c r="P15" s="61">
        <v>114.53</v>
      </c>
      <c r="Q15" s="61">
        <v>113.01</v>
      </c>
      <c r="R15" s="62">
        <v>105.36</v>
      </c>
      <c r="S15" s="13">
        <f t="shared" si="7"/>
        <v>141.44307692307689</v>
      </c>
      <c r="T15" s="4">
        <f t="shared" ca="1" si="1"/>
        <v>0</v>
      </c>
      <c r="U15" s="4">
        <f t="shared" ca="1" si="2"/>
        <v>73</v>
      </c>
      <c r="V15" s="4">
        <f t="shared" ca="1" si="3"/>
        <v>287</v>
      </c>
      <c r="W15" s="13">
        <f t="shared" ca="1" si="4"/>
        <v>182.62222222222221</v>
      </c>
      <c r="X15" s="5">
        <f t="shared" ca="1" si="5"/>
        <v>0.29113581374887931</v>
      </c>
      <c r="Y15" s="15">
        <f t="shared" si="8"/>
        <v>7.4074074074074181E-2</v>
      </c>
      <c r="Z15" s="15">
        <f t="shared" si="6"/>
        <v>4.4198895027624419E-2</v>
      </c>
      <c r="AA15" s="15">
        <f t="shared" si="6"/>
        <v>4.2266497754232413E-2</v>
      </c>
      <c r="AB15" s="15">
        <f t="shared" si="6"/>
        <v>0.1986471562672556</v>
      </c>
      <c r="AC15" s="15">
        <f t="shared" si="6"/>
        <v>-4.4074953813671214E-2</v>
      </c>
      <c r="AD15" s="15">
        <f t="shared" si="6"/>
        <v>0.17835484372570365</v>
      </c>
      <c r="AE15" s="15">
        <f t="shared" si="6"/>
        <v>6.420651994042692E-2</v>
      </c>
      <c r="AF15" s="15">
        <f t="shared" si="6"/>
        <v>8.2005371530886162E-2</v>
      </c>
      <c r="AG15" s="15">
        <f t="shared" si="6"/>
        <v>9.9625910612325397E-2</v>
      </c>
      <c r="AH15" s="15">
        <f t="shared" si="6"/>
        <v>-0.11307081114118578</v>
      </c>
      <c r="AI15" s="15">
        <f t="shared" si="6"/>
        <v>1.345013715600385E-2</v>
      </c>
      <c r="AJ15" s="15">
        <f t="shared" si="6"/>
        <v>7.2608200455581029E-2</v>
      </c>
      <c r="AK15" s="5">
        <f t="shared" si="9"/>
        <v>-0.11307081114118578</v>
      </c>
    </row>
    <row r="16" spans="1:37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>
        <v>36.1</v>
      </c>
      <c r="G16" s="79">
        <v>34.4</v>
      </c>
      <c r="H16" s="79">
        <v>32.1</v>
      </c>
      <c r="I16" s="61">
        <v>30.7</v>
      </c>
      <c r="J16" s="61">
        <v>30.25</v>
      </c>
      <c r="K16" s="61">
        <v>28.09</v>
      </c>
      <c r="L16" s="61">
        <v>27.64</v>
      </c>
      <c r="M16" s="61">
        <v>24.67</v>
      </c>
      <c r="N16" s="61">
        <v>20.260000000000002</v>
      </c>
      <c r="O16" s="61">
        <v>20.38</v>
      </c>
      <c r="P16" s="61">
        <v>21.01</v>
      </c>
      <c r="Q16" s="61">
        <v>18.59</v>
      </c>
      <c r="R16" s="62">
        <v>17.03</v>
      </c>
      <c r="S16" s="13">
        <f t="shared" si="7"/>
        <v>26.247692307692301</v>
      </c>
      <c r="T16" s="4">
        <f t="shared" ca="1" si="1"/>
        <v>0</v>
      </c>
      <c r="U16" s="4">
        <f t="shared" ca="1" si="2"/>
        <v>73</v>
      </c>
      <c r="V16" s="4">
        <f t="shared" ca="1" si="3"/>
        <v>287</v>
      </c>
      <c r="W16" s="13">
        <f t="shared" ca="1" si="4"/>
        <v>32.566388888888895</v>
      </c>
      <c r="X16" s="5">
        <f t="shared" ca="1" si="5"/>
        <v>0.24073341408931404</v>
      </c>
      <c r="Y16" s="15">
        <f t="shared" si="8"/>
        <v>4.9418604651162878E-2</v>
      </c>
      <c r="Z16" s="15">
        <f t="shared" si="6"/>
        <v>7.1651090342679025E-2</v>
      </c>
      <c r="AA16" s="15">
        <f t="shared" si="6"/>
        <v>4.5602605863192203E-2</v>
      </c>
      <c r="AB16" s="15">
        <f t="shared" si="6"/>
        <v>1.4876033057851235E-2</v>
      </c>
      <c r="AC16" s="15">
        <f t="shared" si="6"/>
        <v>7.6895692417230377E-2</v>
      </c>
      <c r="AD16" s="15">
        <f t="shared" si="6"/>
        <v>1.6280752532561449E-2</v>
      </c>
      <c r="AE16" s="15">
        <f t="shared" si="6"/>
        <v>0.12038913660316175</v>
      </c>
      <c r="AF16" s="15">
        <f t="shared" si="6"/>
        <v>0.21767028627838103</v>
      </c>
      <c r="AG16" s="15">
        <f t="shared" si="6"/>
        <v>-5.8881256133462845E-3</v>
      </c>
      <c r="AH16" s="15">
        <f t="shared" si="6"/>
        <v>-2.9985721085197592E-2</v>
      </c>
      <c r="AI16" s="15">
        <f t="shared" si="6"/>
        <v>0.13017751479289941</v>
      </c>
      <c r="AJ16" s="15">
        <f t="shared" si="6"/>
        <v>9.1603053435114434E-2</v>
      </c>
      <c r="AK16" s="5">
        <f t="shared" si="9"/>
        <v>-2.9985721085197592E-2</v>
      </c>
    </row>
    <row r="17" spans="1:37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>
        <v>33.1</v>
      </c>
      <c r="G17" s="79">
        <v>31.8</v>
      </c>
      <c r="H17" s="79">
        <v>28.2</v>
      </c>
      <c r="I17" s="61">
        <v>24.45</v>
      </c>
      <c r="J17" s="61">
        <v>25.16</v>
      </c>
      <c r="K17" s="61">
        <v>22.45</v>
      </c>
      <c r="L17" s="61">
        <v>23.3</v>
      </c>
      <c r="M17" s="61">
        <v>22.85</v>
      </c>
      <c r="N17" s="61">
        <v>22.92</v>
      </c>
      <c r="O17" s="61">
        <v>21.38</v>
      </c>
      <c r="P17" s="61">
        <v>22.01</v>
      </c>
      <c r="Q17" s="63"/>
      <c r="R17" s="64"/>
      <c r="S17" s="13">
        <f t="shared" si="7"/>
        <v>25.238181818181818</v>
      </c>
      <c r="T17" s="4">
        <f t="shared" ca="1" si="1"/>
        <v>0</v>
      </c>
      <c r="U17" s="4">
        <f t="shared" ca="1" si="2"/>
        <v>73</v>
      </c>
      <c r="V17" s="4">
        <f t="shared" ca="1" si="3"/>
        <v>287</v>
      </c>
      <c r="W17" s="13">
        <f t="shared" ca="1" si="4"/>
        <v>28.930000000000003</v>
      </c>
      <c r="X17" s="5">
        <f t="shared" ca="1" si="5"/>
        <v>0.14627908652114407</v>
      </c>
      <c r="Y17" s="15">
        <f t="shared" si="8"/>
        <v>4.088050314465419E-2</v>
      </c>
      <c r="Z17" s="15">
        <f t="shared" si="6"/>
        <v>0.12765957446808507</v>
      </c>
      <c r="AA17" s="15">
        <f t="shared" si="6"/>
        <v>0.15337423312883436</v>
      </c>
      <c r="AB17" s="15">
        <f t="shared" si="6"/>
        <v>-2.8219395866454722E-2</v>
      </c>
      <c r="AC17" s="15">
        <f t="shared" si="6"/>
        <v>0.12071269487750569</v>
      </c>
      <c r="AD17" s="15">
        <f t="shared" si="6"/>
        <v>-3.6480686695279041E-2</v>
      </c>
      <c r="AE17" s="15">
        <f t="shared" si="6"/>
        <v>1.9693654266958349E-2</v>
      </c>
      <c r="AF17" s="15">
        <f t="shared" si="6"/>
        <v>-3.054101221640515E-3</v>
      </c>
      <c r="AG17" s="15">
        <f t="shared" si="6"/>
        <v>7.2029934518241578E-2</v>
      </c>
      <c r="AH17" s="15">
        <f t="shared" si="6"/>
        <v>-2.8623353021353992E-2</v>
      </c>
      <c r="AI17" s="15">
        <f t="shared" si="6"/>
        <v>99.999989999999997</v>
      </c>
      <c r="AJ17" s="15">
        <f t="shared" si="6"/>
        <v>99.999989999999997</v>
      </c>
      <c r="AK17" s="5">
        <f t="shared" si="9"/>
        <v>-3.6480686695279041E-2</v>
      </c>
    </row>
    <row r="18" spans="1:37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7.56</v>
      </c>
      <c r="G18" s="79">
        <v>7.15</v>
      </c>
      <c r="H18" s="79">
        <v>6.79</v>
      </c>
      <c r="I18" s="61">
        <v>6.42</v>
      </c>
      <c r="J18" s="61">
        <v>6.23</v>
      </c>
      <c r="K18" s="61">
        <v>7.23</v>
      </c>
      <c r="L18" s="61">
        <v>8.58</v>
      </c>
      <c r="M18" s="61">
        <v>9.01</v>
      </c>
      <c r="N18" s="61">
        <v>8.42</v>
      </c>
      <c r="O18" s="61">
        <v>7.2</v>
      </c>
      <c r="P18" s="61">
        <v>8.83</v>
      </c>
      <c r="Q18" s="61">
        <v>6.71</v>
      </c>
      <c r="R18" s="62">
        <v>6.36</v>
      </c>
      <c r="S18" s="13">
        <f t="shared" si="7"/>
        <v>7.4223076923076921</v>
      </c>
      <c r="T18" s="4">
        <f t="shared" ca="1" si="1"/>
        <v>0</v>
      </c>
      <c r="U18" s="4">
        <f t="shared" ca="1" si="2"/>
        <v>73</v>
      </c>
      <c r="V18" s="4">
        <f t="shared" ca="1" si="3"/>
        <v>287</v>
      </c>
      <c r="W18" s="13">
        <f t="shared" ca="1" si="4"/>
        <v>6.8629999999999995</v>
      </c>
      <c r="X18" s="5">
        <f t="shared" ca="1" si="5"/>
        <v>-7.5354959063115401E-2</v>
      </c>
      <c r="Y18" s="15">
        <f t="shared" si="8"/>
        <v>5.7342657342657199E-2</v>
      </c>
      <c r="Z18" s="15">
        <f t="shared" si="6"/>
        <v>5.3019145802650991E-2</v>
      </c>
      <c r="AA18" s="15">
        <f t="shared" si="6"/>
        <v>5.7632398753894032E-2</v>
      </c>
      <c r="AB18" s="15">
        <f t="shared" si="6"/>
        <v>3.0497592295344989E-2</v>
      </c>
      <c r="AC18" s="15">
        <f t="shared" si="6"/>
        <v>-0.13831258644536648</v>
      </c>
      <c r="AD18" s="15">
        <f t="shared" si="6"/>
        <v>-0.15734265734265729</v>
      </c>
      <c r="AE18" s="15">
        <f t="shared" si="6"/>
        <v>-4.7724750277469474E-2</v>
      </c>
      <c r="AF18" s="15">
        <f t="shared" si="6"/>
        <v>7.0071258907363321E-2</v>
      </c>
      <c r="AG18" s="15">
        <f t="shared" si="6"/>
        <v>0.16944444444444451</v>
      </c>
      <c r="AH18" s="15">
        <f t="shared" si="6"/>
        <v>-0.18459796149490371</v>
      </c>
      <c r="AI18" s="15">
        <f t="shared" si="6"/>
        <v>0.31594634873323391</v>
      </c>
      <c r="AJ18" s="15">
        <f t="shared" si="6"/>
        <v>5.5031446540880546E-2</v>
      </c>
      <c r="AK18" s="5">
        <f t="shared" si="9"/>
        <v>-0.18459796149490371</v>
      </c>
    </row>
    <row r="19" spans="1:37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>
        <v>5.87</v>
      </c>
      <c r="G19" s="79">
        <v>5.62</v>
      </c>
      <c r="H19" s="79">
        <v>5.34</v>
      </c>
      <c r="I19" s="61">
        <v>4.53</v>
      </c>
      <c r="J19" s="61">
        <v>4.6500000000000004</v>
      </c>
      <c r="K19" s="61">
        <v>4.5</v>
      </c>
      <c r="L19" s="61">
        <v>4.8</v>
      </c>
      <c r="M19" s="61">
        <v>5.41</v>
      </c>
      <c r="N19" s="61">
        <v>4.7699999999999996</v>
      </c>
      <c r="O19" s="61">
        <v>3.66</v>
      </c>
      <c r="P19" s="61">
        <v>4.22</v>
      </c>
      <c r="Q19" s="61">
        <v>3.49</v>
      </c>
      <c r="R19" s="62">
        <v>2.59</v>
      </c>
      <c r="S19" s="13">
        <f t="shared" si="7"/>
        <v>4.5730769230769219</v>
      </c>
      <c r="T19" s="4">
        <f t="shared" ca="1" si="1"/>
        <v>0</v>
      </c>
      <c r="U19" s="4">
        <f t="shared" ca="1" si="2"/>
        <v>73</v>
      </c>
      <c r="V19" s="4">
        <f t="shared" ca="1" si="3"/>
        <v>287</v>
      </c>
      <c r="W19" s="13">
        <f t="shared" ca="1" si="4"/>
        <v>5.3967777777777775</v>
      </c>
      <c r="X19" s="5">
        <f t="shared" ca="1" si="5"/>
        <v>0.18011961498925366</v>
      </c>
      <c r="Y19" s="15">
        <f t="shared" si="8"/>
        <v>4.4483985765124467E-2</v>
      </c>
      <c r="Z19" s="15">
        <f t="shared" si="6"/>
        <v>5.2434456928839079E-2</v>
      </c>
      <c r="AA19" s="15">
        <f t="shared" si="6"/>
        <v>0.17880794701986735</v>
      </c>
      <c r="AB19" s="15">
        <f t="shared" si="6"/>
        <v>-2.5806451612903292E-2</v>
      </c>
      <c r="AC19" s="15">
        <f t="shared" si="6"/>
        <v>3.3333333333333437E-2</v>
      </c>
      <c r="AD19" s="15">
        <f t="shared" si="6"/>
        <v>-6.25E-2</v>
      </c>
      <c r="AE19" s="15">
        <f t="shared" si="6"/>
        <v>-0.11275415896487995</v>
      </c>
      <c r="AF19" s="15">
        <f t="shared" si="6"/>
        <v>0.13417190775681354</v>
      </c>
      <c r="AG19" s="15">
        <f t="shared" si="6"/>
        <v>0.30327868852458995</v>
      </c>
      <c r="AH19" s="15">
        <f t="shared" si="6"/>
        <v>-0.13270142180094779</v>
      </c>
      <c r="AI19" s="15">
        <f t="shared" si="6"/>
        <v>0.20916905444126055</v>
      </c>
      <c r="AJ19" s="15">
        <f t="shared" si="6"/>
        <v>0.34749034749034768</v>
      </c>
      <c r="AK19" s="5">
        <f t="shared" si="9"/>
        <v>-0.13270142180094779</v>
      </c>
    </row>
    <row r="20" spans="1:37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67">
        <v>42.89</v>
      </c>
      <c r="G20" s="79">
        <v>41.65</v>
      </c>
      <c r="H20" s="79">
        <v>39.85</v>
      </c>
      <c r="I20" s="66">
        <v>35.700000000000003</v>
      </c>
      <c r="J20" s="61">
        <v>30.55</v>
      </c>
      <c r="K20" s="61">
        <v>30.82</v>
      </c>
      <c r="L20" s="61">
        <v>28.78</v>
      </c>
      <c r="M20" s="61">
        <v>25.71</v>
      </c>
      <c r="N20" s="61">
        <v>22.38</v>
      </c>
      <c r="O20" s="61">
        <v>20.66</v>
      </c>
      <c r="P20" s="61">
        <v>18.73</v>
      </c>
      <c r="Q20" s="61">
        <v>16.62</v>
      </c>
      <c r="R20" s="62">
        <v>16.52</v>
      </c>
      <c r="S20" s="13">
        <f t="shared" si="7"/>
        <v>28.527692307692309</v>
      </c>
      <c r="T20" s="4">
        <f t="shared" ca="1" si="1"/>
        <v>0</v>
      </c>
      <c r="U20" s="4">
        <f t="shared" ca="1" si="2"/>
        <v>73</v>
      </c>
      <c r="V20" s="4">
        <f t="shared" ca="1" si="3"/>
        <v>287</v>
      </c>
      <c r="W20" s="13">
        <f t="shared" ca="1" si="4"/>
        <v>40.215000000000003</v>
      </c>
      <c r="X20" s="5">
        <f t="shared" ca="1" si="5"/>
        <v>0.4096828992072481</v>
      </c>
      <c r="Y20" s="15">
        <f t="shared" si="8"/>
        <v>2.977190876350555E-2</v>
      </c>
      <c r="Z20" s="15">
        <f t="shared" si="6"/>
        <v>4.5169385194479217E-2</v>
      </c>
      <c r="AA20" s="15">
        <f t="shared" si="6"/>
        <v>0.11624649859943981</v>
      </c>
      <c r="AB20" s="15">
        <f t="shared" si="6"/>
        <v>0.16857610474631768</v>
      </c>
      <c r="AC20" s="15">
        <f t="shared" si="6"/>
        <v>-8.760545100583994E-3</v>
      </c>
      <c r="AD20" s="15">
        <f t="shared" si="6"/>
        <v>7.0882557331480189E-2</v>
      </c>
      <c r="AE20" s="15">
        <f t="shared" si="6"/>
        <v>0.1194087903539478</v>
      </c>
      <c r="AF20" s="15">
        <f t="shared" si="6"/>
        <v>0.1487935656836461</v>
      </c>
      <c r="AG20" s="15">
        <f t="shared" si="6"/>
        <v>8.3252662149080336E-2</v>
      </c>
      <c r="AH20" s="15">
        <f t="shared" si="6"/>
        <v>0.10304324612920457</v>
      </c>
      <c r="AI20" s="15">
        <f t="shared" si="6"/>
        <v>0.12695547533092655</v>
      </c>
      <c r="AJ20" s="15">
        <f t="shared" si="6"/>
        <v>6.0532687651333461E-3</v>
      </c>
      <c r="AK20" s="5">
        <f t="shared" si="9"/>
        <v>-8.760545100583994E-3</v>
      </c>
    </row>
    <row r="21" spans="1:37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67">
        <v>22.6</v>
      </c>
      <c r="G21" s="79">
        <v>22.8</v>
      </c>
      <c r="H21" s="79">
        <v>20.8</v>
      </c>
      <c r="I21" s="66">
        <v>14.4</v>
      </c>
      <c r="J21" s="61">
        <v>16.95</v>
      </c>
      <c r="K21" s="61">
        <v>18.95</v>
      </c>
      <c r="L21" s="61">
        <v>18.84</v>
      </c>
      <c r="M21" s="61">
        <v>18.43</v>
      </c>
      <c r="N21" s="61">
        <v>20.49</v>
      </c>
      <c r="O21" s="61">
        <v>16.82</v>
      </c>
      <c r="P21" s="61">
        <v>17.59</v>
      </c>
      <c r="Q21" s="63"/>
      <c r="R21" s="64"/>
      <c r="S21" s="13">
        <f t="shared" si="7"/>
        <v>18.970000000000002</v>
      </c>
      <c r="T21" s="4">
        <f t="shared" ca="1" si="1"/>
        <v>0</v>
      </c>
      <c r="U21" s="4">
        <f t="shared" ca="1" si="2"/>
        <v>73</v>
      </c>
      <c r="V21" s="4">
        <f t="shared" ca="1" si="3"/>
        <v>287</v>
      </c>
      <c r="W21" s="13">
        <f t="shared" ca="1" si="4"/>
        <v>21.205555555555559</v>
      </c>
      <c r="X21" s="5">
        <f t="shared" ca="1" si="5"/>
        <v>0.11784689275464189</v>
      </c>
      <c r="Y21" s="15">
        <f t="shared" si="8"/>
        <v>-8.7719298245613198E-3</v>
      </c>
      <c r="Z21" s="15">
        <f t="shared" si="6"/>
        <v>9.6153846153846256E-2</v>
      </c>
      <c r="AA21" s="15">
        <f t="shared" si="6"/>
        <v>0.44444444444444442</v>
      </c>
      <c r="AB21" s="15">
        <f t="shared" si="6"/>
        <v>-0.1504424778761061</v>
      </c>
      <c r="AC21" s="15">
        <f t="shared" si="6"/>
        <v>-0.10554089709762537</v>
      </c>
      <c r="AD21" s="15">
        <f t="shared" si="6"/>
        <v>5.8386411889597145E-3</v>
      </c>
      <c r="AE21" s="15">
        <f t="shared" si="6"/>
        <v>2.2246337493217583E-2</v>
      </c>
      <c r="AF21" s="15">
        <f t="shared" si="6"/>
        <v>-0.10053684724255729</v>
      </c>
      <c r="AG21" s="15">
        <f t="shared" si="6"/>
        <v>0.21819262782401894</v>
      </c>
      <c r="AH21" s="15">
        <f t="shared" si="6"/>
        <v>-4.3774872086412731E-2</v>
      </c>
      <c r="AI21" s="15">
        <f t="shared" si="6"/>
        <v>99.999989999999997</v>
      </c>
      <c r="AJ21" s="15">
        <f t="shared" si="6"/>
        <v>99.999989999999997</v>
      </c>
      <c r="AK21" s="5">
        <f t="shared" si="9"/>
        <v>-0.1504424778761061</v>
      </c>
    </row>
    <row r="22" spans="1:37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67">
        <v>16.2</v>
      </c>
      <c r="G22" s="79">
        <v>15.6</v>
      </c>
      <c r="H22" s="79">
        <v>15.5</v>
      </c>
      <c r="I22" s="61">
        <v>14.8</v>
      </c>
      <c r="J22" s="61">
        <v>13.21</v>
      </c>
      <c r="K22" s="61">
        <v>12.32</v>
      </c>
      <c r="L22" s="61">
        <v>10.61</v>
      </c>
      <c r="M22" s="61">
        <v>8.68</v>
      </c>
      <c r="N22" s="61">
        <v>7.15</v>
      </c>
      <c r="O22" s="61">
        <v>6.86</v>
      </c>
      <c r="P22" s="61">
        <v>5.18</v>
      </c>
      <c r="Q22" s="61">
        <v>4.0599999999999996</v>
      </c>
      <c r="R22" s="62">
        <v>2.9</v>
      </c>
      <c r="S22" s="13">
        <f t="shared" si="7"/>
        <v>10.236153846153845</v>
      </c>
      <c r="T22" s="4">
        <f t="shared" ca="1" si="1"/>
        <v>0</v>
      </c>
      <c r="U22" s="4">
        <f t="shared" ca="1" si="2"/>
        <v>254</v>
      </c>
      <c r="V22" s="4">
        <f t="shared" ca="1" si="3"/>
        <v>106</v>
      </c>
      <c r="W22" s="13">
        <f t="shared" ca="1" si="4"/>
        <v>15.570555555555558</v>
      </c>
      <c r="X22" s="5">
        <f t="shared" ca="1" si="5"/>
        <v>0.52113340514182216</v>
      </c>
      <c r="Y22" s="15">
        <f t="shared" si="8"/>
        <v>3.8461538461538547E-2</v>
      </c>
      <c r="Z22" s="15">
        <f t="shared" si="6"/>
        <v>6.4516129032257119E-3</v>
      </c>
      <c r="AA22" s="15">
        <f t="shared" si="6"/>
        <v>4.7297297297297147E-2</v>
      </c>
      <c r="AB22" s="15">
        <f t="shared" si="6"/>
        <v>0.12036336109008317</v>
      </c>
      <c r="AC22" s="15">
        <f t="shared" si="6"/>
        <v>7.2240259740259827E-2</v>
      </c>
      <c r="AD22" s="15">
        <f t="shared" si="6"/>
        <v>0.16116870876531575</v>
      </c>
      <c r="AE22" s="15">
        <f t="shared" si="6"/>
        <v>0.22235023041474644</v>
      </c>
      <c r="AF22" s="15">
        <f t="shared" si="6"/>
        <v>0.21398601398601391</v>
      </c>
      <c r="AG22" s="15">
        <f t="shared" si="6"/>
        <v>4.2274052478134205E-2</v>
      </c>
      <c r="AH22" s="15">
        <f t="shared" si="6"/>
        <v>0.32432432432432456</v>
      </c>
      <c r="AI22" s="15">
        <f t="shared" si="6"/>
        <v>0.27586206896551735</v>
      </c>
      <c r="AJ22" s="15">
        <f t="shared" si="6"/>
        <v>0.39999999999999991</v>
      </c>
      <c r="AK22" s="5">
        <f t="shared" si="9"/>
        <v>6.4516129032257119E-3</v>
      </c>
    </row>
    <row r="23" spans="1:37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>
        <v>4.16</v>
      </c>
      <c r="G23" s="79">
        <v>4.5</v>
      </c>
      <c r="H23" s="79">
        <v>4.1100000000000003</v>
      </c>
      <c r="I23" s="66">
        <v>4.05</v>
      </c>
      <c r="J23" s="61">
        <v>3.27</v>
      </c>
      <c r="K23" s="61">
        <v>3.69</v>
      </c>
      <c r="L23" s="61">
        <v>4.03</v>
      </c>
      <c r="M23" s="61">
        <v>4.54</v>
      </c>
      <c r="N23" s="61">
        <v>3.76</v>
      </c>
      <c r="O23" s="61">
        <v>3.43</v>
      </c>
      <c r="P23" s="61">
        <v>3.39</v>
      </c>
      <c r="Q23" s="61"/>
      <c r="R23" s="62"/>
      <c r="S23" s="13">
        <f t="shared" si="7"/>
        <v>3.9027272727272728</v>
      </c>
      <c r="T23" s="4">
        <f t="shared" ca="1" si="1"/>
        <v>0</v>
      </c>
      <c r="U23" s="4">
        <f t="shared" ca="1" si="2"/>
        <v>73</v>
      </c>
      <c r="V23" s="4">
        <f t="shared" ca="1" si="3"/>
        <v>287</v>
      </c>
      <c r="W23" s="13">
        <f t="shared" ca="1" si="4"/>
        <v>4.1890833333333335</v>
      </c>
      <c r="X23" s="5">
        <f t="shared" ca="1" si="5"/>
        <v>7.3373320910008477E-2</v>
      </c>
      <c r="Y23" s="15">
        <f t="shared" si="8"/>
        <v>-7.5555555555555487E-2</v>
      </c>
      <c r="Z23" s="15">
        <f t="shared" si="6"/>
        <v>9.4890510948905105E-2</v>
      </c>
      <c r="AA23" s="15">
        <f t="shared" si="6"/>
        <v>1.4814814814814836E-2</v>
      </c>
      <c r="AB23" s="15">
        <f t="shared" si="6"/>
        <v>0.23853211009174302</v>
      </c>
      <c r="AC23" s="15">
        <f t="shared" si="6"/>
        <v>-0.11382113821138207</v>
      </c>
      <c r="AD23" s="15">
        <f t="shared" si="6"/>
        <v>-8.4367245657568257E-2</v>
      </c>
      <c r="AE23" s="15">
        <f t="shared" si="6"/>
        <v>-0.11233480176211452</v>
      </c>
      <c r="AF23" s="15">
        <f t="shared" si="6"/>
        <v>0.20744680851063846</v>
      </c>
      <c r="AG23" s="15">
        <f t="shared" si="6"/>
        <v>9.6209912536443065E-2</v>
      </c>
      <c r="AH23" s="15">
        <f t="shared" si="6"/>
        <v>1.1799410029498469E-2</v>
      </c>
      <c r="AI23" s="15">
        <f t="shared" si="6"/>
        <v>99.999989999999997</v>
      </c>
      <c r="AJ23" s="15">
        <f t="shared" si="6"/>
        <v>99.999989999999997</v>
      </c>
      <c r="AK23" s="5">
        <f t="shared" si="9"/>
        <v>-0.11382113821138207</v>
      </c>
    </row>
    <row r="24" spans="1:37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67">
        <v>5.25</v>
      </c>
      <c r="G24" s="79">
        <v>5.18</v>
      </c>
      <c r="H24" s="79">
        <v>5.12</v>
      </c>
      <c r="I24" s="66">
        <v>4.8899999999999997</v>
      </c>
      <c r="J24" s="61">
        <v>5.24</v>
      </c>
      <c r="K24" s="61">
        <v>5.65</v>
      </c>
      <c r="L24" s="61">
        <v>7.17</v>
      </c>
      <c r="M24" s="61">
        <v>6.58</v>
      </c>
      <c r="N24" s="61">
        <v>6.12</v>
      </c>
      <c r="O24" s="61">
        <v>5.91</v>
      </c>
      <c r="P24" s="63"/>
      <c r="Q24" s="61"/>
      <c r="R24" s="62"/>
      <c r="S24" s="13">
        <f t="shared" si="7"/>
        <v>5.7110000000000003</v>
      </c>
      <c r="T24" s="4">
        <f t="shared" ca="1" si="1"/>
        <v>0</v>
      </c>
      <c r="U24" s="4">
        <f t="shared" ca="1" si="2"/>
        <v>164</v>
      </c>
      <c r="V24" s="4">
        <f t="shared" ca="1" si="3"/>
        <v>196</v>
      </c>
      <c r="W24" s="13">
        <f t="shared" ca="1" si="4"/>
        <v>5.1473333333333331</v>
      </c>
      <c r="X24" s="5">
        <f t="shared" ca="1" si="5"/>
        <v>-9.8698418257164633E-2</v>
      </c>
      <c r="Y24" s="15">
        <f t="shared" si="8"/>
        <v>1.3513513513513598E-2</v>
      </c>
      <c r="Z24" s="15">
        <f t="shared" si="6"/>
        <v>1.171875E-2</v>
      </c>
      <c r="AA24" s="15">
        <f t="shared" si="6"/>
        <v>4.7034764826175968E-2</v>
      </c>
      <c r="AB24" s="15">
        <f t="shared" si="6"/>
        <v>-6.6793893129771131E-2</v>
      </c>
      <c r="AC24" s="15">
        <f t="shared" si="6"/>
        <v>-7.2566371681415998E-2</v>
      </c>
      <c r="AD24" s="15">
        <f t="shared" si="6"/>
        <v>-0.21199442119944212</v>
      </c>
      <c r="AE24" s="15">
        <f t="shared" si="6"/>
        <v>8.9665653495440756E-2</v>
      </c>
      <c r="AF24" s="15">
        <f t="shared" si="6"/>
        <v>7.5163398692810413E-2</v>
      </c>
      <c r="AG24" s="15">
        <f t="shared" si="6"/>
        <v>3.5532994923857864E-2</v>
      </c>
      <c r="AH24" s="15">
        <f t="shared" si="6"/>
        <v>99.999989999999997</v>
      </c>
      <c r="AI24" s="15">
        <f t="shared" si="6"/>
        <v>99.999989999999997</v>
      </c>
      <c r="AJ24" s="15">
        <f t="shared" si="6"/>
        <v>99.999989999999997</v>
      </c>
      <c r="AK24" s="5">
        <f t="shared" si="9"/>
        <v>-0.21199442119944212</v>
      </c>
    </row>
    <row r="25" spans="1:37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67">
        <v>10.199999999999999</v>
      </c>
      <c r="G25" s="79">
        <v>10</v>
      </c>
      <c r="H25" s="79">
        <v>9.75</v>
      </c>
      <c r="I25" s="61">
        <v>9.91</v>
      </c>
      <c r="J25" s="61">
        <v>9.66</v>
      </c>
      <c r="K25" s="61">
        <v>9.48</v>
      </c>
      <c r="L25" s="61">
        <v>8.8800000000000008</v>
      </c>
      <c r="M25" s="61">
        <v>8.35</v>
      </c>
      <c r="N25" s="61">
        <v>7.37</v>
      </c>
      <c r="O25" s="61">
        <v>7.73</v>
      </c>
      <c r="P25" s="61">
        <v>10.83</v>
      </c>
      <c r="Q25" s="61">
        <v>9.36</v>
      </c>
      <c r="R25" s="62">
        <v>8.16</v>
      </c>
      <c r="S25" s="13">
        <f t="shared" si="7"/>
        <v>9.2061538461538461</v>
      </c>
      <c r="T25" s="4">
        <f t="shared" ca="1" si="1"/>
        <v>0</v>
      </c>
      <c r="U25" s="4">
        <f t="shared" ca="1" si="2"/>
        <v>73</v>
      </c>
      <c r="V25" s="4">
        <f t="shared" ca="1" si="3"/>
        <v>287</v>
      </c>
      <c r="W25" s="13">
        <f t="shared" ca="1" si="4"/>
        <v>9.8006944444444457</v>
      </c>
      <c r="X25" s="5">
        <f t="shared" ca="1" si="5"/>
        <v>6.458078022875835E-2</v>
      </c>
      <c r="Y25" s="15">
        <f t="shared" si="8"/>
        <v>2.0000000000000018E-2</v>
      </c>
      <c r="Z25" s="15">
        <f t="shared" si="6"/>
        <v>2.564102564102555E-2</v>
      </c>
      <c r="AA25" s="15">
        <f t="shared" si="6"/>
        <v>-1.6145307769929396E-2</v>
      </c>
      <c r="AB25" s="15">
        <f t="shared" si="6"/>
        <v>2.5879917184264967E-2</v>
      </c>
      <c r="AC25" s="15">
        <f t="shared" si="6"/>
        <v>1.8987341772151778E-2</v>
      </c>
      <c r="AD25" s="15">
        <f t="shared" si="6"/>
        <v>6.7567567567567544E-2</v>
      </c>
      <c r="AE25" s="15">
        <f t="shared" si="6"/>
        <v>6.3473053892215692E-2</v>
      </c>
      <c r="AF25" s="15">
        <f t="shared" si="6"/>
        <v>0.1329715061058343</v>
      </c>
      <c r="AG25" s="15">
        <f t="shared" si="6"/>
        <v>-4.657179818887458E-2</v>
      </c>
      <c r="AH25" s="15">
        <f t="shared" si="6"/>
        <v>-0.28624192059095099</v>
      </c>
      <c r="AI25" s="15">
        <f t="shared" si="6"/>
        <v>0.15705128205128216</v>
      </c>
      <c r="AJ25" s="15">
        <f t="shared" si="6"/>
        <v>0.14705882352941169</v>
      </c>
      <c r="AK25" s="5">
        <f t="shared" si="9"/>
        <v>-0.28624192059095099</v>
      </c>
    </row>
    <row r="26" spans="1:37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67">
        <v>31.9</v>
      </c>
      <c r="G26" s="79">
        <v>29.8</v>
      </c>
      <c r="H26" s="79">
        <v>27.6</v>
      </c>
      <c r="I26" s="61">
        <v>29.53</v>
      </c>
      <c r="J26" s="61">
        <v>28.96</v>
      </c>
      <c r="K26" s="61">
        <v>31.32</v>
      </c>
      <c r="L26" s="61">
        <v>30.23</v>
      </c>
      <c r="M26" s="61">
        <v>33.29</v>
      </c>
      <c r="N26" s="63"/>
      <c r="O26" s="63"/>
      <c r="P26" s="63"/>
      <c r="Q26" s="63"/>
      <c r="R26" s="64"/>
      <c r="S26" s="13">
        <f t="shared" si="7"/>
        <v>30.328749999999999</v>
      </c>
      <c r="T26" s="4">
        <f t="shared" ca="1" si="1"/>
        <v>0</v>
      </c>
      <c r="U26" s="4">
        <f t="shared" ca="1" si="2"/>
        <v>73</v>
      </c>
      <c r="V26" s="4">
        <f t="shared" ca="1" si="3"/>
        <v>287</v>
      </c>
      <c r="W26" s="13">
        <f t="shared" ca="1" si="4"/>
        <v>28.046111111111113</v>
      </c>
      <c r="X26" s="5">
        <f t="shared" ca="1" si="5"/>
        <v>-7.526320368920203E-2</v>
      </c>
      <c r="Y26" s="15">
        <f t="shared" si="8"/>
        <v>7.0469798657718075E-2</v>
      </c>
      <c r="Z26" s="15">
        <f t="shared" si="6"/>
        <v>7.9710144927536142E-2</v>
      </c>
      <c r="AA26" s="15">
        <f t="shared" si="6"/>
        <v>-6.5357263799525889E-2</v>
      </c>
      <c r="AB26" s="15">
        <f t="shared" si="6"/>
        <v>1.9682320441988921E-2</v>
      </c>
      <c r="AC26" s="15">
        <f t="shared" si="6"/>
        <v>-7.5351213282247698E-2</v>
      </c>
      <c r="AD26" s="15">
        <f t="shared" si="6"/>
        <v>3.605689712206428E-2</v>
      </c>
      <c r="AE26" s="15">
        <f t="shared" si="6"/>
        <v>-9.1919495343947055E-2</v>
      </c>
      <c r="AF26" s="15">
        <f t="shared" si="6"/>
        <v>99.999989999999997</v>
      </c>
      <c r="AG26" s="15">
        <f t="shared" si="6"/>
        <v>99.999989999999997</v>
      </c>
      <c r="AH26" s="15">
        <f t="shared" si="6"/>
        <v>99.999989999999997</v>
      </c>
      <c r="AI26" s="15">
        <f t="shared" si="6"/>
        <v>99.999989999999997</v>
      </c>
      <c r="AJ26" s="15">
        <f t="shared" si="6"/>
        <v>99.999989999999997</v>
      </c>
      <c r="AK26" s="5">
        <f t="shared" si="9"/>
        <v>-9.1919495343947055E-2</v>
      </c>
    </row>
    <row r="27" spans="1:37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67">
        <v>6.11</v>
      </c>
      <c r="G27" s="79">
        <v>6.24</v>
      </c>
      <c r="H27" s="79">
        <v>6.11</v>
      </c>
      <c r="I27" s="61">
        <v>6.12</v>
      </c>
      <c r="J27" s="61">
        <v>6.95</v>
      </c>
      <c r="K27" s="61">
        <v>6.19</v>
      </c>
      <c r="L27" s="61">
        <v>5.93</v>
      </c>
      <c r="M27" s="61">
        <v>5.05</v>
      </c>
      <c r="N27" s="61">
        <v>5.42</v>
      </c>
      <c r="O27" s="61">
        <v>4.8600000000000003</v>
      </c>
      <c r="P27" s="61">
        <v>4.8899999999999997</v>
      </c>
      <c r="Q27" s="61">
        <v>4.2300000000000004</v>
      </c>
      <c r="R27" s="62">
        <v>3.79</v>
      </c>
      <c r="S27" s="13">
        <f t="shared" si="7"/>
        <v>5.53</v>
      </c>
      <c r="T27" s="4">
        <f t="shared" ca="1" si="1"/>
        <v>0</v>
      </c>
      <c r="U27" s="4">
        <f t="shared" ca="1" si="2"/>
        <v>73</v>
      </c>
      <c r="V27" s="4">
        <f t="shared" ca="1" si="3"/>
        <v>287</v>
      </c>
      <c r="W27" s="13">
        <f t="shared" ca="1" si="4"/>
        <v>6.1363611111111114</v>
      </c>
      <c r="X27" s="5">
        <f t="shared" ca="1" si="5"/>
        <v>0.10964938718103268</v>
      </c>
      <c r="Y27" s="15">
        <f t="shared" si="8"/>
        <v>-2.083333333333337E-2</v>
      </c>
      <c r="Z27" s="15">
        <f t="shared" si="6"/>
        <v>2.1276595744680771E-2</v>
      </c>
      <c r="AA27" s="15">
        <f t="shared" si="6"/>
        <v>-1.6339869281045694E-3</v>
      </c>
      <c r="AB27" s="15">
        <f t="shared" ref="Z27:AJ50" si="10">IF(J27&lt;&gt;"",IF(I27&lt;0,IF(J27&lt;0,((I27/J27)-1)*-1,(I27/J27)-1),IF(J27&lt;0,ABS((I27/J27)-1),(I27/J27)-1)),99.99999)</f>
        <v>-0.11942446043165467</v>
      </c>
      <c r="AC27" s="15">
        <f t="shared" si="10"/>
        <v>0.12277867528271402</v>
      </c>
      <c r="AD27" s="15">
        <f t="shared" si="10"/>
        <v>4.384485666104565E-2</v>
      </c>
      <c r="AE27" s="15">
        <f t="shared" si="10"/>
        <v>0.17425742574257419</v>
      </c>
      <c r="AF27" s="15">
        <f t="shared" si="10"/>
        <v>-6.8265682656826643E-2</v>
      </c>
      <c r="AG27" s="15">
        <f t="shared" si="10"/>
        <v>0.11522633744855959</v>
      </c>
      <c r="AH27" s="15">
        <f t="shared" si="10"/>
        <v>-6.1349693251532278E-3</v>
      </c>
      <c r="AI27" s="15">
        <f t="shared" si="10"/>
        <v>0.15602836879432602</v>
      </c>
      <c r="AJ27" s="15">
        <f t="shared" si="10"/>
        <v>0.11609498680738795</v>
      </c>
      <c r="AK27" s="5">
        <f t="shared" si="9"/>
        <v>-0.11942446043165467</v>
      </c>
    </row>
    <row r="28" spans="1:37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67">
        <v>32</v>
      </c>
      <c r="G28" s="79">
        <v>31.9</v>
      </c>
      <c r="H28" s="79">
        <v>29.1</v>
      </c>
      <c r="I28" s="66">
        <v>27.4</v>
      </c>
      <c r="J28" s="61">
        <v>28.77</v>
      </c>
      <c r="K28" s="61">
        <v>30.12</v>
      </c>
      <c r="L28" s="61">
        <v>27.49</v>
      </c>
      <c r="M28" s="61">
        <v>24.34</v>
      </c>
      <c r="N28" s="61">
        <v>22.54</v>
      </c>
      <c r="O28" s="61">
        <v>21.05</v>
      </c>
      <c r="P28" s="61">
        <v>18.43</v>
      </c>
      <c r="Q28" s="61">
        <v>16.809999999999999</v>
      </c>
      <c r="R28" s="62">
        <v>14.63</v>
      </c>
      <c r="S28" s="13">
        <f t="shared" si="7"/>
        <v>24.96769230769231</v>
      </c>
      <c r="T28" s="4">
        <f t="shared" ca="1" si="1"/>
        <v>0</v>
      </c>
      <c r="U28" s="4">
        <f t="shared" ca="1" si="2"/>
        <v>73</v>
      </c>
      <c r="V28" s="4">
        <f t="shared" ca="1" si="3"/>
        <v>287</v>
      </c>
      <c r="W28" s="13">
        <f t="shared" ca="1" si="4"/>
        <v>29.667777777777783</v>
      </c>
      <c r="X28" s="5">
        <f t="shared" ca="1" si="5"/>
        <v>0.18824669145083228</v>
      </c>
      <c r="Y28" s="15">
        <f t="shared" si="8"/>
        <v>3.1347962382446415E-3</v>
      </c>
      <c r="Z28" s="15">
        <f t="shared" si="10"/>
        <v>9.6219931271477543E-2</v>
      </c>
      <c r="AA28" s="15">
        <f t="shared" si="10"/>
        <v>6.2043795620438047E-2</v>
      </c>
      <c r="AB28" s="15">
        <f t="shared" si="10"/>
        <v>-4.7619047619047672E-2</v>
      </c>
      <c r="AC28" s="15">
        <f t="shared" si="10"/>
        <v>-4.4820717131474175E-2</v>
      </c>
      <c r="AD28" s="15">
        <f t="shared" si="10"/>
        <v>9.5671153146598797E-2</v>
      </c>
      <c r="AE28" s="15">
        <f t="shared" si="10"/>
        <v>0.12941659819227613</v>
      </c>
      <c r="AF28" s="15">
        <f t="shared" si="10"/>
        <v>7.9858030168589167E-2</v>
      </c>
      <c r="AG28" s="15">
        <f t="shared" si="10"/>
        <v>7.0783847980997461E-2</v>
      </c>
      <c r="AH28" s="15">
        <f t="shared" si="10"/>
        <v>0.14215952251763442</v>
      </c>
      <c r="AI28" s="15">
        <f t="shared" si="10"/>
        <v>9.6371207614515342E-2</v>
      </c>
      <c r="AJ28" s="15">
        <f t="shared" si="10"/>
        <v>0.14900888585099104</v>
      </c>
      <c r="AK28" s="5">
        <f t="shared" si="9"/>
        <v>-4.7619047619047672E-2</v>
      </c>
    </row>
    <row r="29" spans="1:37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67">
        <v>2.64</v>
      </c>
      <c r="G29" s="79">
        <v>2.5100000000000002</v>
      </c>
      <c r="H29" s="79">
        <v>2.58</v>
      </c>
      <c r="I29" s="66">
        <v>2.67</v>
      </c>
      <c r="J29" s="63"/>
      <c r="K29" s="63"/>
      <c r="L29" s="63"/>
      <c r="M29" s="63"/>
      <c r="N29" s="63"/>
      <c r="O29" s="63"/>
      <c r="P29" s="63"/>
      <c r="Q29" s="63"/>
      <c r="R29" s="64"/>
      <c r="S29" s="13">
        <f t="shared" si="7"/>
        <v>2.6</v>
      </c>
      <c r="T29" s="4">
        <f t="shared" ca="1" si="1"/>
        <v>0</v>
      </c>
      <c r="U29" s="4">
        <f t="shared" ca="1" si="2"/>
        <v>343</v>
      </c>
      <c r="V29" s="4">
        <f t="shared" ca="1" si="3"/>
        <v>17</v>
      </c>
      <c r="W29" s="13">
        <f t="shared" ca="1" si="4"/>
        <v>2.5133055555555557</v>
      </c>
      <c r="X29" s="5">
        <f t="shared" ca="1" si="5"/>
        <v>-3.3344017094017131E-2</v>
      </c>
      <c r="Y29" s="15">
        <f t="shared" si="8"/>
        <v>5.1792828685258918E-2</v>
      </c>
      <c r="Z29" s="15">
        <f t="shared" si="10"/>
        <v>-2.7131782945736371E-2</v>
      </c>
      <c r="AA29" s="15">
        <f t="shared" si="10"/>
        <v>-3.3707865168539297E-2</v>
      </c>
      <c r="AB29" s="15">
        <f t="shared" si="10"/>
        <v>99.999989999999997</v>
      </c>
      <c r="AC29" s="15">
        <f t="shared" si="10"/>
        <v>99.999989999999997</v>
      </c>
      <c r="AD29" s="15">
        <f t="shared" si="10"/>
        <v>99.999989999999997</v>
      </c>
      <c r="AE29" s="15">
        <f t="shared" si="10"/>
        <v>99.999989999999997</v>
      </c>
      <c r="AF29" s="15">
        <f t="shared" si="10"/>
        <v>99.999989999999997</v>
      </c>
      <c r="AG29" s="15">
        <f t="shared" si="10"/>
        <v>99.999989999999997</v>
      </c>
      <c r="AH29" s="15">
        <f t="shared" si="10"/>
        <v>99.999989999999997</v>
      </c>
      <c r="AI29" s="15">
        <f t="shared" si="10"/>
        <v>99.999989999999997</v>
      </c>
      <c r="AJ29" s="15">
        <f t="shared" si="10"/>
        <v>99.999989999999997</v>
      </c>
      <c r="AK29" s="5">
        <f t="shared" si="9"/>
        <v>-3.3707865168539297E-2</v>
      </c>
    </row>
    <row r="30" spans="1:37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67">
        <v>6.76</v>
      </c>
      <c r="G30" s="79">
        <v>6.01</v>
      </c>
      <c r="H30" s="79">
        <v>5.46</v>
      </c>
      <c r="I30" s="61">
        <v>4.55</v>
      </c>
      <c r="J30" s="61">
        <v>4.78</v>
      </c>
      <c r="K30" s="61">
        <v>5.05</v>
      </c>
      <c r="L30" s="61">
        <v>4.76</v>
      </c>
      <c r="M30" s="61">
        <v>4.83</v>
      </c>
      <c r="N30" s="61">
        <v>4.0199999999999996</v>
      </c>
      <c r="O30" s="61">
        <v>3.32</v>
      </c>
      <c r="P30" s="61">
        <v>4.13</v>
      </c>
      <c r="Q30" s="61">
        <v>3.74</v>
      </c>
      <c r="R30" s="62">
        <v>2.79</v>
      </c>
      <c r="S30" s="13">
        <f t="shared" si="7"/>
        <v>4.6307692307692312</v>
      </c>
      <c r="T30" s="4">
        <f t="shared" ca="1" si="1"/>
        <v>0</v>
      </c>
      <c r="U30" s="4">
        <f t="shared" ca="1" si="2"/>
        <v>73</v>
      </c>
      <c r="V30" s="4">
        <f t="shared" ca="1" si="3"/>
        <v>287</v>
      </c>
      <c r="W30" s="13">
        <f t="shared" ca="1" si="4"/>
        <v>5.5715277777777779</v>
      </c>
      <c r="X30" s="5">
        <f t="shared" ca="1" si="5"/>
        <v>0.20315383905500184</v>
      </c>
      <c r="Y30" s="15">
        <f t="shared" si="8"/>
        <v>0.1247920133111482</v>
      </c>
      <c r="Z30" s="15">
        <f t="shared" si="10"/>
        <v>0.1007326007326006</v>
      </c>
      <c r="AA30" s="15">
        <f t="shared" si="10"/>
        <v>0.19999999999999996</v>
      </c>
      <c r="AB30" s="15">
        <f t="shared" si="10"/>
        <v>-4.8117154811715523E-2</v>
      </c>
      <c r="AC30" s="15">
        <f t="shared" si="10"/>
        <v>-5.3465346534653402E-2</v>
      </c>
      <c r="AD30" s="15">
        <f t="shared" si="10"/>
        <v>6.0924369747899165E-2</v>
      </c>
      <c r="AE30" s="15">
        <f t="shared" si="10"/>
        <v>-1.449275362318847E-2</v>
      </c>
      <c r="AF30" s="15">
        <f t="shared" si="10"/>
        <v>0.20149253731343308</v>
      </c>
      <c r="AG30" s="15">
        <f t="shared" si="10"/>
        <v>0.21084337349397586</v>
      </c>
      <c r="AH30" s="15">
        <f t="shared" si="10"/>
        <v>-0.19612590799031482</v>
      </c>
      <c r="AI30" s="15">
        <f t="shared" si="10"/>
        <v>0.10427807486631013</v>
      </c>
      <c r="AJ30" s="15">
        <f t="shared" si="10"/>
        <v>0.34050179211469533</v>
      </c>
      <c r="AK30" s="5">
        <f t="shared" si="9"/>
        <v>-0.19612590799031482</v>
      </c>
    </row>
    <row r="31" spans="1:37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67">
        <v>19.2</v>
      </c>
      <c r="G31" s="79">
        <v>17.5</v>
      </c>
      <c r="H31" s="79">
        <v>16.899999999999999</v>
      </c>
      <c r="I31" s="61">
        <v>16.760000000000002</v>
      </c>
      <c r="J31" s="61">
        <v>17.5</v>
      </c>
      <c r="K31" s="61">
        <v>16.61</v>
      </c>
      <c r="L31" s="61">
        <v>17.850000000000001</v>
      </c>
      <c r="M31" s="61">
        <v>18.940000000000001</v>
      </c>
      <c r="N31" s="61">
        <v>17.34</v>
      </c>
      <c r="O31" s="61">
        <v>16.350000000000001</v>
      </c>
      <c r="P31" s="61">
        <v>19.09</v>
      </c>
      <c r="Q31" s="61">
        <v>18.52</v>
      </c>
      <c r="R31" s="64"/>
      <c r="S31" s="13">
        <f t="shared" si="7"/>
        <v>17.713333333333335</v>
      </c>
      <c r="T31" s="4">
        <f t="shared" ca="1" si="1"/>
        <v>0</v>
      </c>
      <c r="U31" s="4">
        <f t="shared" ca="1" si="2"/>
        <v>73</v>
      </c>
      <c r="V31" s="4">
        <f t="shared" ca="1" si="3"/>
        <v>287</v>
      </c>
      <c r="W31" s="13">
        <f t="shared" ca="1" si="4"/>
        <v>17.021666666666665</v>
      </c>
      <c r="X31" s="5">
        <f t="shared" ca="1" si="5"/>
        <v>-3.9047798268724287E-2</v>
      </c>
      <c r="Y31" s="15">
        <f t="shared" si="8"/>
        <v>9.7142857142857197E-2</v>
      </c>
      <c r="Z31" s="15">
        <f t="shared" si="10"/>
        <v>3.5502958579881838E-2</v>
      </c>
      <c r="AA31" s="15">
        <f t="shared" si="10"/>
        <v>8.3532219570403576E-3</v>
      </c>
      <c r="AB31" s="15">
        <f t="shared" si="10"/>
        <v>-4.2285714285714149E-2</v>
      </c>
      <c r="AC31" s="15">
        <f t="shared" si="10"/>
        <v>5.3582179409993991E-2</v>
      </c>
      <c r="AD31" s="15">
        <f t="shared" si="10"/>
        <v>-6.9467787114846025E-2</v>
      </c>
      <c r="AE31" s="15">
        <f t="shared" si="10"/>
        <v>-5.7550158394931383E-2</v>
      </c>
      <c r="AF31" s="15">
        <f t="shared" si="10"/>
        <v>9.2272202998846753E-2</v>
      </c>
      <c r="AG31" s="15">
        <f t="shared" si="10"/>
        <v>6.0550458715596278E-2</v>
      </c>
      <c r="AH31" s="15">
        <f t="shared" si="10"/>
        <v>-0.14353064431639595</v>
      </c>
      <c r="AI31" s="15">
        <f t="shared" si="10"/>
        <v>3.077753779697634E-2</v>
      </c>
      <c r="AJ31" s="15">
        <f t="shared" si="10"/>
        <v>99.999989999999997</v>
      </c>
      <c r="AK31" s="5">
        <f t="shared" si="9"/>
        <v>-0.14353064431639595</v>
      </c>
    </row>
    <row r="32" spans="1:37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67">
        <v>86.5</v>
      </c>
      <c r="G32" s="79">
        <v>83.5</v>
      </c>
      <c r="H32" s="79">
        <v>81.900000000000006</v>
      </c>
      <c r="I32" s="61">
        <v>82.48</v>
      </c>
      <c r="J32" s="61">
        <v>77.92</v>
      </c>
      <c r="K32" s="61">
        <v>70.13</v>
      </c>
      <c r="L32" s="61">
        <v>61.27</v>
      </c>
      <c r="M32" s="61">
        <v>52.34</v>
      </c>
      <c r="N32" s="61">
        <v>45.76</v>
      </c>
      <c r="O32" s="61">
        <v>43.23</v>
      </c>
      <c r="P32" s="61">
        <v>36.880000000000003</v>
      </c>
      <c r="Q32" s="61">
        <v>31.85</v>
      </c>
      <c r="R32" s="62">
        <v>28.07</v>
      </c>
      <c r="S32" s="13">
        <f t="shared" si="7"/>
        <v>60.140769230769244</v>
      </c>
      <c r="T32" s="4">
        <f t="shared" ca="1" si="1"/>
        <v>0</v>
      </c>
      <c r="U32" s="4">
        <f t="shared" ca="1" si="2"/>
        <v>73</v>
      </c>
      <c r="V32" s="4">
        <f t="shared" ca="1" si="3"/>
        <v>287</v>
      </c>
      <c r="W32" s="13">
        <f t="shared" ca="1" si="4"/>
        <v>82.224444444444444</v>
      </c>
      <c r="X32" s="5">
        <f t="shared" ca="1" si="5"/>
        <v>0.36719974646378062</v>
      </c>
      <c r="Y32" s="15">
        <f t="shared" si="8"/>
        <v>3.5928143712574911E-2</v>
      </c>
      <c r="Z32" s="15">
        <f t="shared" si="10"/>
        <v>1.9536019536019467E-2</v>
      </c>
      <c r="AA32" s="15">
        <f t="shared" si="10"/>
        <v>-7.032007759456782E-3</v>
      </c>
      <c r="AB32" s="15">
        <f t="shared" si="10"/>
        <v>5.8521560574948728E-2</v>
      </c>
      <c r="AC32" s="15">
        <f t="shared" si="10"/>
        <v>0.11107942392699277</v>
      </c>
      <c r="AD32" s="15">
        <f t="shared" si="10"/>
        <v>0.14460584299004386</v>
      </c>
      <c r="AE32" s="15">
        <f t="shared" si="10"/>
        <v>0.17061520825372556</v>
      </c>
      <c r="AF32" s="15">
        <f t="shared" si="10"/>
        <v>0.14379370629370647</v>
      </c>
      <c r="AG32" s="15">
        <f t="shared" si="10"/>
        <v>5.8524173027989956E-2</v>
      </c>
      <c r="AH32" s="15">
        <f t="shared" si="10"/>
        <v>0.17218004338394777</v>
      </c>
      <c r="AI32" s="15">
        <f t="shared" si="10"/>
        <v>0.15792778649921502</v>
      </c>
      <c r="AJ32" s="15">
        <f t="shared" si="10"/>
        <v>0.13466334164588534</v>
      </c>
      <c r="AK32" s="5">
        <f t="shared" si="9"/>
        <v>-7.032007759456782E-3</v>
      </c>
    </row>
    <row r="33" spans="1:37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67">
        <v>6.91</v>
      </c>
      <c r="G33" s="79">
        <v>6.83</v>
      </c>
      <c r="H33" s="79">
        <v>6.85</v>
      </c>
      <c r="I33" s="61">
        <v>6.94</v>
      </c>
      <c r="J33" s="61">
        <v>7.54</v>
      </c>
      <c r="K33" s="61">
        <v>7.34</v>
      </c>
      <c r="L33" s="61">
        <v>6.99</v>
      </c>
      <c r="M33" s="61">
        <v>6.76</v>
      </c>
      <c r="N33" s="61">
        <v>5.38</v>
      </c>
      <c r="O33" s="61">
        <v>4.43</v>
      </c>
      <c r="P33" s="61">
        <v>4.6900000000000004</v>
      </c>
      <c r="Q33" s="61">
        <v>3.65</v>
      </c>
      <c r="R33" s="62">
        <v>3.45</v>
      </c>
      <c r="S33" s="13">
        <f t="shared" si="7"/>
        <v>5.9815384615384621</v>
      </c>
      <c r="T33" s="4">
        <f t="shared" ca="1" si="1"/>
        <v>0</v>
      </c>
      <c r="U33" s="4">
        <f t="shared" ca="1" si="2"/>
        <v>73</v>
      </c>
      <c r="V33" s="4">
        <f t="shared" ca="1" si="3"/>
        <v>287</v>
      </c>
      <c r="W33" s="13">
        <f t="shared" ca="1" si="4"/>
        <v>6.8459444444444442</v>
      </c>
      <c r="X33" s="5">
        <f t="shared" ca="1" si="5"/>
        <v>0.14451231710105161</v>
      </c>
      <c r="Y33" s="15">
        <f t="shared" si="8"/>
        <v>1.171303074670571E-2</v>
      </c>
      <c r="Z33" s="15">
        <f t="shared" si="10"/>
        <v>-2.9197080291970545E-3</v>
      </c>
      <c r="AA33" s="15">
        <f t="shared" si="10"/>
        <v>-1.2968299711815678E-2</v>
      </c>
      <c r="AB33" s="15">
        <f t="shared" si="10"/>
        <v>-7.9575596816976124E-2</v>
      </c>
      <c r="AC33" s="15">
        <f t="shared" si="10"/>
        <v>2.7247956403269713E-2</v>
      </c>
      <c r="AD33" s="15">
        <f t="shared" si="10"/>
        <v>5.0071530758226013E-2</v>
      </c>
      <c r="AE33" s="15">
        <f t="shared" si="10"/>
        <v>3.4023668639053373E-2</v>
      </c>
      <c r="AF33" s="15">
        <f t="shared" si="10"/>
        <v>0.25650557620817849</v>
      </c>
      <c r="AG33" s="15">
        <f t="shared" si="10"/>
        <v>0.21444695259593693</v>
      </c>
      <c r="AH33" s="15">
        <f t="shared" si="10"/>
        <v>-5.5437100213219792E-2</v>
      </c>
      <c r="AI33" s="15">
        <f t="shared" si="10"/>
        <v>0.28493150684931523</v>
      </c>
      <c r="AJ33" s="15">
        <f t="shared" si="10"/>
        <v>5.7971014492753437E-2</v>
      </c>
      <c r="AK33" s="5">
        <f t="shared" si="9"/>
        <v>-7.9575596816976124E-2</v>
      </c>
    </row>
    <row r="34" spans="1:37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67">
        <v>2.35</v>
      </c>
      <c r="G34" s="79">
        <v>1.9</v>
      </c>
      <c r="H34" s="79">
        <v>1.72</v>
      </c>
      <c r="I34" s="66">
        <v>1.26</v>
      </c>
      <c r="J34" s="61">
        <v>2.76</v>
      </c>
      <c r="K34" s="61">
        <v>2.56</v>
      </c>
      <c r="L34" s="61">
        <v>2.65</v>
      </c>
      <c r="M34" s="61">
        <v>2.85</v>
      </c>
      <c r="N34" s="61">
        <v>3.3</v>
      </c>
      <c r="O34" s="61">
        <v>1.92</v>
      </c>
      <c r="P34" s="61">
        <v>2.25</v>
      </c>
      <c r="Q34" s="61">
        <v>1.38</v>
      </c>
      <c r="R34" s="62">
        <v>1.31</v>
      </c>
      <c r="S34" s="13">
        <f t="shared" si="7"/>
        <v>2.17</v>
      </c>
      <c r="T34" s="4">
        <f t="shared" ca="1" si="1"/>
        <v>0</v>
      </c>
      <c r="U34" s="4">
        <f t="shared" ca="1" si="2"/>
        <v>73</v>
      </c>
      <c r="V34" s="4">
        <f t="shared" ca="1" si="3"/>
        <v>287</v>
      </c>
      <c r="W34" s="13">
        <f t="shared" ca="1" si="4"/>
        <v>1.7565</v>
      </c>
      <c r="X34" s="5">
        <f t="shared" ca="1" si="5"/>
        <v>-0.19055299539170512</v>
      </c>
      <c r="Y34" s="15">
        <f t="shared" si="8"/>
        <v>0.23684210526315796</v>
      </c>
      <c r="Z34" s="15">
        <f t="shared" si="10"/>
        <v>0.10465116279069764</v>
      </c>
      <c r="AA34" s="15">
        <f t="shared" si="10"/>
        <v>0.36507936507936511</v>
      </c>
      <c r="AB34" s="15">
        <f t="shared" si="10"/>
        <v>-0.54347826086956519</v>
      </c>
      <c r="AC34" s="15">
        <f t="shared" si="10"/>
        <v>7.8125E-2</v>
      </c>
      <c r="AD34" s="15">
        <f t="shared" si="10"/>
        <v>-3.3962264150943389E-2</v>
      </c>
      <c r="AE34" s="15">
        <f t="shared" si="10"/>
        <v>-7.0175438596491335E-2</v>
      </c>
      <c r="AF34" s="15">
        <f t="shared" si="10"/>
        <v>-0.13636363636363624</v>
      </c>
      <c r="AG34" s="15">
        <f t="shared" si="10"/>
        <v>0.71875</v>
      </c>
      <c r="AH34" s="15">
        <f t="shared" si="10"/>
        <v>-0.14666666666666672</v>
      </c>
      <c r="AI34" s="15">
        <f t="shared" si="10"/>
        <v>0.63043478260869579</v>
      </c>
      <c r="AJ34" s="15">
        <f t="shared" si="10"/>
        <v>5.3435114503816772E-2</v>
      </c>
      <c r="AK34" s="5">
        <f t="shared" si="9"/>
        <v>-0.54347826086956519</v>
      </c>
    </row>
    <row r="35" spans="1:37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67">
        <v>26.5</v>
      </c>
      <c r="G35" s="79">
        <v>22.2</v>
      </c>
      <c r="H35" s="79">
        <v>20.8</v>
      </c>
      <c r="I35" s="66">
        <v>19</v>
      </c>
      <c r="J35" s="61">
        <v>22.32</v>
      </c>
      <c r="K35" s="61">
        <v>17.350000000000001</v>
      </c>
      <c r="L35" s="61">
        <v>18.809999999999999</v>
      </c>
      <c r="M35" s="61">
        <v>18.63</v>
      </c>
      <c r="N35" s="61">
        <v>17.87</v>
      </c>
      <c r="O35" s="63"/>
      <c r="P35" s="63"/>
      <c r="Q35" s="63"/>
      <c r="R35" s="64"/>
      <c r="S35" s="13">
        <f t="shared" si="7"/>
        <v>20.386666666666667</v>
      </c>
      <c r="T35" s="4">
        <f t="shared" ca="1" si="1"/>
        <v>0</v>
      </c>
      <c r="U35" s="4">
        <f t="shared" ca="1" si="2"/>
        <v>73</v>
      </c>
      <c r="V35" s="4">
        <f t="shared" ca="1" si="3"/>
        <v>287</v>
      </c>
      <c r="W35" s="13">
        <f t="shared" ca="1" si="4"/>
        <v>21.08388888888889</v>
      </c>
      <c r="X35" s="5">
        <f t="shared" ca="1" si="5"/>
        <v>3.4199912797035159E-2</v>
      </c>
      <c r="Y35" s="15">
        <f t="shared" si="8"/>
        <v>0.19369369369369371</v>
      </c>
      <c r="Z35" s="15">
        <f t="shared" si="10"/>
        <v>6.7307692307692291E-2</v>
      </c>
      <c r="AA35" s="15">
        <f t="shared" si="10"/>
        <v>9.473684210526323E-2</v>
      </c>
      <c r="AB35" s="15">
        <f t="shared" si="10"/>
        <v>-0.14874551971326166</v>
      </c>
      <c r="AC35" s="15">
        <f t="shared" si="10"/>
        <v>0.28645533141210366</v>
      </c>
      <c r="AD35" s="15">
        <f t="shared" si="10"/>
        <v>-7.7618288144603809E-2</v>
      </c>
      <c r="AE35" s="15">
        <f t="shared" si="10"/>
        <v>9.6618357487923134E-3</v>
      </c>
      <c r="AF35" s="15">
        <f t="shared" si="10"/>
        <v>4.2529378847229848E-2</v>
      </c>
      <c r="AG35" s="15">
        <f t="shared" si="10"/>
        <v>99.999989999999997</v>
      </c>
      <c r="AH35" s="15">
        <f t="shared" si="10"/>
        <v>99.999989999999997</v>
      </c>
      <c r="AI35" s="15">
        <f t="shared" si="10"/>
        <v>99.999989999999997</v>
      </c>
      <c r="AJ35" s="15">
        <f t="shared" si="10"/>
        <v>99.999989999999997</v>
      </c>
      <c r="AK35" s="5">
        <f t="shared" si="9"/>
        <v>-0.14874551971326166</v>
      </c>
    </row>
    <row r="36" spans="1:37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67">
        <v>46.1</v>
      </c>
      <c r="G36" s="79">
        <v>44.3</v>
      </c>
      <c r="H36" s="79">
        <v>42.4</v>
      </c>
      <c r="I36" s="66">
        <v>42.7</v>
      </c>
      <c r="J36" s="61">
        <v>40.14</v>
      </c>
      <c r="K36" s="61">
        <v>36.840000000000003</v>
      </c>
      <c r="L36" s="61">
        <v>32.61</v>
      </c>
      <c r="M36" s="61">
        <v>29.49</v>
      </c>
      <c r="N36" s="61">
        <v>23.39</v>
      </c>
      <c r="O36" s="61">
        <v>22.7</v>
      </c>
      <c r="P36" s="61">
        <v>22.62</v>
      </c>
      <c r="Q36" s="61">
        <v>19.87</v>
      </c>
      <c r="R36" s="62">
        <v>18.13</v>
      </c>
      <c r="S36" s="13">
        <f t="shared" si="7"/>
        <v>32.406923076923071</v>
      </c>
      <c r="T36" s="4">
        <f t="shared" ca="1" si="1"/>
        <v>0</v>
      </c>
      <c r="U36" s="4">
        <f t="shared" ca="1" si="2"/>
        <v>73</v>
      </c>
      <c r="V36" s="4">
        <f t="shared" ca="1" si="3"/>
        <v>287</v>
      </c>
      <c r="W36" s="13">
        <f t="shared" ca="1" si="4"/>
        <v>42.785277777777772</v>
      </c>
      <c r="X36" s="5">
        <f t="shared" ca="1" si="5"/>
        <v>0.32025115979755303</v>
      </c>
      <c r="Y36" s="15">
        <f t="shared" si="8"/>
        <v>4.0632054176072296E-2</v>
      </c>
      <c r="Z36" s="15">
        <f t="shared" si="10"/>
        <v>4.4811320754716943E-2</v>
      </c>
      <c r="AA36" s="15">
        <f t="shared" si="10"/>
        <v>-7.0257611241218987E-3</v>
      </c>
      <c r="AB36" s="15">
        <f t="shared" si="10"/>
        <v>6.3776781265570515E-2</v>
      </c>
      <c r="AC36" s="15">
        <f t="shared" si="10"/>
        <v>8.9576547231270176E-2</v>
      </c>
      <c r="AD36" s="15">
        <f t="shared" si="10"/>
        <v>0.12971481140754393</v>
      </c>
      <c r="AE36" s="15">
        <f t="shared" si="10"/>
        <v>0.10579857578840279</v>
      </c>
      <c r="AF36" s="15">
        <f t="shared" si="10"/>
        <v>0.26079521162890118</v>
      </c>
      <c r="AG36" s="15">
        <f t="shared" si="10"/>
        <v>3.0396475770925191E-2</v>
      </c>
      <c r="AH36" s="15">
        <f t="shared" si="10"/>
        <v>3.5366931918654476E-3</v>
      </c>
      <c r="AI36" s="15">
        <f t="shared" si="10"/>
        <v>0.13839959738298946</v>
      </c>
      <c r="AJ36" s="15">
        <f t="shared" si="10"/>
        <v>9.5973524544953337E-2</v>
      </c>
      <c r="AK36" s="5">
        <f t="shared" si="9"/>
        <v>-7.0257611241218987E-3</v>
      </c>
    </row>
    <row r="37" spans="1:37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67">
        <v>14.5</v>
      </c>
      <c r="G37" s="79">
        <v>24.7</v>
      </c>
      <c r="H37" s="79">
        <v>24.1</v>
      </c>
      <c r="I37" s="61">
        <v>12.74</v>
      </c>
      <c r="J37" s="61">
        <v>12.98</v>
      </c>
      <c r="K37" s="61">
        <v>11.82</v>
      </c>
      <c r="L37" s="61">
        <v>11.01</v>
      </c>
      <c r="M37" s="61">
        <v>11.2</v>
      </c>
      <c r="N37" s="61">
        <v>11</v>
      </c>
      <c r="O37" s="61">
        <v>9.93</v>
      </c>
      <c r="P37" s="61">
        <v>11.57</v>
      </c>
      <c r="Q37" s="61">
        <v>10.93</v>
      </c>
      <c r="R37" s="62">
        <v>10.43</v>
      </c>
      <c r="S37" s="13">
        <f t="shared" si="7"/>
        <v>13.60846153846154</v>
      </c>
      <c r="T37" s="4">
        <f t="shared" ca="1" si="1"/>
        <v>0</v>
      </c>
      <c r="U37" s="4">
        <f t="shared" ca="1" si="2"/>
        <v>73</v>
      </c>
      <c r="V37" s="4">
        <f t="shared" ca="1" si="3"/>
        <v>287</v>
      </c>
      <c r="W37" s="13">
        <f t="shared" ca="1" si="4"/>
        <v>24.221666666666668</v>
      </c>
      <c r="X37" s="5">
        <f t="shared" ca="1" si="5"/>
        <v>0.77989749967026523</v>
      </c>
      <c r="Y37" s="15">
        <f t="shared" si="8"/>
        <v>-0.41295546558704455</v>
      </c>
      <c r="Z37" s="15">
        <f t="shared" si="10"/>
        <v>2.4896265560165887E-2</v>
      </c>
      <c r="AA37" s="15">
        <f t="shared" si="10"/>
        <v>0.89167974882260603</v>
      </c>
      <c r="AB37" s="15">
        <f t="shared" si="10"/>
        <v>-1.8489984591679498E-2</v>
      </c>
      <c r="AC37" s="15">
        <f t="shared" si="10"/>
        <v>9.8138747884940702E-2</v>
      </c>
      <c r="AD37" s="15">
        <f t="shared" si="10"/>
        <v>7.3569482288828425E-2</v>
      </c>
      <c r="AE37" s="15">
        <f t="shared" si="10"/>
        <v>-1.6964285714285654E-2</v>
      </c>
      <c r="AF37" s="15">
        <f t="shared" si="10"/>
        <v>1.8181818181818077E-2</v>
      </c>
      <c r="AG37" s="15">
        <f t="shared" si="10"/>
        <v>0.10775427995971798</v>
      </c>
      <c r="AH37" s="15">
        <f t="shared" si="10"/>
        <v>-0.1417458945548834</v>
      </c>
      <c r="AI37" s="15">
        <f t="shared" si="10"/>
        <v>5.855443732845389E-2</v>
      </c>
      <c r="AJ37" s="15">
        <f t="shared" si="10"/>
        <v>4.7938638542665446E-2</v>
      </c>
      <c r="AK37" s="5">
        <f t="shared" si="9"/>
        <v>-0.41295546558704455</v>
      </c>
    </row>
    <row r="38" spans="1:37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67">
        <v>199</v>
      </c>
      <c r="G38" s="79">
        <v>188</v>
      </c>
      <c r="H38" s="79">
        <v>174</v>
      </c>
      <c r="I38" s="61">
        <v>192.44</v>
      </c>
      <c r="J38" s="61">
        <v>175.79</v>
      </c>
      <c r="K38" s="61">
        <v>162.78</v>
      </c>
      <c r="L38" s="61">
        <v>144.97</v>
      </c>
      <c r="M38" s="61">
        <v>152.43</v>
      </c>
      <c r="N38" s="61">
        <v>137.28</v>
      </c>
      <c r="O38" s="61">
        <v>145.47</v>
      </c>
      <c r="P38" s="61">
        <v>109.52</v>
      </c>
      <c r="Q38" s="61">
        <v>84.04</v>
      </c>
      <c r="R38" s="62">
        <v>64.05</v>
      </c>
      <c r="S38" s="13">
        <f t="shared" si="7"/>
        <v>148.44384615384615</v>
      </c>
      <c r="T38" s="4">
        <f t="shared" ca="1" si="1"/>
        <v>0</v>
      </c>
      <c r="U38" s="4">
        <f t="shared" ca="1" si="2"/>
        <v>73</v>
      </c>
      <c r="V38" s="4">
        <f t="shared" ca="1" si="3"/>
        <v>287</v>
      </c>
      <c r="W38" s="13">
        <f t="shared" ca="1" si="4"/>
        <v>176.8388888888889</v>
      </c>
      <c r="X38" s="5">
        <f t="shared" ca="1" si="5"/>
        <v>0.19128474147466057</v>
      </c>
      <c r="Y38" s="15">
        <f t="shared" si="8"/>
        <v>5.8510638297872397E-2</v>
      </c>
      <c r="Z38" s="15">
        <f t="shared" si="10"/>
        <v>8.0459770114942541E-2</v>
      </c>
      <c r="AA38" s="15">
        <f t="shared" si="10"/>
        <v>-9.5822074412803993E-2</v>
      </c>
      <c r="AB38" s="15">
        <f t="shared" si="10"/>
        <v>9.4715285283577089E-2</v>
      </c>
      <c r="AC38" s="15">
        <f t="shared" si="10"/>
        <v>7.9923823565548613E-2</v>
      </c>
      <c r="AD38" s="15">
        <f t="shared" si="10"/>
        <v>0.12285300406980748</v>
      </c>
      <c r="AE38" s="15">
        <f t="shared" si="10"/>
        <v>-4.8940497277438877E-2</v>
      </c>
      <c r="AF38" s="15">
        <f t="shared" si="10"/>
        <v>0.11035839160839167</v>
      </c>
      <c r="AG38" s="15">
        <f t="shared" si="10"/>
        <v>-5.6300268096514783E-2</v>
      </c>
      <c r="AH38" s="15">
        <f t="shared" si="10"/>
        <v>0.32825054784514252</v>
      </c>
      <c r="AI38" s="15">
        <f t="shared" si="10"/>
        <v>0.30318895763921927</v>
      </c>
      <c r="AJ38" s="15">
        <f t="shared" si="10"/>
        <v>0.31209992193598768</v>
      </c>
      <c r="AK38" s="5">
        <f t="shared" si="9"/>
        <v>-9.5822074412803993E-2</v>
      </c>
    </row>
    <row r="39" spans="1:37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67">
        <v>33.200000000000003</v>
      </c>
      <c r="G39" s="79">
        <v>25.2</v>
      </c>
      <c r="H39" s="79">
        <v>19</v>
      </c>
      <c r="I39" s="61">
        <v>12.13</v>
      </c>
      <c r="J39" s="61">
        <v>21.75</v>
      </c>
      <c r="K39" s="61">
        <v>16.989999999999998</v>
      </c>
      <c r="L39" s="61">
        <v>17.399999999999999</v>
      </c>
      <c r="M39" s="61">
        <v>19</v>
      </c>
      <c r="N39" s="61">
        <v>17.43</v>
      </c>
      <c r="O39" s="63">
        <v>18.989999999999998</v>
      </c>
      <c r="P39" s="61">
        <v>20.55</v>
      </c>
      <c r="Q39" s="61">
        <v>18.920000000000002</v>
      </c>
      <c r="R39" s="62">
        <v>21.03</v>
      </c>
      <c r="S39" s="13">
        <f t="shared" si="7"/>
        <v>20.122307692307693</v>
      </c>
      <c r="T39" s="4">
        <f t="shared" ca="1" si="1"/>
        <v>0</v>
      </c>
      <c r="U39" s="4">
        <f t="shared" ca="1" si="2"/>
        <v>73</v>
      </c>
      <c r="V39" s="4">
        <f t="shared" ca="1" si="3"/>
        <v>287</v>
      </c>
      <c r="W39" s="13">
        <f t="shared" ca="1" si="4"/>
        <v>20.257222222222222</v>
      </c>
      <c r="X39" s="5">
        <f t="shared" ca="1" si="5"/>
        <v>6.7047245265066113E-3</v>
      </c>
      <c r="Y39" s="15">
        <f t="shared" si="8"/>
        <v>0.31746031746031766</v>
      </c>
      <c r="Z39" s="15">
        <f t="shared" si="10"/>
        <v>0.32631578947368411</v>
      </c>
      <c r="AA39" s="15">
        <f t="shared" si="10"/>
        <v>0.56636438582028026</v>
      </c>
      <c r="AB39" s="15">
        <f t="shared" si="10"/>
        <v>-0.44229885057471263</v>
      </c>
      <c r="AC39" s="15">
        <f t="shared" si="10"/>
        <v>0.28016480282519152</v>
      </c>
      <c r="AD39" s="15">
        <f t="shared" si="10"/>
        <v>-2.3563218390804552E-2</v>
      </c>
      <c r="AE39" s="15">
        <f t="shared" si="10"/>
        <v>-8.4210526315789513E-2</v>
      </c>
      <c r="AF39" s="15">
        <f t="shared" si="10"/>
        <v>9.0074584050487738E-2</v>
      </c>
      <c r="AG39" s="15">
        <f t="shared" si="10"/>
        <v>-8.2148499210110471E-2</v>
      </c>
      <c r="AH39" s="15">
        <f t="shared" si="10"/>
        <v>-7.5912408759124195E-2</v>
      </c>
      <c r="AI39" s="15">
        <f t="shared" si="10"/>
        <v>8.6152219873150138E-2</v>
      </c>
      <c r="AJ39" s="15">
        <f t="shared" si="10"/>
        <v>-0.10033285782215884</v>
      </c>
      <c r="AK39" s="5">
        <f t="shared" si="9"/>
        <v>-0.44229885057471263</v>
      </c>
    </row>
    <row r="40" spans="1:37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67">
        <v>70.599999999999994</v>
      </c>
      <c r="G40" s="79">
        <v>66</v>
      </c>
      <c r="H40" s="79">
        <v>61.4</v>
      </c>
      <c r="I40" s="61">
        <v>62.47</v>
      </c>
      <c r="J40" s="61">
        <v>56.22</v>
      </c>
      <c r="K40" s="61">
        <v>53.65</v>
      </c>
      <c r="L40" s="61">
        <v>48.66</v>
      </c>
      <c r="M40" s="61">
        <v>45.04</v>
      </c>
      <c r="N40" s="61">
        <v>41.95</v>
      </c>
      <c r="O40" s="61">
        <v>44.71</v>
      </c>
      <c r="P40" s="61">
        <v>36.590000000000003</v>
      </c>
      <c r="Q40" s="61">
        <v>33.450000000000003</v>
      </c>
      <c r="R40" s="62">
        <v>30.75</v>
      </c>
      <c r="S40" s="13">
        <f t="shared" si="7"/>
        <v>50.114615384615391</v>
      </c>
      <c r="T40" s="4">
        <f t="shared" ca="1" si="1"/>
        <v>0</v>
      </c>
      <c r="U40" s="4">
        <f t="shared" ca="1" si="2"/>
        <v>73</v>
      </c>
      <c r="V40" s="4">
        <f t="shared" ca="1" si="3"/>
        <v>287</v>
      </c>
      <c r="W40" s="13">
        <f t="shared" ca="1" si="4"/>
        <v>62.332777777777771</v>
      </c>
      <c r="X40" s="5">
        <f t="shared" ca="1" si="5"/>
        <v>0.24380437322309012</v>
      </c>
      <c r="Y40" s="15">
        <f t="shared" si="8"/>
        <v>6.9696969696969591E-2</v>
      </c>
      <c r="Z40" s="15">
        <f t="shared" si="10"/>
        <v>7.4918566775244333E-2</v>
      </c>
      <c r="AA40" s="15">
        <f t="shared" si="10"/>
        <v>-1.7128221546342304E-2</v>
      </c>
      <c r="AB40" s="15">
        <f t="shared" si="10"/>
        <v>0.11117040199217354</v>
      </c>
      <c r="AC40" s="15">
        <f t="shared" si="10"/>
        <v>4.790307548928241E-2</v>
      </c>
      <c r="AD40" s="15">
        <f t="shared" si="10"/>
        <v>0.10254829428688872</v>
      </c>
      <c r="AE40" s="15">
        <f t="shared" si="10"/>
        <v>8.0373001776198771E-2</v>
      </c>
      <c r="AF40" s="15">
        <f t="shared" si="10"/>
        <v>7.3659117997616042E-2</v>
      </c>
      <c r="AG40" s="15">
        <f t="shared" si="10"/>
        <v>-6.1731156340863347E-2</v>
      </c>
      <c r="AH40" s="15">
        <f t="shared" si="10"/>
        <v>0.22191855698278218</v>
      </c>
      <c r="AI40" s="15">
        <f t="shared" si="10"/>
        <v>9.387144992526153E-2</v>
      </c>
      <c r="AJ40" s="15">
        <f t="shared" si="10"/>
        <v>8.7804878048780566E-2</v>
      </c>
      <c r="AK40" s="5">
        <f t="shared" si="9"/>
        <v>-6.1731156340863347E-2</v>
      </c>
    </row>
    <row r="41" spans="1:37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67">
        <v>35.5</v>
      </c>
      <c r="G41" s="79">
        <v>30.9</v>
      </c>
      <c r="H41" s="79">
        <v>27.4</v>
      </c>
      <c r="I41" s="61">
        <v>25.06</v>
      </c>
      <c r="J41" s="61">
        <v>26.25</v>
      </c>
      <c r="K41" s="61">
        <v>23.33</v>
      </c>
      <c r="L41" s="61">
        <v>20.95</v>
      </c>
      <c r="M41" s="61">
        <v>20.66</v>
      </c>
      <c r="N41" s="61">
        <v>18.37</v>
      </c>
      <c r="O41" s="61">
        <v>15.35</v>
      </c>
      <c r="P41" s="61">
        <v>15.25</v>
      </c>
      <c r="Q41" s="61">
        <v>13.59</v>
      </c>
      <c r="R41" s="62">
        <v>12.73</v>
      </c>
      <c r="S41" s="13">
        <f t="shared" si="7"/>
        <v>21.949230769230766</v>
      </c>
      <c r="T41" s="4">
        <f t="shared" ca="1" si="1"/>
        <v>0</v>
      </c>
      <c r="U41" s="4">
        <f t="shared" ca="1" si="2"/>
        <v>73</v>
      </c>
      <c r="V41" s="4">
        <f t="shared" ca="1" si="3"/>
        <v>287</v>
      </c>
      <c r="W41" s="13">
        <f t="shared" ca="1" si="4"/>
        <v>28.109722222222221</v>
      </c>
      <c r="X41" s="5">
        <f t="shared" ca="1" si="5"/>
        <v>0.28067003886202047</v>
      </c>
      <c r="Y41" s="15">
        <f t="shared" si="8"/>
        <v>0.14886731391585761</v>
      </c>
      <c r="Z41" s="15">
        <f t="shared" si="10"/>
        <v>0.12773722627737216</v>
      </c>
      <c r="AA41" s="15">
        <f t="shared" si="10"/>
        <v>9.3375897845171529E-2</v>
      </c>
      <c r="AB41" s="15">
        <f t="shared" si="10"/>
        <v>-4.5333333333333337E-2</v>
      </c>
      <c r="AC41" s="15">
        <f t="shared" si="10"/>
        <v>0.12516073724817844</v>
      </c>
      <c r="AD41" s="15">
        <f t="shared" si="10"/>
        <v>0.11360381861575175</v>
      </c>
      <c r="AE41" s="15">
        <f t="shared" si="10"/>
        <v>1.4036786060019235E-2</v>
      </c>
      <c r="AF41" s="15">
        <f t="shared" si="10"/>
        <v>0.1246597713663582</v>
      </c>
      <c r="AG41" s="15">
        <f t="shared" si="10"/>
        <v>0.19674267100977216</v>
      </c>
      <c r="AH41" s="15">
        <f t="shared" si="10"/>
        <v>6.5573770491802463E-3</v>
      </c>
      <c r="AI41" s="15">
        <f t="shared" si="10"/>
        <v>0.1221486387049302</v>
      </c>
      <c r="AJ41" s="15">
        <f t="shared" si="10"/>
        <v>6.7556952081696764E-2</v>
      </c>
      <c r="AK41" s="5">
        <f t="shared" si="9"/>
        <v>-4.5333333333333337E-2</v>
      </c>
    </row>
    <row r="42" spans="1:37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67">
        <v>9.6300000000000008</v>
      </c>
      <c r="G42" s="79">
        <v>8.5500000000000007</v>
      </c>
      <c r="H42" s="79">
        <v>7.8</v>
      </c>
      <c r="I42" s="61">
        <v>7.43</v>
      </c>
      <c r="J42" s="61">
        <v>8.6999999999999993</v>
      </c>
      <c r="K42" s="61">
        <v>6.02</v>
      </c>
      <c r="L42" s="63">
        <v>4.9800000000000004</v>
      </c>
      <c r="M42" s="63">
        <v>5.125</v>
      </c>
      <c r="N42" s="63">
        <v>4.3775000000000004</v>
      </c>
      <c r="O42" s="63">
        <v>3.7949999999999999</v>
      </c>
      <c r="P42" s="61"/>
      <c r="Q42" s="61"/>
      <c r="R42" s="62"/>
      <c r="S42" s="13">
        <f t="shared" si="7"/>
        <v>6.6407499999999997</v>
      </c>
      <c r="T42" s="4">
        <f t="shared" ca="1" si="1"/>
        <v>0</v>
      </c>
      <c r="U42" s="4">
        <f t="shared" ca="1" si="2"/>
        <v>73</v>
      </c>
      <c r="V42" s="4">
        <f t="shared" ca="1" si="3"/>
        <v>287</v>
      </c>
      <c r="W42" s="13">
        <f t="shared" ca="1" si="4"/>
        <v>7.9520833333333343</v>
      </c>
      <c r="X42" s="5">
        <f t="shared" ca="1" si="5"/>
        <v>0.19746765551079837</v>
      </c>
      <c r="Y42" s="15">
        <f t="shared" si="8"/>
        <v>0.12631578947368416</v>
      </c>
      <c r="Z42" s="15">
        <f t="shared" si="10"/>
        <v>9.6153846153846256E-2</v>
      </c>
      <c r="AA42" s="15">
        <f t="shared" si="10"/>
        <v>4.9798115746971794E-2</v>
      </c>
      <c r="AB42" s="15">
        <f t="shared" si="10"/>
        <v>-0.1459770114942528</v>
      </c>
      <c r="AC42" s="15">
        <f t="shared" si="10"/>
        <v>0.44518272425249172</v>
      </c>
      <c r="AD42" s="15">
        <f t="shared" si="10"/>
        <v>0.20883534136546156</v>
      </c>
      <c r="AE42" s="15">
        <f t="shared" si="10"/>
        <v>-2.8292682926829182E-2</v>
      </c>
      <c r="AF42" s="15">
        <f t="shared" si="10"/>
        <v>0.17075956596230712</v>
      </c>
      <c r="AG42" s="15">
        <f t="shared" si="10"/>
        <v>0.15349143610013183</v>
      </c>
      <c r="AH42" s="15">
        <f t="shared" si="10"/>
        <v>99.999989999999997</v>
      </c>
      <c r="AI42" s="15">
        <f t="shared" si="10"/>
        <v>99.999989999999997</v>
      </c>
      <c r="AJ42" s="15">
        <f t="shared" si="10"/>
        <v>99.999989999999997</v>
      </c>
      <c r="AK42" s="5">
        <f t="shared" si="9"/>
        <v>-0.1459770114942528</v>
      </c>
    </row>
    <row r="43" spans="1:37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67">
        <v>11.9</v>
      </c>
      <c r="G43" s="79">
        <v>12.3</v>
      </c>
      <c r="H43" s="79">
        <v>12.8</v>
      </c>
      <c r="I43" s="61">
        <v>13.35</v>
      </c>
      <c r="J43" s="61">
        <v>16.16</v>
      </c>
      <c r="K43" s="61">
        <v>15.25</v>
      </c>
      <c r="L43" s="61">
        <v>14.09</v>
      </c>
      <c r="M43" s="61">
        <v>13.89</v>
      </c>
      <c r="N43" s="61">
        <v>12.67</v>
      </c>
      <c r="O43" s="61">
        <v>12</v>
      </c>
      <c r="P43" s="61">
        <v>13.11</v>
      </c>
      <c r="Q43" s="61">
        <v>12.84</v>
      </c>
      <c r="R43" s="62">
        <v>11.99</v>
      </c>
      <c r="S43" s="13">
        <f t="shared" si="7"/>
        <v>13.257692307692311</v>
      </c>
      <c r="T43" s="4">
        <f t="shared" ca="1" si="1"/>
        <v>0</v>
      </c>
      <c r="U43" s="4">
        <f t="shared" ca="1" si="2"/>
        <v>73</v>
      </c>
      <c r="V43" s="4">
        <f t="shared" ca="1" si="3"/>
        <v>287</v>
      </c>
      <c r="W43" s="13">
        <f t="shared" ca="1" si="4"/>
        <v>12.698611111111111</v>
      </c>
      <c r="X43" s="5">
        <f t="shared" ca="1" si="5"/>
        <v>-4.2170325242562257E-2</v>
      </c>
      <c r="Y43" s="15">
        <f t="shared" si="8"/>
        <v>-3.2520325203252098E-2</v>
      </c>
      <c r="Z43" s="15">
        <f t="shared" si="10"/>
        <v>-3.90625E-2</v>
      </c>
      <c r="AA43" s="15">
        <f t="shared" si="10"/>
        <v>-4.1198501872659055E-2</v>
      </c>
      <c r="AB43" s="15">
        <f t="shared" si="10"/>
        <v>-0.17388613861386137</v>
      </c>
      <c r="AC43" s="15">
        <f t="shared" si="10"/>
        <v>5.9672131147540997E-2</v>
      </c>
      <c r="AD43" s="15">
        <f t="shared" si="10"/>
        <v>8.2327892122072477E-2</v>
      </c>
      <c r="AE43" s="15">
        <f t="shared" si="10"/>
        <v>1.4398848092152639E-2</v>
      </c>
      <c r="AF43" s="15">
        <f t="shared" si="10"/>
        <v>9.6290449881610174E-2</v>
      </c>
      <c r="AG43" s="15">
        <f t="shared" si="10"/>
        <v>5.5833333333333401E-2</v>
      </c>
      <c r="AH43" s="15">
        <f t="shared" si="10"/>
        <v>-8.4668192219679583E-2</v>
      </c>
      <c r="AI43" s="15">
        <f t="shared" si="10"/>
        <v>2.1028037383177489E-2</v>
      </c>
      <c r="AJ43" s="15">
        <f t="shared" si="10"/>
        <v>7.0892410341951706E-2</v>
      </c>
      <c r="AK43" s="5">
        <f t="shared" si="9"/>
        <v>-0.17388613861386137</v>
      </c>
    </row>
    <row r="44" spans="1:37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67">
        <v>18.2</v>
      </c>
      <c r="G44" s="79">
        <v>17.7</v>
      </c>
      <c r="H44" s="79">
        <v>17.5</v>
      </c>
      <c r="I44" s="61">
        <v>17.14</v>
      </c>
      <c r="J44" s="61">
        <v>17</v>
      </c>
      <c r="K44" s="61">
        <v>17.52</v>
      </c>
      <c r="L44" s="61">
        <v>17.93</v>
      </c>
      <c r="M44" s="61">
        <v>17.64</v>
      </c>
      <c r="N44" s="61">
        <v>19</v>
      </c>
      <c r="O44" s="63"/>
      <c r="P44" s="63"/>
      <c r="Q44" s="63"/>
      <c r="R44" s="64"/>
      <c r="S44" s="13">
        <f t="shared" si="7"/>
        <v>17.736666666666665</v>
      </c>
      <c r="T44" s="4">
        <f t="shared" ca="1" si="1"/>
        <v>0</v>
      </c>
      <c r="U44" s="4">
        <f t="shared" ca="1" si="2"/>
        <v>73</v>
      </c>
      <c r="V44" s="4">
        <f t="shared" ca="1" si="3"/>
        <v>287</v>
      </c>
      <c r="W44" s="13">
        <f t="shared" ca="1" si="4"/>
        <v>17.540555555555557</v>
      </c>
      <c r="X44" s="5">
        <f t="shared" ca="1" si="5"/>
        <v>-1.1056818893691478E-2</v>
      </c>
      <c r="Y44" s="15">
        <f t="shared" si="8"/>
        <v>2.8248587570621542E-2</v>
      </c>
      <c r="Z44" s="15">
        <f t="shared" si="10"/>
        <v>1.1428571428571344E-2</v>
      </c>
      <c r="AA44" s="15">
        <f t="shared" si="10"/>
        <v>2.100350058343059E-2</v>
      </c>
      <c r="AB44" s="15">
        <f t="shared" si="10"/>
        <v>8.2352941176471184E-3</v>
      </c>
      <c r="AC44" s="15">
        <f t="shared" si="10"/>
        <v>-2.9680365296803624E-2</v>
      </c>
      <c r="AD44" s="15">
        <f t="shared" si="10"/>
        <v>-2.2866703848298919E-2</v>
      </c>
      <c r="AE44" s="15">
        <f t="shared" si="10"/>
        <v>1.6439909297052191E-2</v>
      </c>
      <c r="AF44" s="15">
        <f t="shared" si="10"/>
        <v>-7.1578947368421075E-2</v>
      </c>
      <c r="AG44" s="15">
        <f t="shared" si="10"/>
        <v>99.999989999999997</v>
      </c>
      <c r="AH44" s="15">
        <f t="shared" si="10"/>
        <v>99.999989999999997</v>
      </c>
      <c r="AI44" s="15">
        <f t="shared" si="10"/>
        <v>99.999989999999997</v>
      </c>
      <c r="AJ44" s="15">
        <f t="shared" si="10"/>
        <v>99.999989999999997</v>
      </c>
      <c r="AK44" s="5">
        <f t="shared" si="9"/>
        <v>-7.1578947368421075E-2</v>
      </c>
    </row>
    <row r="45" spans="1:37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67">
        <v>14.2</v>
      </c>
      <c r="G45" s="79">
        <v>13.5</v>
      </c>
      <c r="H45" s="79">
        <v>12</v>
      </c>
      <c r="I45" s="66">
        <v>10.9</v>
      </c>
      <c r="J45" s="61">
        <v>9.48</v>
      </c>
      <c r="K45" s="61">
        <v>7.92</v>
      </c>
      <c r="L45" s="61">
        <v>6.82</v>
      </c>
      <c r="M45" s="61">
        <v>5.33</v>
      </c>
      <c r="N45" s="61">
        <v>4.4400000000000004</v>
      </c>
      <c r="O45" s="61">
        <v>3.97</v>
      </c>
      <c r="P45" s="61">
        <v>3.32</v>
      </c>
      <c r="Q45" s="61">
        <v>3.99</v>
      </c>
      <c r="R45" s="62">
        <v>4.49</v>
      </c>
      <c r="S45" s="13">
        <f t="shared" si="7"/>
        <v>7.719999999999998</v>
      </c>
      <c r="T45" s="4">
        <f t="shared" ca="1" si="1"/>
        <v>0</v>
      </c>
      <c r="U45" s="4">
        <f t="shared" ca="1" si="2"/>
        <v>254</v>
      </c>
      <c r="V45" s="4">
        <f t="shared" ca="1" si="3"/>
        <v>106</v>
      </c>
      <c r="W45" s="13">
        <f t="shared" ca="1" si="4"/>
        <v>13.058333333333334</v>
      </c>
      <c r="X45" s="5">
        <f t="shared" ca="1" si="5"/>
        <v>0.6914939550949919</v>
      </c>
      <c r="Y45" s="15">
        <f t="shared" si="8"/>
        <v>5.1851851851851816E-2</v>
      </c>
      <c r="Z45" s="15">
        <f t="shared" si="10"/>
        <v>0.125</v>
      </c>
      <c r="AA45" s="15">
        <f t="shared" si="10"/>
        <v>0.10091743119266061</v>
      </c>
      <c r="AB45" s="15">
        <f t="shared" si="10"/>
        <v>0.14978902953586504</v>
      </c>
      <c r="AC45" s="15">
        <f t="shared" si="10"/>
        <v>0.19696969696969702</v>
      </c>
      <c r="AD45" s="15">
        <f t="shared" si="10"/>
        <v>0.16129032258064502</v>
      </c>
      <c r="AE45" s="15">
        <f t="shared" si="10"/>
        <v>0.27954971857410893</v>
      </c>
      <c r="AF45" s="15">
        <f t="shared" si="10"/>
        <v>0.20045045045045029</v>
      </c>
      <c r="AG45" s="15">
        <f t="shared" si="10"/>
        <v>0.1183879093198994</v>
      </c>
      <c r="AH45" s="15">
        <f t="shared" si="10"/>
        <v>0.1957831325301207</v>
      </c>
      <c r="AI45" s="15">
        <f t="shared" si="10"/>
        <v>-0.16791979949874691</v>
      </c>
      <c r="AJ45" s="15">
        <f t="shared" si="10"/>
        <v>-0.11135857461024501</v>
      </c>
      <c r="AK45" s="5">
        <f t="shared" si="9"/>
        <v>-0.16791979949874691</v>
      </c>
    </row>
    <row r="46" spans="1:37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67">
        <v>17.8</v>
      </c>
      <c r="G46" s="79">
        <v>17.3</v>
      </c>
      <c r="H46" s="79">
        <v>16.3</v>
      </c>
      <c r="I46" s="61">
        <v>16.68</v>
      </c>
      <c r="J46" s="61">
        <v>18.98</v>
      </c>
      <c r="K46" s="61">
        <v>18.12</v>
      </c>
      <c r="L46" s="63">
        <v>14.940000000000001</v>
      </c>
      <c r="M46" s="63">
        <v>15.375</v>
      </c>
      <c r="N46" s="63">
        <v>13.1325</v>
      </c>
      <c r="O46" s="63">
        <v>11.385</v>
      </c>
      <c r="P46" s="61"/>
      <c r="Q46" s="61"/>
      <c r="R46" s="62"/>
      <c r="S46" s="13">
        <f t="shared" si="7"/>
        <v>16.001249999999999</v>
      </c>
      <c r="T46" s="4">
        <f t="shared" ca="1" si="1"/>
        <v>0</v>
      </c>
      <c r="U46" s="4">
        <f t="shared" ca="1" si="2"/>
        <v>73</v>
      </c>
      <c r="V46" s="4">
        <f t="shared" ca="1" si="3"/>
        <v>287</v>
      </c>
      <c r="W46" s="13">
        <f t="shared" ca="1" si="4"/>
        <v>16.50277777777778</v>
      </c>
      <c r="X46" s="5">
        <f t="shared" ca="1" si="5"/>
        <v>3.1343037436311505E-2</v>
      </c>
      <c r="Y46" s="15">
        <f t="shared" si="8"/>
        <v>2.8901734104046284E-2</v>
      </c>
      <c r="Z46" s="15">
        <f t="shared" si="10"/>
        <v>6.1349693251533832E-2</v>
      </c>
      <c r="AA46" s="15">
        <f t="shared" si="10"/>
        <v>-2.2781774580335701E-2</v>
      </c>
      <c r="AB46" s="15">
        <f t="shared" si="10"/>
        <v>-0.12118018967334043</v>
      </c>
      <c r="AC46" s="15">
        <f t="shared" si="10"/>
        <v>4.7461368653421543E-2</v>
      </c>
      <c r="AD46" s="15">
        <f t="shared" si="10"/>
        <v>0.21285140562248994</v>
      </c>
      <c r="AE46" s="15">
        <f t="shared" si="10"/>
        <v>-2.8292682926829182E-2</v>
      </c>
      <c r="AF46" s="15">
        <f t="shared" si="10"/>
        <v>0.17075956596230712</v>
      </c>
      <c r="AG46" s="15">
        <f t="shared" si="10"/>
        <v>0.15349143610013183</v>
      </c>
      <c r="AH46" s="15">
        <f t="shared" si="10"/>
        <v>99.999989999999997</v>
      </c>
      <c r="AI46" s="15">
        <f t="shared" si="10"/>
        <v>99.999989999999997</v>
      </c>
      <c r="AJ46" s="15">
        <f t="shared" si="10"/>
        <v>99.999989999999997</v>
      </c>
      <c r="AK46" s="5">
        <f t="shared" si="9"/>
        <v>-0.12118018967334043</v>
      </c>
    </row>
    <row r="47" spans="1:37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67">
        <v>22.2</v>
      </c>
      <c r="G47" s="79">
        <v>18.2</v>
      </c>
      <c r="H47" s="79">
        <v>16.2</v>
      </c>
      <c r="I47" s="66">
        <v>15</v>
      </c>
      <c r="J47" s="61">
        <v>23.74</v>
      </c>
      <c r="K47" s="61">
        <v>22.14</v>
      </c>
      <c r="L47" s="61">
        <v>21.57</v>
      </c>
      <c r="M47" s="61">
        <v>18.690000000000001</v>
      </c>
      <c r="N47" s="61">
        <v>18.420000000000002</v>
      </c>
      <c r="O47" s="61">
        <v>17.09</v>
      </c>
      <c r="P47" s="61">
        <v>13.75</v>
      </c>
      <c r="Q47" s="61">
        <v>12.01</v>
      </c>
      <c r="R47" s="62">
        <v>10.46</v>
      </c>
      <c r="S47" s="13">
        <f t="shared" si="7"/>
        <v>17.651538461538458</v>
      </c>
      <c r="T47" s="4">
        <f t="shared" ca="1" si="1"/>
        <v>0</v>
      </c>
      <c r="U47" s="4">
        <f t="shared" ca="1" si="2"/>
        <v>193</v>
      </c>
      <c r="V47" s="4">
        <f t="shared" ca="1" si="3"/>
        <v>167</v>
      </c>
      <c r="W47" s="13">
        <f t="shared" ca="1" si="4"/>
        <v>17.272222222222222</v>
      </c>
      <c r="X47" s="5">
        <f t="shared" ca="1" si="5"/>
        <v>-2.1489131961088814E-2</v>
      </c>
      <c r="Y47" s="15">
        <f t="shared" si="8"/>
        <v>0.21978021978021989</v>
      </c>
      <c r="Z47" s="15">
        <f t="shared" si="10"/>
        <v>0.12345679012345689</v>
      </c>
      <c r="AA47" s="15">
        <f t="shared" si="10"/>
        <v>7.9999999999999849E-2</v>
      </c>
      <c r="AB47" s="15">
        <f t="shared" si="10"/>
        <v>-0.36815501263689976</v>
      </c>
      <c r="AC47" s="15">
        <f t="shared" si="10"/>
        <v>7.2267389340559873E-2</v>
      </c>
      <c r="AD47" s="15">
        <f t="shared" si="10"/>
        <v>2.6425591098748313E-2</v>
      </c>
      <c r="AE47" s="15">
        <f t="shared" si="10"/>
        <v>0.1540930979133226</v>
      </c>
      <c r="AF47" s="15">
        <f t="shared" si="10"/>
        <v>1.4657980456026065E-2</v>
      </c>
      <c r="AG47" s="15">
        <f t="shared" si="10"/>
        <v>7.7823288472791186E-2</v>
      </c>
      <c r="AH47" s="15">
        <f t="shared" si="10"/>
        <v>0.24290909090909096</v>
      </c>
      <c r="AI47" s="15">
        <f t="shared" si="10"/>
        <v>0.14487926727726896</v>
      </c>
      <c r="AJ47" s="15">
        <f t="shared" si="10"/>
        <v>0.14818355640535352</v>
      </c>
      <c r="AK47" s="5">
        <f t="shared" si="9"/>
        <v>-0.36815501263689976</v>
      </c>
    </row>
    <row r="48" spans="1:37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67">
        <v>14.2</v>
      </c>
      <c r="G48" s="79">
        <v>12.4</v>
      </c>
      <c r="H48" s="79">
        <v>11.1</v>
      </c>
      <c r="I48" s="61">
        <v>10.5</v>
      </c>
      <c r="J48" s="61">
        <v>9.61</v>
      </c>
      <c r="K48" s="61">
        <v>8.91</v>
      </c>
      <c r="L48" s="61">
        <v>7.85</v>
      </c>
      <c r="M48" s="61">
        <v>6.13</v>
      </c>
      <c r="N48" s="61">
        <v>5.01</v>
      </c>
      <c r="O48" s="61">
        <v>4.47</v>
      </c>
      <c r="P48" s="61">
        <v>3.31</v>
      </c>
      <c r="Q48" s="61">
        <v>2.87</v>
      </c>
      <c r="R48" s="62">
        <v>2.11</v>
      </c>
      <c r="S48" s="13">
        <f t="shared" si="7"/>
        <v>7.5746153846153845</v>
      </c>
      <c r="T48" s="4">
        <f t="shared" ca="1" si="1"/>
        <v>0</v>
      </c>
      <c r="U48" s="4">
        <f t="shared" ca="1" si="2"/>
        <v>283</v>
      </c>
      <c r="V48" s="4">
        <f t="shared" ca="1" si="3"/>
        <v>77</v>
      </c>
      <c r="W48" s="13">
        <f t="shared" ca="1" si="4"/>
        <v>12.121944444444445</v>
      </c>
      <c r="X48" s="5">
        <f t="shared" ca="1" si="5"/>
        <v>0.60033794838811594</v>
      </c>
      <c r="Y48" s="15">
        <f t="shared" si="8"/>
        <v>0.14516129032258052</v>
      </c>
      <c r="Z48" s="15">
        <f t="shared" si="10"/>
        <v>0.11711711711711725</v>
      </c>
      <c r="AA48" s="15">
        <f t="shared" si="10"/>
        <v>5.7142857142857162E-2</v>
      </c>
      <c r="AB48" s="15">
        <f t="shared" si="10"/>
        <v>9.26118626430803E-2</v>
      </c>
      <c r="AC48" s="15">
        <f t="shared" si="10"/>
        <v>7.8563411896745095E-2</v>
      </c>
      <c r="AD48" s="15">
        <f t="shared" si="10"/>
        <v>0.13503184713375793</v>
      </c>
      <c r="AE48" s="15">
        <f t="shared" si="10"/>
        <v>0.28058727569331166</v>
      </c>
      <c r="AF48" s="15">
        <f t="shared" si="10"/>
        <v>0.22355289421157698</v>
      </c>
      <c r="AG48" s="15">
        <f t="shared" si="10"/>
        <v>0.12080536912751683</v>
      </c>
      <c r="AH48" s="15">
        <f t="shared" si="10"/>
        <v>0.35045317220543803</v>
      </c>
      <c r="AI48" s="15">
        <f t="shared" si="10"/>
        <v>0.1533101045296168</v>
      </c>
      <c r="AJ48" s="15">
        <f t="shared" si="10"/>
        <v>0.36018957345971581</v>
      </c>
      <c r="AK48" s="5">
        <f t="shared" si="9"/>
        <v>5.7142857142857162E-2</v>
      </c>
    </row>
    <row r="49" spans="1:37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67">
        <v>13.3</v>
      </c>
      <c r="G49" s="79">
        <v>11.7</v>
      </c>
      <c r="H49" s="79">
        <v>11.5</v>
      </c>
      <c r="I49" s="66">
        <v>11.7</v>
      </c>
      <c r="J49" s="61">
        <v>16.100000000000001</v>
      </c>
      <c r="K49" s="61">
        <v>14.6</v>
      </c>
      <c r="L49" s="61">
        <v>13.44</v>
      </c>
      <c r="M49" s="61">
        <v>13.65</v>
      </c>
      <c r="N49" s="61">
        <v>11.21</v>
      </c>
      <c r="O49" s="61">
        <v>7.86</v>
      </c>
      <c r="P49" s="61">
        <v>10.79</v>
      </c>
      <c r="Q49" s="61">
        <v>9.43</v>
      </c>
      <c r="R49" s="62">
        <v>8.65</v>
      </c>
      <c r="S49" s="13">
        <f t="shared" si="7"/>
        <v>11.840769230769233</v>
      </c>
      <c r="T49" s="4">
        <f t="shared" ca="1" si="1"/>
        <v>0</v>
      </c>
      <c r="U49" s="4">
        <f t="shared" ca="1" si="2"/>
        <v>73</v>
      </c>
      <c r="V49" s="4">
        <f t="shared" ca="1" si="3"/>
        <v>287</v>
      </c>
      <c r="W49" s="13">
        <f t="shared" ca="1" si="4"/>
        <v>11.540555555555555</v>
      </c>
      <c r="X49" s="5">
        <f t="shared" ca="1" si="5"/>
        <v>-2.5354237496120424E-2</v>
      </c>
      <c r="Y49" s="15">
        <f t="shared" si="8"/>
        <v>0.13675213675213693</v>
      </c>
      <c r="Z49" s="15">
        <f t="shared" si="10"/>
        <v>1.7391304347825987E-2</v>
      </c>
      <c r="AA49" s="15">
        <f t="shared" si="10"/>
        <v>-1.7094017094017033E-2</v>
      </c>
      <c r="AB49" s="15">
        <f t="shared" si="10"/>
        <v>-0.27329192546583858</v>
      </c>
      <c r="AC49" s="15">
        <f t="shared" si="10"/>
        <v>0.10273972602739745</v>
      </c>
      <c r="AD49" s="15">
        <f t="shared" si="10"/>
        <v>8.6309523809523725E-2</v>
      </c>
      <c r="AE49" s="15">
        <f t="shared" si="10"/>
        <v>-1.5384615384615441E-2</v>
      </c>
      <c r="AF49" s="15">
        <f t="shared" si="10"/>
        <v>0.21766280107047264</v>
      </c>
      <c r="AG49" s="15">
        <f t="shared" si="10"/>
        <v>0.42620865139949116</v>
      </c>
      <c r="AH49" s="15">
        <f t="shared" si="10"/>
        <v>-0.27154772937905458</v>
      </c>
      <c r="AI49" s="15">
        <f t="shared" si="10"/>
        <v>0.14422057264050903</v>
      </c>
      <c r="AJ49" s="15">
        <f t="shared" si="10"/>
        <v>9.0173410404624121E-2</v>
      </c>
      <c r="AK49" s="5">
        <f t="shared" si="9"/>
        <v>-0.27329192546583858</v>
      </c>
    </row>
    <row r="50" spans="1:37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67">
        <v>11.6</v>
      </c>
      <c r="G50" s="79">
        <v>11.4</v>
      </c>
      <c r="H50" s="79">
        <v>11.5</v>
      </c>
      <c r="I50" s="61">
        <v>11.33</v>
      </c>
      <c r="J50" s="61">
        <v>11.92</v>
      </c>
      <c r="K50" s="61">
        <v>11.17</v>
      </c>
      <c r="L50" s="61">
        <v>10.85</v>
      </c>
      <c r="M50" s="61">
        <v>10.96</v>
      </c>
      <c r="N50" s="61">
        <v>11.15</v>
      </c>
      <c r="O50" s="63"/>
      <c r="P50" s="63"/>
      <c r="Q50" s="63"/>
      <c r="R50" s="64"/>
      <c r="S50" s="13">
        <f t="shared" si="7"/>
        <v>11.32</v>
      </c>
      <c r="T50" s="4">
        <f t="shared" ca="1" si="1"/>
        <v>0</v>
      </c>
      <c r="U50" s="4">
        <f t="shared" ca="1" si="2"/>
        <v>73</v>
      </c>
      <c r="V50" s="4">
        <f t="shared" ca="1" si="3"/>
        <v>287</v>
      </c>
      <c r="W50" s="13">
        <f t="shared" ca="1" si="4"/>
        <v>11.479722222222222</v>
      </c>
      <c r="X50" s="5">
        <f t="shared" ca="1" si="5"/>
        <v>1.4109736945425944E-2</v>
      </c>
      <c r="Y50" s="15">
        <f t="shared" si="8"/>
        <v>1.754385964912264E-2</v>
      </c>
      <c r="Z50" s="15">
        <f t="shared" si="10"/>
        <v>-8.6956521739129933E-3</v>
      </c>
      <c r="AA50" s="15">
        <f t="shared" si="10"/>
        <v>1.5004413062665423E-2</v>
      </c>
      <c r="AB50" s="15">
        <f t="shared" si="10"/>
        <v>-4.9496644295301984E-2</v>
      </c>
      <c r="AC50" s="15">
        <f t="shared" si="10"/>
        <v>6.7144136078782557E-2</v>
      </c>
      <c r="AD50" s="15">
        <f t="shared" ref="AD50:AJ68" si="11">IF(L50&lt;&gt;"",IF(K50&lt;0,IF(L50&lt;0,((K50/L50)-1)*-1,(K50/L50)-1),IF(L50&lt;0,ABS((K50/L50)-1),(K50/L50)-1)),99.99999)</f>
        <v>2.9493087557603603E-2</v>
      </c>
      <c r="AE50" s="15">
        <f t="shared" si="11"/>
        <v>-1.0036496350365076E-2</v>
      </c>
      <c r="AF50" s="15">
        <f t="shared" si="11"/>
        <v>-1.7040358744394579E-2</v>
      </c>
      <c r="AG50" s="15">
        <f t="shared" si="11"/>
        <v>99.999989999999997</v>
      </c>
      <c r="AH50" s="15">
        <f t="shared" si="11"/>
        <v>99.999989999999997</v>
      </c>
      <c r="AI50" s="15">
        <f t="shared" si="11"/>
        <v>99.999989999999997</v>
      </c>
      <c r="AJ50" s="15">
        <f t="shared" si="11"/>
        <v>99.999989999999997</v>
      </c>
      <c r="AK50" s="5">
        <f t="shared" si="9"/>
        <v>-4.9496644295301984E-2</v>
      </c>
    </row>
    <row r="51" spans="1:37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67">
        <v>-3.01</v>
      </c>
      <c r="G51" s="79">
        <v>-2.54</v>
      </c>
      <c r="H51" s="79">
        <v>-2.4900000000000002</v>
      </c>
      <c r="I51" s="61">
        <v>-8.16</v>
      </c>
      <c r="J51" s="61">
        <v>-4.8899999999999997</v>
      </c>
      <c r="K51" s="61">
        <v>-2.2200000000000002</v>
      </c>
      <c r="L51" s="61">
        <v>0.13</v>
      </c>
      <c r="M51" s="61">
        <v>1.95</v>
      </c>
      <c r="N51" s="61">
        <v>3.03</v>
      </c>
      <c r="O51" s="61"/>
      <c r="P51" s="61"/>
      <c r="Q51" s="61"/>
      <c r="R51" s="62"/>
      <c r="S51" s="13">
        <f t="shared" si="7"/>
        <v>-2.0222222222222221</v>
      </c>
      <c r="T51" s="4">
        <f t="shared" ca="1" si="1"/>
        <v>0</v>
      </c>
      <c r="U51" s="4">
        <f t="shared" ca="1" si="2"/>
        <v>73</v>
      </c>
      <c r="V51" s="4">
        <f t="shared" ca="1" si="3"/>
        <v>287</v>
      </c>
      <c r="W51" s="13">
        <f t="shared" ca="1" si="4"/>
        <v>-2.5001388888888889</v>
      </c>
      <c r="X51" s="5">
        <f t="shared" ca="1" si="5"/>
        <v>-0.23633241758241774</v>
      </c>
      <c r="Y51" s="15">
        <f t="shared" si="8"/>
        <v>-0.18503937007874005</v>
      </c>
      <c r="Z51" s="15">
        <f t="shared" ref="Z51:AC68" si="12">IF(H51&lt;&gt;"",IF(G51&lt;0,IF(H51&lt;0,((G51/H51)-1)*-1,(G51/H51)-1),IF(H51&lt;0,ABS((G51/H51)-1),(G51/H51)-1)),99.99999)</f>
        <v>-2.008032128514059E-2</v>
      </c>
      <c r="AA51" s="15">
        <f t="shared" si="12"/>
        <v>0.69485294117647056</v>
      </c>
      <c r="AB51" s="15">
        <f t="shared" si="12"/>
        <v>-0.66871165644171793</v>
      </c>
      <c r="AC51" s="15">
        <f t="shared" si="12"/>
        <v>-1.2027027027027022</v>
      </c>
      <c r="AD51" s="15">
        <f t="shared" si="11"/>
        <v>-18.076923076923077</v>
      </c>
      <c r="AE51" s="15">
        <f t="shared" si="11"/>
        <v>-0.93333333333333335</v>
      </c>
      <c r="AF51" s="15">
        <f t="shared" si="11"/>
        <v>-0.35643564356435642</v>
      </c>
      <c r="AG51" s="15">
        <f t="shared" si="11"/>
        <v>99.999989999999997</v>
      </c>
      <c r="AH51" s="15">
        <f t="shared" si="11"/>
        <v>99.999989999999997</v>
      </c>
      <c r="AI51" s="15">
        <f t="shared" si="11"/>
        <v>99.999989999999997</v>
      </c>
      <c r="AJ51" s="15">
        <f t="shared" si="11"/>
        <v>99.999989999999997</v>
      </c>
      <c r="AK51" s="5">
        <f t="shared" si="9"/>
        <v>-18.076923076923077</v>
      </c>
    </row>
    <row r="52" spans="1:37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67">
        <v>23.9</v>
      </c>
      <c r="G52" s="79">
        <v>23.2</v>
      </c>
      <c r="H52" s="79">
        <v>23.4</v>
      </c>
      <c r="I52" s="66">
        <v>25.5</v>
      </c>
      <c r="J52" s="61">
        <v>25.06</v>
      </c>
      <c r="K52" s="61">
        <v>23.3</v>
      </c>
      <c r="L52" s="61">
        <v>24.59</v>
      </c>
      <c r="M52" s="61">
        <v>21.61</v>
      </c>
      <c r="N52" s="61">
        <v>21.65</v>
      </c>
      <c r="O52" s="61">
        <v>22.91</v>
      </c>
      <c r="P52" s="61">
        <v>21.32</v>
      </c>
      <c r="Q52" s="61">
        <v>19.79</v>
      </c>
      <c r="R52" s="64"/>
      <c r="S52" s="13">
        <f t="shared" si="7"/>
        <v>23.019166666666667</v>
      </c>
      <c r="T52" s="4">
        <f t="shared" ca="1" si="1"/>
        <v>0</v>
      </c>
      <c r="U52" s="4">
        <f t="shared" ca="1" si="2"/>
        <v>254</v>
      </c>
      <c r="V52" s="4">
        <f t="shared" ca="1" si="3"/>
        <v>106</v>
      </c>
      <c r="W52" s="13">
        <f t="shared" ca="1" si="4"/>
        <v>23.25888888888889</v>
      </c>
      <c r="X52" s="5">
        <f t="shared" ca="1" si="5"/>
        <v>1.0414026958211142E-2</v>
      </c>
      <c r="Y52" s="15">
        <f t="shared" si="8"/>
        <v>3.0172413793103425E-2</v>
      </c>
      <c r="Z52" s="15">
        <f t="shared" si="12"/>
        <v>-8.5470085470085166E-3</v>
      </c>
      <c r="AA52" s="15">
        <f t="shared" si="12"/>
        <v>-8.2352941176470629E-2</v>
      </c>
      <c r="AB52" s="15">
        <f t="shared" si="12"/>
        <v>1.7557861133280284E-2</v>
      </c>
      <c r="AC52" s="15">
        <f t="shared" si="12"/>
        <v>7.5536480686695162E-2</v>
      </c>
      <c r="AD52" s="15">
        <f t="shared" si="11"/>
        <v>-5.2460349735664824E-2</v>
      </c>
      <c r="AE52" s="15">
        <f t="shared" si="11"/>
        <v>0.13789912077741784</v>
      </c>
      <c r="AF52" s="15">
        <f t="shared" si="11"/>
        <v>-1.8475750577366945E-3</v>
      </c>
      <c r="AG52" s="15">
        <f t="shared" si="11"/>
        <v>-5.4997817546922789E-2</v>
      </c>
      <c r="AH52" s="15">
        <f t="shared" si="11"/>
        <v>7.4577861163227066E-2</v>
      </c>
      <c r="AI52" s="15">
        <f t="shared" si="11"/>
        <v>7.7311773623041979E-2</v>
      </c>
      <c r="AJ52" s="15">
        <f t="shared" si="11"/>
        <v>99.999989999999997</v>
      </c>
      <c r="AK52" s="5">
        <f t="shared" si="9"/>
        <v>-8.2352941176470629E-2</v>
      </c>
    </row>
    <row r="53" spans="1:37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67">
        <v>5.67</v>
      </c>
      <c r="G53" s="79">
        <v>5.84</v>
      </c>
      <c r="H53" s="79">
        <v>4.03</v>
      </c>
      <c r="I53" s="61">
        <v>2.96</v>
      </c>
      <c r="J53" s="63"/>
      <c r="K53" s="63"/>
      <c r="L53" s="63"/>
      <c r="M53" s="63"/>
      <c r="N53" s="63"/>
      <c r="O53" s="63"/>
      <c r="P53" s="63"/>
      <c r="Q53" s="63"/>
      <c r="R53" s="64"/>
      <c r="S53" s="13">
        <f t="shared" si="7"/>
        <v>4.625</v>
      </c>
      <c r="T53" s="4">
        <f t="shared" ca="1" si="1"/>
        <v>0</v>
      </c>
      <c r="U53" s="4">
        <f t="shared" ca="1" si="2"/>
        <v>73</v>
      </c>
      <c r="V53" s="4">
        <f t="shared" ca="1" si="3"/>
        <v>287</v>
      </c>
      <c r="W53" s="13">
        <f t="shared" ca="1" si="4"/>
        <v>4.3970277777777778</v>
      </c>
      <c r="X53" s="5">
        <f t="shared" ca="1" si="5"/>
        <v>-4.9291291291291284E-2</v>
      </c>
      <c r="Y53" s="15">
        <f t="shared" si="8"/>
        <v>-2.910958904109584E-2</v>
      </c>
      <c r="Z53" s="15">
        <f t="shared" si="12"/>
        <v>0.44913151364764259</v>
      </c>
      <c r="AA53" s="15">
        <f t="shared" si="12"/>
        <v>0.36148648648648662</v>
      </c>
      <c r="AB53" s="15">
        <f t="shared" si="12"/>
        <v>99.999989999999997</v>
      </c>
      <c r="AC53" s="15">
        <f t="shared" si="12"/>
        <v>99.999989999999997</v>
      </c>
      <c r="AD53" s="15">
        <f t="shared" si="11"/>
        <v>99.999989999999997</v>
      </c>
      <c r="AE53" s="15">
        <f t="shared" si="11"/>
        <v>99.999989999999997</v>
      </c>
      <c r="AF53" s="15">
        <f t="shared" si="11"/>
        <v>99.999989999999997</v>
      </c>
      <c r="AG53" s="15">
        <f t="shared" si="11"/>
        <v>99.999989999999997</v>
      </c>
      <c r="AH53" s="15">
        <f t="shared" si="11"/>
        <v>99.999989999999997</v>
      </c>
      <c r="AI53" s="15">
        <f t="shared" si="11"/>
        <v>99.999989999999997</v>
      </c>
      <c r="AJ53" s="15">
        <f t="shared" si="11"/>
        <v>99.999989999999997</v>
      </c>
      <c r="AK53" s="5">
        <f t="shared" si="9"/>
        <v>-2.910958904109584E-2</v>
      </c>
    </row>
    <row r="54" spans="1:37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67">
        <v>29.5</v>
      </c>
      <c r="G54" s="79">
        <v>27.8</v>
      </c>
      <c r="H54" s="66">
        <v>25.2</v>
      </c>
      <c r="I54" s="66">
        <v>25.1</v>
      </c>
      <c r="J54" s="61">
        <v>23.04</v>
      </c>
      <c r="K54" s="61">
        <v>20.86</v>
      </c>
      <c r="L54" s="61">
        <v>19.489999999999998</v>
      </c>
      <c r="M54" s="61">
        <v>18.82</v>
      </c>
      <c r="N54" s="61">
        <v>16.63</v>
      </c>
      <c r="O54" s="61">
        <v>16.260000000000002</v>
      </c>
      <c r="P54" s="61">
        <v>14.91</v>
      </c>
      <c r="Q54" s="61">
        <v>12.77</v>
      </c>
      <c r="R54" s="62">
        <v>11.67</v>
      </c>
      <c r="S54" s="13">
        <f t="shared" si="7"/>
        <v>20.157692307692308</v>
      </c>
      <c r="T54" s="4">
        <f t="shared" ca="1" si="1"/>
        <v>43</v>
      </c>
      <c r="U54" s="4">
        <f t="shared" ca="1" si="2"/>
        <v>317</v>
      </c>
      <c r="V54" s="4">
        <f t="shared" ca="1" si="3"/>
        <v>0</v>
      </c>
      <c r="W54" s="13">
        <f t="shared" ca="1" si="4"/>
        <v>28.003055555555555</v>
      </c>
      <c r="X54" s="5">
        <f t="shared" ca="1" si="5"/>
        <v>0.3891994742309568</v>
      </c>
      <c r="Y54" s="15">
        <f t="shared" si="8"/>
        <v>6.1151079136690711E-2</v>
      </c>
      <c r="Z54" s="15">
        <f t="shared" si="12"/>
        <v>0.10317460317460325</v>
      </c>
      <c r="AA54" s="15">
        <f t="shared" si="12"/>
        <v>3.9840637450199168E-3</v>
      </c>
      <c r="AB54" s="15">
        <f t="shared" si="12"/>
        <v>8.9409722222222321E-2</v>
      </c>
      <c r="AC54" s="15">
        <f t="shared" si="12"/>
        <v>0.10450623202301057</v>
      </c>
      <c r="AD54" s="15">
        <f t="shared" si="11"/>
        <v>7.0292457670600328E-2</v>
      </c>
      <c r="AE54" s="15">
        <f t="shared" si="11"/>
        <v>3.5600425079702402E-2</v>
      </c>
      <c r="AF54" s="15">
        <f t="shared" si="11"/>
        <v>0.1316897173782321</v>
      </c>
      <c r="AG54" s="15">
        <f t="shared" si="11"/>
        <v>2.2755227552275326E-2</v>
      </c>
      <c r="AH54" s="15">
        <f t="shared" si="11"/>
        <v>9.0543259557344102E-2</v>
      </c>
      <c r="AI54" s="15">
        <f t="shared" si="11"/>
        <v>0.16758026624902111</v>
      </c>
      <c r="AJ54" s="15">
        <f t="shared" si="11"/>
        <v>9.4258783204798524E-2</v>
      </c>
      <c r="AK54" s="5">
        <f t="shared" si="9"/>
        <v>3.9840637450199168E-3</v>
      </c>
    </row>
    <row r="55" spans="1:37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67">
        <v>35.9</v>
      </c>
      <c r="G55" s="79">
        <v>35.4</v>
      </c>
      <c r="H55" s="79">
        <v>33.700000000000003</v>
      </c>
      <c r="I55" s="66">
        <v>33.6</v>
      </c>
      <c r="J55" s="61">
        <v>31.32</v>
      </c>
      <c r="K55" s="61">
        <v>25.6</v>
      </c>
      <c r="L55" s="61">
        <v>23.34</v>
      </c>
      <c r="M55" s="61">
        <v>21.97</v>
      </c>
      <c r="N55" s="61">
        <v>18.899999999999999</v>
      </c>
      <c r="O55" s="61"/>
      <c r="P55" s="61"/>
      <c r="Q55" s="61"/>
      <c r="R55" s="62"/>
      <c r="S55" s="13">
        <f t="shared" si="7"/>
        <v>28.858888888888885</v>
      </c>
      <c r="T55" s="4">
        <f t="shared" ca="1" si="1"/>
        <v>0</v>
      </c>
      <c r="U55" s="4">
        <f t="shared" ca="1" si="2"/>
        <v>73</v>
      </c>
      <c r="V55" s="4">
        <f t="shared" ca="1" si="3"/>
        <v>287</v>
      </c>
      <c r="W55" s="13">
        <f t="shared" ca="1" si="4"/>
        <v>34.044722222222227</v>
      </c>
      <c r="X55" s="5">
        <f t="shared" ca="1" si="5"/>
        <v>0.17969622300080879</v>
      </c>
      <c r="Y55" s="15">
        <f t="shared" si="8"/>
        <v>1.4124293785310771E-2</v>
      </c>
      <c r="Z55" s="15">
        <f t="shared" si="12"/>
        <v>5.044510385756662E-2</v>
      </c>
      <c r="AA55" s="15">
        <f t="shared" si="12"/>
        <v>2.9761904761904656E-3</v>
      </c>
      <c r="AB55" s="15">
        <f t="shared" si="12"/>
        <v>7.2796934865900331E-2</v>
      </c>
      <c r="AC55" s="15">
        <f t="shared" si="12"/>
        <v>0.22343749999999996</v>
      </c>
      <c r="AD55" s="15">
        <f t="shared" si="11"/>
        <v>9.682947729220226E-2</v>
      </c>
      <c r="AE55" s="15">
        <f t="shared" si="11"/>
        <v>6.2357760582612665E-2</v>
      </c>
      <c r="AF55" s="15">
        <f t="shared" si="11"/>
        <v>0.16243386243386237</v>
      </c>
      <c r="AG55" s="15">
        <f t="shared" si="11"/>
        <v>99.999989999999997</v>
      </c>
      <c r="AH55" s="15">
        <f t="shared" si="11"/>
        <v>99.999989999999997</v>
      </c>
      <c r="AI55" s="15">
        <f t="shared" si="11"/>
        <v>99.999989999999997</v>
      </c>
      <c r="AJ55" s="15">
        <f t="shared" si="11"/>
        <v>99.999989999999997</v>
      </c>
      <c r="AK55" s="5">
        <f t="shared" si="9"/>
        <v>2.9761904761904656E-3</v>
      </c>
    </row>
    <row r="56" spans="1:37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67">
        <v>15840</v>
      </c>
      <c r="G56" s="79">
        <v>15524</v>
      </c>
      <c r="H56" s="79">
        <v>14623</v>
      </c>
      <c r="I56" s="66">
        <v>12555</v>
      </c>
      <c r="J56" s="61">
        <v>19373</v>
      </c>
      <c r="K56" s="61">
        <v>12607</v>
      </c>
      <c r="L56" s="61">
        <v>11565</v>
      </c>
      <c r="M56" s="61">
        <v>11946</v>
      </c>
      <c r="N56" s="61">
        <v>16177</v>
      </c>
      <c r="O56" s="61">
        <v>14790</v>
      </c>
      <c r="P56" s="61">
        <v>13894</v>
      </c>
      <c r="Q56" s="61">
        <v>11558</v>
      </c>
      <c r="R56" s="62">
        <v>9711</v>
      </c>
      <c r="S56" s="13">
        <f t="shared" si="7"/>
        <v>13858.692307692309</v>
      </c>
      <c r="T56" s="4">
        <f t="shared" ca="1" si="1"/>
        <v>0</v>
      </c>
      <c r="U56" s="4">
        <f t="shared" ca="1" si="2"/>
        <v>73</v>
      </c>
      <c r="V56" s="4">
        <f t="shared" ca="1" si="3"/>
        <v>287</v>
      </c>
      <c r="W56" s="13">
        <f t="shared" ca="1" si="4"/>
        <v>14805.702777777778</v>
      </c>
      <c r="X56" s="5">
        <f t="shared" ca="1" si="5"/>
        <v>6.8333320998823943E-2</v>
      </c>
      <c r="Y56" s="15">
        <f t="shared" si="8"/>
        <v>2.0355578459160029E-2</v>
      </c>
      <c r="Z56" s="15">
        <f t="shared" si="12"/>
        <v>6.1615263625794947E-2</v>
      </c>
      <c r="AA56" s="15">
        <f t="shared" si="12"/>
        <v>0.16471525288729594</v>
      </c>
      <c r="AB56" s="15">
        <f t="shared" si="12"/>
        <v>-0.35193310277189904</v>
      </c>
      <c r="AC56" s="15">
        <f t="shared" si="12"/>
        <v>0.53668596811295322</v>
      </c>
      <c r="AD56" s="15">
        <f t="shared" si="11"/>
        <v>9.009943795936004E-2</v>
      </c>
      <c r="AE56" s="15">
        <f t="shared" si="11"/>
        <v>-3.1893520843797041E-2</v>
      </c>
      <c r="AF56" s="15">
        <f t="shared" si="11"/>
        <v>-0.26154416764542254</v>
      </c>
      <c r="AG56" s="15">
        <f t="shared" si="11"/>
        <v>9.3779580797836326E-2</v>
      </c>
      <c r="AH56" s="15">
        <f t="shared" si="11"/>
        <v>6.4488268317259179E-2</v>
      </c>
      <c r="AI56" s="15">
        <f t="shared" si="11"/>
        <v>0.20211109188440912</v>
      </c>
      <c r="AJ56" s="15">
        <f t="shared" si="11"/>
        <v>0.19019668417258773</v>
      </c>
      <c r="AK56" s="5">
        <f t="shared" si="9"/>
        <v>-0.35193310277189904</v>
      </c>
    </row>
    <row r="57" spans="1:37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67">
        <v>35.799999999999997</v>
      </c>
      <c r="G57" s="79">
        <v>34.1</v>
      </c>
      <c r="H57" s="79">
        <v>31.4</v>
      </c>
      <c r="I57" s="61">
        <v>26.59</v>
      </c>
      <c r="J57" s="61">
        <v>23.19</v>
      </c>
      <c r="K57" s="61">
        <v>21.72</v>
      </c>
      <c r="L57" s="61">
        <v>20</v>
      </c>
      <c r="M57" s="61">
        <v>18.149999999999999</v>
      </c>
      <c r="N57" s="61">
        <v>14.94</v>
      </c>
      <c r="O57" s="61">
        <v>14.92</v>
      </c>
      <c r="P57" s="61">
        <v>13.03</v>
      </c>
      <c r="Q57" s="61">
        <v>12.66</v>
      </c>
      <c r="R57" s="62">
        <v>12.33</v>
      </c>
      <c r="S57" s="13">
        <f t="shared" si="7"/>
        <v>21.448461538461537</v>
      </c>
      <c r="T57" s="4">
        <f t="shared" ca="1" si="1"/>
        <v>0</v>
      </c>
      <c r="U57" s="4">
        <f t="shared" ca="1" si="2"/>
        <v>73</v>
      </c>
      <c r="V57" s="4">
        <f t="shared" ca="1" si="3"/>
        <v>287</v>
      </c>
      <c r="W57" s="13">
        <f t="shared" ca="1" si="4"/>
        <v>31.947499999999998</v>
      </c>
      <c r="X57" s="5">
        <f t="shared" ca="1" si="5"/>
        <v>0.48950077107915213</v>
      </c>
      <c r="Y57" s="15">
        <f t="shared" si="8"/>
        <v>4.9853372434017551E-2</v>
      </c>
      <c r="Z57" s="15">
        <f t="shared" si="12"/>
        <v>8.5987261146496907E-2</v>
      </c>
      <c r="AA57" s="15">
        <f t="shared" si="12"/>
        <v>0.18089507333584054</v>
      </c>
      <c r="AB57" s="15">
        <f t="shared" si="12"/>
        <v>0.14661492022423461</v>
      </c>
      <c r="AC57" s="15">
        <f t="shared" si="12"/>
        <v>6.7679558011049856E-2</v>
      </c>
      <c r="AD57" s="15">
        <f t="shared" si="11"/>
        <v>8.5999999999999854E-2</v>
      </c>
      <c r="AE57" s="15">
        <f t="shared" si="11"/>
        <v>0.10192837465564741</v>
      </c>
      <c r="AF57" s="15">
        <f t="shared" si="11"/>
        <v>0.21485943775100402</v>
      </c>
      <c r="AG57" s="15">
        <f t="shared" si="11"/>
        <v>1.3404825737264314E-3</v>
      </c>
      <c r="AH57" s="15">
        <f t="shared" si="11"/>
        <v>0.14504988488104376</v>
      </c>
      <c r="AI57" s="15">
        <f t="shared" si="11"/>
        <v>2.922590837282768E-2</v>
      </c>
      <c r="AJ57" s="15">
        <f t="shared" si="11"/>
        <v>2.6763990267639981E-2</v>
      </c>
      <c r="AK57" s="5">
        <f t="shared" si="9"/>
        <v>1.3404825737264314E-3</v>
      </c>
    </row>
    <row r="58" spans="1:37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67">
        <v>46.6</v>
      </c>
      <c r="G58" s="79">
        <v>42.8</v>
      </c>
      <c r="H58" s="79">
        <v>39.4</v>
      </c>
      <c r="I58" s="66">
        <v>33.6</v>
      </c>
      <c r="J58" s="61">
        <v>37.36</v>
      </c>
      <c r="K58" s="61">
        <v>34.380000000000003</v>
      </c>
      <c r="L58" s="61">
        <v>29.25</v>
      </c>
      <c r="M58" s="61">
        <v>24.73</v>
      </c>
      <c r="N58" s="61">
        <v>22.7</v>
      </c>
      <c r="O58" s="61">
        <v>19.63</v>
      </c>
      <c r="P58" s="61">
        <v>22.04</v>
      </c>
      <c r="Q58" s="61">
        <v>22.86</v>
      </c>
      <c r="R58" s="62">
        <v>22.25</v>
      </c>
      <c r="S58" s="13">
        <f t="shared" si="7"/>
        <v>30.584615384615386</v>
      </c>
      <c r="T58" s="4">
        <f t="shared" ca="1" si="1"/>
        <v>0</v>
      </c>
      <c r="U58" s="4">
        <f t="shared" ca="1" si="2"/>
        <v>73</v>
      </c>
      <c r="V58" s="4">
        <f t="shared" ca="1" si="3"/>
        <v>287</v>
      </c>
      <c r="W58" s="13">
        <f t="shared" ca="1" si="4"/>
        <v>40.089444444444439</v>
      </c>
      <c r="X58" s="5">
        <f t="shared" ca="1" si="5"/>
        <v>0.31077157388777077</v>
      </c>
      <c r="Y58" s="15">
        <f t="shared" si="8"/>
        <v>8.8785046728972139E-2</v>
      </c>
      <c r="Z58" s="15">
        <f t="shared" si="12"/>
        <v>8.6294416243654748E-2</v>
      </c>
      <c r="AA58" s="15">
        <f t="shared" si="12"/>
        <v>0.17261904761904745</v>
      </c>
      <c r="AB58" s="15">
        <f t="shared" si="12"/>
        <v>-0.10064239828693788</v>
      </c>
      <c r="AC58" s="15">
        <f t="shared" si="12"/>
        <v>8.667830133798704E-2</v>
      </c>
      <c r="AD58" s="15">
        <f t="shared" si="11"/>
        <v>0.17538461538461547</v>
      </c>
      <c r="AE58" s="15">
        <f t="shared" si="11"/>
        <v>0.18277395875454916</v>
      </c>
      <c r="AF58" s="15">
        <f t="shared" si="11"/>
        <v>8.9427312775330448E-2</v>
      </c>
      <c r="AG58" s="15">
        <f t="shared" si="11"/>
        <v>0.15639327559857374</v>
      </c>
      <c r="AH58" s="15">
        <f t="shared" si="11"/>
        <v>-0.10934664246823955</v>
      </c>
      <c r="AI58" s="15">
        <f t="shared" si="11"/>
        <v>-3.5870516185476875E-2</v>
      </c>
      <c r="AJ58" s="15">
        <f t="shared" si="11"/>
        <v>2.7415730337078559E-2</v>
      </c>
      <c r="AK58" s="5">
        <f t="shared" si="9"/>
        <v>-0.10934664246823955</v>
      </c>
    </row>
    <row r="59" spans="1:37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67">
        <v>45</v>
      </c>
      <c r="G59" s="79">
        <v>44.1</v>
      </c>
      <c r="H59" s="79">
        <v>43.6</v>
      </c>
      <c r="I59" s="61">
        <v>42.54</v>
      </c>
      <c r="J59" s="61">
        <v>42.95</v>
      </c>
      <c r="K59" s="61">
        <v>43.23</v>
      </c>
      <c r="L59" s="61">
        <v>41.93</v>
      </c>
      <c r="M59" s="61">
        <v>40.5</v>
      </c>
      <c r="N59" s="61">
        <v>36.65</v>
      </c>
      <c r="O59" s="61">
        <v>34.11</v>
      </c>
      <c r="P59" s="61">
        <v>32.61</v>
      </c>
      <c r="Q59" s="61">
        <v>33.54</v>
      </c>
      <c r="R59" s="62">
        <v>33.42</v>
      </c>
      <c r="S59" s="13">
        <f t="shared" si="7"/>
        <v>39.5523076923077</v>
      </c>
      <c r="T59" s="4">
        <f t="shared" ca="1" si="1"/>
        <v>0</v>
      </c>
      <c r="U59" s="4">
        <f t="shared" ca="1" si="2"/>
        <v>73</v>
      </c>
      <c r="V59" s="4">
        <f t="shared" ca="1" si="3"/>
        <v>287</v>
      </c>
      <c r="W59" s="13">
        <f t="shared" ca="1" si="4"/>
        <v>43.701388888888886</v>
      </c>
      <c r="X59" s="5">
        <f t="shared" ca="1" si="5"/>
        <v>0.10490111547620562</v>
      </c>
      <c r="Y59" s="15">
        <f t="shared" si="8"/>
        <v>2.0408163265306145E-2</v>
      </c>
      <c r="Z59" s="15">
        <f t="shared" si="12"/>
        <v>1.1467889908256979E-2</v>
      </c>
      <c r="AA59" s="15">
        <f t="shared" si="12"/>
        <v>2.4917724494593285E-2</v>
      </c>
      <c r="AB59" s="15">
        <f t="shared" si="12"/>
        <v>-9.5459837019791216E-3</v>
      </c>
      <c r="AC59" s="15">
        <f t="shared" si="12"/>
        <v>-6.4769835762200634E-3</v>
      </c>
      <c r="AD59" s="15">
        <f t="shared" si="11"/>
        <v>3.1004054376341461E-2</v>
      </c>
      <c r="AE59" s="15">
        <f t="shared" si="11"/>
        <v>3.5308641975308586E-2</v>
      </c>
      <c r="AF59" s="15">
        <f t="shared" si="11"/>
        <v>0.10504774897680758</v>
      </c>
      <c r="AG59" s="15">
        <f t="shared" si="11"/>
        <v>7.4464966285546774E-2</v>
      </c>
      <c r="AH59" s="15">
        <f t="shared" si="11"/>
        <v>4.5998160073597028E-2</v>
      </c>
      <c r="AI59" s="15">
        <f t="shared" si="11"/>
        <v>-2.7728085867620766E-2</v>
      </c>
      <c r="AJ59" s="15">
        <f t="shared" si="11"/>
        <v>3.5906642728904536E-3</v>
      </c>
      <c r="AK59" s="5">
        <f t="shared" si="9"/>
        <v>-2.7728085867620766E-2</v>
      </c>
    </row>
    <row r="60" spans="1:37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67">
        <v>3.8000000000000003</v>
      </c>
      <c r="G60" s="79">
        <v>3.37</v>
      </c>
      <c r="H60" s="79">
        <v>2.97</v>
      </c>
      <c r="I60" s="66">
        <v>2.48</v>
      </c>
      <c r="J60" s="61">
        <v>2.5499999999999998</v>
      </c>
      <c r="K60" s="61">
        <v>2.0299999999999998</v>
      </c>
      <c r="L60" s="61">
        <v>1.9</v>
      </c>
      <c r="M60" s="61">
        <v>1.45</v>
      </c>
      <c r="N60" s="61">
        <v>1.1399999999999999</v>
      </c>
      <c r="O60" s="61">
        <v>1.25</v>
      </c>
      <c r="P60" s="61">
        <v>1.36</v>
      </c>
      <c r="Q60" s="61">
        <v>1.48</v>
      </c>
      <c r="R60" s="62">
        <v>1.19</v>
      </c>
      <c r="S60" s="13">
        <f t="shared" si="7"/>
        <v>2.074615384615385</v>
      </c>
      <c r="T60" s="4">
        <f t="shared" ca="1" si="1"/>
        <v>0</v>
      </c>
      <c r="U60" s="4">
        <f t="shared" ca="1" si="2"/>
        <v>254</v>
      </c>
      <c r="V60" s="4">
        <f t="shared" ca="1" si="3"/>
        <v>106</v>
      </c>
      <c r="W60" s="13">
        <f t="shared" ca="1" si="4"/>
        <v>3.2522222222222226</v>
      </c>
      <c r="X60" s="5">
        <f t="shared" ca="1" si="5"/>
        <v>0.56762658097474561</v>
      </c>
      <c r="Y60" s="15">
        <f t="shared" si="8"/>
        <v>0.12759643916913954</v>
      </c>
      <c r="Z60" s="15">
        <f t="shared" si="12"/>
        <v>0.13468013468013473</v>
      </c>
      <c r="AA60" s="15">
        <f t="shared" si="12"/>
        <v>0.19758064516129048</v>
      </c>
      <c r="AB60" s="15">
        <f t="shared" si="12"/>
        <v>-2.7450980392156765E-2</v>
      </c>
      <c r="AC60" s="15">
        <f t="shared" si="12"/>
        <v>0.25615763546798043</v>
      </c>
      <c r="AD60" s="15">
        <f t="shared" si="11"/>
        <v>6.8421052631578938E-2</v>
      </c>
      <c r="AE60" s="15">
        <f t="shared" si="11"/>
        <v>0.31034482758620685</v>
      </c>
      <c r="AF60" s="15">
        <f t="shared" si="11"/>
        <v>0.27192982456140369</v>
      </c>
      <c r="AG60" s="15">
        <f t="shared" si="11"/>
        <v>-8.8000000000000078E-2</v>
      </c>
      <c r="AH60" s="15">
        <f t="shared" si="11"/>
        <v>-8.0882352941176516E-2</v>
      </c>
      <c r="AI60" s="15">
        <f t="shared" si="11"/>
        <v>-8.108108108108103E-2</v>
      </c>
      <c r="AJ60" s="15">
        <f t="shared" si="11"/>
        <v>0.24369747899159666</v>
      </c>
      <c r="AK60" s="5">
        <f t="shared" si="9"/>
        <v>-8.8000000000000078E-2</v>
      </c>
    </row>
    <row r="61" spans="1:37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67">
        <v>20.2</v>
      </c>
      <c r="G61" s="79">
        <v>18.8</v>
      </c>
      <c r="H61" s="79">
        <v>17.399999999999999</v>
      </c>
      <c r="I61" s="66">
        <v>15.7</v>
      </c>
      <c r="J61" s="61">
        <v>15.79</v>
      </c>
      <c r="K61" s="61">
        <v>15.07</v>
      </c>
      <c r="L61" s="61">
        <v>13.27</v>
      </c>
      <c r="M61" s="61">
        <v>12.13</v>
      </c>
      <c r="N61" s="61">
        <v>9.6999999999999993</v>
      </c>
      <c r="O61" s="61">
        <v>11.65</v>
      </c>
      <c r="P61" s="61">
        <v>9.57</v>
      </c>
      <c r="Q61" s="61"/>
      <c r="R61" s="62"/>
      <c r="S61" s="13">
        <f t="shared" si="7"/>
        <v>14.479999999999997</v>
      </c>
      <c r="T61" s="4">
        <f t="shared" ca="1" si="1"/>
        <v>0</v>
      </c>
      <c r="U61" s="4">
        <f t="shared" ca="1" si="2"/>
        <v>343</v>
      </c>
      <c r="V61" s="4">
        <f t="shared" ca="1" si="3"/>
        <v>17</v>
      </c>
      <c r="W61" s="13">
        <f t="shared" ca="1" si="4"/>
        <v>18.733888888888888</v>
      </c>
      <c r="X61" s="5">
        <f t="shared" ca="1" si="5"/>
        <v>0.29377685696746503</v>
      </c>
      <c r="Y61" s="15">
        <f t="shared" si="8"/>
        <v>7.4468085106382809E-2</v>
      </c>
      <c r="Z61" s="15">
        <f t="shared" si="12"/>
        <v>8.0459770114942764E-2</v>
      </c>
      <c r="AA61" s="15">
        <f t="shared" si="12"/>
        <v>0.10828025477707004</v>
      </c>
      <c r="AB61" s="15">
        <f t="shared" si="12"/>
        <v>-5.6998100063331281E-3</v>
      </c>
      <c r="AC61" s="15">
        <f t="shared" si="12"/>
        <v>4.7777040477770427E-2</v>
      </c>
      <c r="AD61" s="15">
        <f t="shared" si="11"/>
        <v>0.13564431047475511</v>
      </c>
      <c r="AE61" s="15">
        <f t="shared" si="11"/>
        <v>9.3981863149216638E-2</v>
      </c>
      <c r="AF61" s="15">
        <f t="shared" si="11"/>
        <v>0.25051546391752599</v>
      </c>
      <c r="AG61" s="15">
        <f t="shared" si="11"/>
        <v>-0.16738197424892709</v>
      </c>
      <c r="AH61" s="15">
        <f t="shared" si="11"/>
        <v>0.21734587251828641</v>
      </c>
      <c r="AI61" s="15">
        <f t="shared" si="11"/>
        <v>99.999989999999997</v>
      </c>
      <c r="AJ61" s="15">
        <f t="shared" si="11"/>
        <v>99.999989999999997</v>
      </c>
      <c r="AK61" s="5">
        <f t="shared" si="9"/>
        <v>-0.16738197424892709</v>
      </c>
    </row>
    <row r="62" spans="1:37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67">
        <v>0.63600000000000001</v>
      </c>
      <c r="G62" s="79">
        <v>0.68700000000000006</v>
      </c>
      <c r="H62" s="79">
        <v>1.25</v>
      </c>
      <c r="I62" s="61">
        <v>0.8</v>
      </c>
      <c r="J62" s="61">
        <v>1.31</v>
      </c>
      <c r="K62" s="61">
        <v>1.08</v>
      </c>
      <c r="L62" s="61">
        <v>1.45</v>
      </c>
      <c r="M62" s="61">
        <v>1.57</v>
      </c>
      <c r="N62" s="61">
        <v>1.77</v>
      </c>
      <c r="O62" s="61">
        <v>1.4</v>
      </c>
      <c r="P62" s="61">
        <v>1.6</v>
      </c>
      <c r="Q62" s="61">
        <v>1.57</v>
      </c>
      <c r="R62" s="62">
        <v>1.23</v>
      </c>
      <c r="S62" s="13">
        <f t="shared" si="7"/>
        <v>1.2579230769230767</v>
      </c>
      <c r="T62" s="4">
        <f t="shared" ca="1" si="1"/>
        <v>0</v>
      </c>
      <c r="U62" s="4">
        <f t="shared" ca="1" si="2"/>
        <v>73</v>
      </c>
      <c r="V62" s="4">
        <f t="shared" ca="1" si="3"/>
        <v>287</v>
      </c>
      <c r="W62" s="13">
        <f t="shared" ca="1" si="4"/>
        <v>1.135836111111111</v>
      </c>
      <c r="X62" s="5">
        <f t="shared" ca="1" si="5"/>
        <v>-9.705439708650121E-2</v>
      </c>
      <c r="Y62" s="15">
        <f t="shared" si="8"/>
        <v>-7.4235807860262071E-2</v>
      </c>
      <c r="Z62" s="15">
        <f t="shared" si="12"/>
        <v>-0.45039999999999991</v>
      </c>
      <c r="AA62" s="15">
        <f t="shared" si="12"/>
        <v>0.5625</v>
      </c>
      <c r="AB62" s="15">
        <f t="shared" si="12"/>
        <v>-0.38931297709923662</v>
      </c>
      <c r="AC62" s="15">
        <f t="shared" si="12"/>
        <v>0.21296296296296302</v>
      </c>
      <c r="AD62" s="15">
        <f t="shared" si="11"/>
        <v>-0.2551724137931034</v>
      </c>
      <c r="AE62" s="15">
        <f t="shared" si="11"/>
        <v>-7.6433121019108374E-2</v>
      </c>
      <c r="AF62" s="15">
        <f t="shared" si="11"/>
        <v>-0.11299435028248583</v>
      </c>
      <c r="AG62" s="15">
        <f t="shared" si="11"/>
        <v>0.26428571428571446</v>
      </c>
      <c r="AH62" s="15">
        <f t="shared" si="11"/>
        <v>-0.12500000000000011</v>
      </c>
      <c r="AI62" s="15">
        <f t="shared" si="11"/>
        <v>1.9108280254777066E-2</v>
      </c>
      <c r="AJ62" s="15">
        <f t="shared" si="11"/>
        <v>0.27642276422764245</v>
      </c>
      <c r="AK62" s="5">
        <f t="shared" si="9"/>
        <v>-0.45039999999999991</v>
      </c>
    </row>
    <row r="63" spans="1:37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67">
        <v>11.22</v>
      </c>
      <c r="G63" s="79">
        <v>10.83</v>
      </c>
      <c r="H63" s="79">
        <v>10.02</v>
      </c>
      <c r="I63" s="66">
        <v>9.51</v>
      </c>
      <c r="J63" s="61">
        <v>8.6</v>
      </c>
      <c r="K63" s="61">
        <v>8.06</v>
      </c>
      <c r="L63" s="61">
        <v>7.84</v>
      </c>
      <c r="M63" s="61">
        <v>6.97</v>
      </c>
      <c r="N63" s="61">
        <v>5.55</v>
      </c>
      <c r="O63" s="61">
        <v>4.5599999999999996</v>
      </c>
      <c r="P63" s="61">
        <v>3.3</v>
      </c>
      <c r="Q63" s="61"/>
      <c r="R63" s="62"/>
      <c r="S63" s="13">
        <f t="shared" si="7"/>
        <v>7.8599999999999994</v>
      </c>
      <c r="T63" s="4">
        <f t="shared" ca="1" si="1"/>
        <v>0</v>
      </c>
      <c r="U63" s="4">
        <f t="shared" ca="1" si="2"/>
        <v>73</v>
      </c>
      <c r="V63" s="4">
        <f t="shared" ca="1" si="3"/>
        <v>287</v>
      </c>
      <c r="W63" s="13">
        <f t="shared" ca="1" si="4"/>
        <v>10.184249999999999</v>
      </c>
      <c r="X63" s="5">
        <f t="shared" ca="1" si="5"/>
        <v>0.29570610687022891</v>
      </c>
      <c r="Y63" s="15">
        <f t="shared" si="8"/>
        <v>3.6011080332410073E-2</v>
      </c>
      <c r="Z63" s="15">
        <f t="shared" si="12"/>
        <v>8.083832335329344E-2</v>
      </c>
      <c r="AA63" s="15">
        <f t="shared" si="12"/>
        <v>5.3627760252365819E-2</v>
      </c>
      <c r="AB63" s="15">
        <f t="shared" si="12"/>
        <v>0.10581395348837219</v>
      </c>
      <c r="AC63" s="15">
        <f t="shared" si="12"/>
        <v>6.6997518610421691E-2</v>
      </c>
      <c r="AD63" s="15">
        <f t="shared" si="11"/>
        <v>2.8061224489795977E-2</v>
      </c>
      <c r="AE63" s="15">
        <f t="shared" si="11"/>
        <v>0.12482065997130554</v>
      </c>
      <c r="AF63" s="15">
        <f t="shared" si="11"/>
        <v>0.25585585585585591</v>
      </c>
      <c r="AG63" s="15">
        <f t="shared" si="11"/>
        <v>0.21710526315789491</v>
      </c>
      <c r="AH63" s="15">
        <f t="shared" si="11"/>
        <v>0.38181818181818183</v>
      </c>
      <c r="AI63" s="15">
        <f t="shared" si="11"/>
        <v>99.999989999999997</v>
      </c>
      <c r="AJ63" s="15">
        <f t="shared" si="11"/>
        <v>99.999989999999997</v>
      </c>
      <c r="AK63" s="5">
        <f t="shared" si="9"/>
        <v>2.8061224489795977E-2</v>
      </c>
    </row>
    <row r="64" spans="1:37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67">
        <v>1.58</v>
      </c>
      <c r="G64" s="79">
        <v>2</v>
      </c>
      <c r="H64" s="79">
        <v>2.4</v>
      </c>
      <c r="I64" s="61">
        <v>1.53</v>
      </c>
      <c r="J64" s="61">
        <v>2.0699999999999998</v>
      </c>
      <c r="K64" s="61">
        <v>1.58</v>
      </c>
      <c r="L64" s="61">
        <v>1.8</v>
      </c>
      <c r="M64" s="61">
        <v>2.4900000000000002</v>
      </c>
      <c r="N64" s="61">
        <v>1.96</v>
      </c>
      <c r="O64" s="63"/>
      <c r="P64" s="63"/>
      <c r="Q64" s="63"/>
      <c r="R64" s="64"/>
      <c r="S64" s="13">
        <f t="shared" si="7"/>
        <v>1.9344444444444444</v>
      </c>
      <c r="T64" s="4">
        <f t="shared" ca="1" si="1"/>
        <v>0</v>
      </c>
      <c r="U64" s="4">
        <f t="shared" ca="1" si="2"/>
        <v>73</v>
      </c>
      <c r="V64" s="4">
        <f t="shared" ca="1" si="3"/>
        <v>287</v>
      </c>
      <c r="W64" s="13">
        <f t="shared" ca="1" si="4"/>
        <v>2.3188888888888886</v>
      </c>
      <c r="X64" s="5">
        <f t="shared" ca="1" si="5"/>
        <v>0.19873635841470394</v>
      </c>
      <c r="Y64" s="15">
        <f t="shared" si="8"/>
        <v>-0.20999999999999996</v>
      </c>
      <c r="Z64" s="15">
        <f t="shared" si="12"/>
        <v>-0.16666666666666663</v>
      </c>
      <c r="AA64" s="15">
        <f t="shared" si="12"/>
        <v>0.56862745098039214</v>
      </c>
      <c r="AB64" s="15">
        <f t="shared" si="12"/>
        <v>-0.26086956521739124</v>
      </c>
      <c r="AC64" s="15">
        <f t="shared" si="12"/>
        <v>0.31012658227848089</v>
      </c>
      <c r="AD64" s="15">
        <f t="shared" si="11"/>
        <v>-0.12222222222222223</v>
      </c>
      <c r="AE64" s="15">
        <f t="shared" si="11"/>
        <v>-0.27710843373493976</v>
      </c>
      <c r="AF64" s="15">
        <f t="shared" si="11"/>
        <v>0.27040816326530615</v>
      </c>
      <c r="AG64" s="15">
        <f t="shared" si="11"/>
        <v>99.999989999999997</v>
      </c>
      <c r="AH64" s="15">
        <f t="shared" si="11"/>
        <v>99.999989999999997</v>
      </c>
      <c r="AI64" s="15">
        <f t="shared" si="11"/>
        <v>99.999989999999997</v>
      </c>
      <c r="AJ64" s="15">
        <f t="shared" si="11"/>
        <v>99.999989999999997</v>
      </c>
      <c r="AK64" s="5">
        <f t="shared" si="9"/>
        <v>-0.27710843373493976</v>
      </c>
    </row>
    <row r="65" spans="1:37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67">
        <v>96.4</v>
      </c>
      <c r="G65" s="79">
        <v>89.8</v>
      </c>
      <c r="H65" s="79">
        <v>83.2</v>
      </c>
      <c r="I65" s="61">
        <v>77.69</v>
      </c>
      <c r="J65" s="61">
        <v>68.62</v>
      </c>
      <c r="K65" s="61">
        <v>51.4</v>
      </c>
      <c r="L65" s="61">
        <v>55.05</v>
      </c>
      <c r="M65" s="61">
        <v>604.66999999999996</v>
      </c>
      <c r="N65" s="61">
        <v>492.76</v>
      </c>
      <c r="O65" s="61">
        <v>391.75</v>
      </c>
      <c r="P65" s="61">
        <v>757.32</v>
      </c>
      <c r="Q65" s="61">
        <v>781.53</v>
      </c>
      <c r="R65" s="62">
        <v>665</v>
      </c>
      <c r="S65" s="13">
        <f t="shared" si="7"/>
        <v>324.24538461538458</v>
      </c>
      <c r="T65" s="4">
        <f t="shared" ca="1" si="1"/>
        <v>0</v>
      </c>
      <c r="U65" s="4">
        <f t="shared" ca="1" si="2"/>
        <v>73</v>
      </c>
      <c r="V65" s="4">
        <f t="shared" ca="1" si="3"/>
        <v>287</v>
      </c>
      <c r="W65" s="13">
        <f t="shared" ca="1" si="4"/>
        <v>84.538333333333341</v>
      </c>
      <c r="X65" s="5">
        <f t="shared" ca="1" si="5"/>
        <v>-0.73927667950120068</v>
      </c>
      <c r="Y65" s="15">
        <f t="shared" si="8"/>
        <v>7.3496659242761719E-2</v>
      </c>
      <c r="Z65" s="15">
        <f t="shared" si="12"/>
        <v>7.9326923076922906E-2</v>
      </c>
      <c r="AA65" s="15">
        <f t="shared" si="12"/>
        <v>7.092289869996149E-2</v>
      </c>
      <c r="AB65" s="15">
        <f t="shared" si="12"/>
        <v>0.13217720781113362</v>
      </c>
      <c r="AC65" s="15">
        <f t="shared" si="12"/>
        <v>0.33501945525291843</v>
      </c>
      <c r="AD65" s="15">
        <f t="shared" si="11"/>
        <v>-6.6303360581289716E-2</v>
      </c>
      <c r="AE65" s="15">
        <f t="shared" si="11"/>
        <v>-0.90895860552036645</v>
      </c>
      <c r="AF65" s="15">
        <f t="shared" si="11"/>
        <v>0.22710853153665056</v>
      </c>
      <c r="AG65" s="15">
        <f t="shared" si="11"/>
        <v>0.25784301212507965</v>
      </c>
      <c r="AH65" s="15">
        <f t="shared" si="11"/>
        <v>-0.48271536470712517</v>
      </c>
      <c r="AI65" s="15">
        <f t="shared" si="11"/>
        <v>-3.0977697593182474E-2</v>
      </c>
      <c r="AJ65" s="15">
        <f t="shared" si="11"/>
        <v>0.17523308270676696</v>
      </c>
      <c r="AK65" s="5">
        <f t="shared" si="9"/>
        <v>-0.90895860552036645</v>
      </c>
    </row>
    <row r="66" spans="1:37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67">
        <v>186</v>
      </c>
      <c r="G66" s="79">
        <v>180</v>
      </c>
      <c r="H66" s="79">
        <v>172</v>
      </c>
      <c r="I66" s="61">
        <v>166.79</v>
      </c>
      <c r="J66" s="61">
        <v>158.83000000000001</v>
      </c>
      <c r="K66" s="61">
        <v>147.43</v>
      </c>
      <c r="L66" s="61">
        <v>140.47999999999999</v>
      </c>
      <c r="M66" s="61">
        <v>136.47999999999999</v>
      </c>
      <c r="N66" s="61">
        <v>128.85</v>
      </c>
      <c r="O66" s="61">
        <v>102.13</v>
      </c>
      <c r="P66" s="61">
        <v>98.87</v>
      </c>
      <c r="Q66" s="61">
        <v>92.6</v>
      </c>
      <c r="R66" s="62">
        <v>14.41</v>
      </c>
      <c r="S66" s="13">
        <f t="shared" si="7"/>
        <v>132.68230769230766</v>
      </c>
      <c r="T66" s="4">
        <f t="shared" ca="1" si="1"/>
        <v>0</v>
      </c>
      <c r="U66" s="4">
        <f t="shared" ca="1" si="2"/>
        <v>73</v>
      </c>
      <c r="V66" s="4">
        <f t="shared" ca="1" si="3"/>
        <v>287</v>
      </c>
      <c r="W66" s="13">
        <f t="shared" ca="1" si="4"/>
        <v>173.62222222222223</v>
      </c>
      <c r="X66" s="5">
        <f t="shared" ca="1" si="5"/>
        <v>0.30855594270228459</v>
      </c>
      <c r="Y66" s="15">
        <f t="shared" si="8"/>
        <v>3.3333333333333437E-2</v>
      </c>
      <c r="Z66" s="15">
        <f t="shared" si="12"/>
        <v>4.6511627906976827E-2</v>
      </c>
      <c r="AA66" s="15">
        <f t="shared" si="12"/>
        <v>3.1236884705318158E-2</v>
      </c>
      <c r="AB66" s="15">
        <f t="shared" si="12"/>
        <v>5.0116476736132842E-2</v>
      </c>
      <c r="AC66" s="15">
        <f t="shared" si="12"/>
        <v>7.7324832123719656E-2</v>
      </c>
      <c r="AD66" s="15">
        <f t="shared" si="11"/>
        <v>4.947323462414599E-2</v>
      </c>
      <c r="AE66" s="15">
        <f t="shared" si="11"/>
        <v>2.9308323563892236E-2</v>
      </c>
      <c r="AF66" s="15">
        <f t="shared" si="11"/>
        <v>5.9216142801707283E-2</v>
      </c>
      <c r="AG66" s="15">
        <f t="shared" si="11"/>
        <v>0.26162733770684432</v>
      </c>
      <c r="AH66" s="15">
        <f t="shared" si="11"/>
        <v>3.2972590270051505E-2</v>
      </c>
      <c r="AI66" s="15">
        <f t="shared" si="11"/>
        <v>6.771058315334777E-2</v>
      </c>
      <c r="AJ66" s="15">
        <f t="shared" si="11"/>
        <v>5.4260929909784865</v>
      </c>
      <c r="AK66" s="5">
        <f t="shared" si="9"/>
        <v>2.9308323563892236E-2</v>
      </c>
    </row>
    <row r="67" spans="1:37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67">
        <v>10.4</v>
      </c>
      <c r="G67" s="79">
        <v>10.5</v>
      </c>
      <c r="H67" s="79">
        <v>10.4</v>
      </c>
      <c r="I67" s="61">
        <v>10.67</v>
      </c>
      <c r="J67" s="61">
        <v>10.41</v>
      </c>
      <c r="K67" s="61">
        <v>9.9</v>
      </c>
      <c r="L67" s="61">
        <v>9.8699999999999992</v>
      </c>
      <c r="M67" s="61">
        <v>8.3000000000000007</v>
      </c>
      <c r="N67" s="61">
        <v>7.95</v>
      </c>
      <c r="O67" s="61">
        <v>10.45</v>
      </c>
      <c r="P67" s="61">
        <v>7.82</v>
      </c>
      <c r="Q67" s="61">
        <v>8.11</v>
      </c>
      <c r="R67" s="62">
        <v>7.69</v>
      </c>
      <c r="S67" s="13">
        <f t="shared" si="7"/>
        <v>9.4207692307692295</v>
      </c>
      <c r="T67" s="4">
        <f t="shared" ca="1" si="1"/>
        <v>0</v>
      </c>
      <c r="U67" s="4">
        <f t="shared" ca="1" si="2"/>
        <v>283</v>
      </c>
      <c r="V67" s="4">
        <f t="shared" ca="1" si="3"/>
        <v>77</v>
      </c>
      <c r="W67" s="13">
        <f t="shared" ca="1" si="4"/>
        <v>10.47861111111111</v>
      </c>
      <c r="X67" s="5">
        <f t="shared" ca="1" si="5"/>
        <v>0.11228827014325504</v>
      </c>
      <c r="Y67" s="15">
        <f t="shared" si="8"/>
        <v>-9.52380952380949E-3</v>
      </c>
      <c r="Z67" s="15">
        <f t="shared" si="12"/>
        <v>9.6153846153845812E-3</v>
      </c>
      <c r="AA67" s="15">
        <f t="shared" si="12"/>
        <v>-2.5304592314901564E-2</v>
      </c>
      <c r="AB67" s="15">
        <f t="shared" si="12"/>
        <v>2.4975984630163373E-2</v>
      </c>
      <c r="AC67" s="15">
        <f t="shared" si="12"/>
        <v>5.1515151515151514E-2</v>
      </c>
      <c r="AD67" s="15">
        <f t="shared" si="11"/>
        <v>3.0395136778116338E-3</v>
      </c>
      <c r="AE67" s="15">
        <f t="shared" si="11"/>
        <v>0.18915662650602383</v>
      </c>
      <c r="AF67" s="15">
        <f t="shared" si="11"/>
        <v>4.4025157232704393E-2</v>
      </c>
      <c r="AG67" s="15">
        <f t="shared" si="11"/>
        <v>-0.23923444976076547</v>
      </c>
      <c r="AH67" s="15">
        <f t="shared" si="11"/>
        <v>0.33631713554987197</v>
      </c>
      <c r="AI67" s="15">
        <f t="shared" si="11"/>
        <v>-3.5758323057953012E-2</v>
      </c>
      <c r="AJ67" s="15">
        <f t="shared" si="11"/>
        <v>5.4616384915474603E-2</v>
      </c>
      <c r="AK67" s="5">
        <f t="shared" si="9"/>
        <v>-0.23923444976076547</v>
      </c>
    </row>
    <row r="68" spans="1:37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67">
        <v>3.55</v>
      </c>
      <c r="G68" s="79">
        <v>2.48</v>
      </c>
      <c r="H68" s="79">
        <v>2.2599999999999998</v>
      </c>
      <c r="I68" s="61">
        <v>2</v>
      </c>
      <c r="J68" s="61">
        <v>12.75</v>
      </c>
      <c r="K68" s="61">
        <v>12.81</v>
      </c>
      <c r="L68" s="61">
        <v>13.27</v>
      </c>
      <c r="M68" s="61">
        <v>14.54</v>
      </c>
      <c r="N68" s="61">
        <v>12.99</v>
      </c>
      <c r="O68" s="61">
        <v>9.3800000000000008</v>
      </c>
      <c r="P68" s="61">
        <v>12.41</v>
      </c>
      <c r="Q68" s="61">
        <v>13.38</v>
      </c>
      <c r="R68" s="62">
        <v>12.04</v>
      </c>
      <c r="S68" s="13">
        <f t="shared" si="7"/>
        <v>9.5276923076923072</v>
      </c>
      <c r="T68" s="4">
        <f t="shared" ref="T68" ca="1" si="13">IF(DAYS360(TODAY(),DATE(E68+2,D68,C68))&gt;=720,0,360-U68)</f>
        <v>0</v>
      </c>
      <c r="U68" s="4">
        <f t="shared" ref="U68" ca="1" si="14">IF(DAYS360(TODAY(),DATE(E68+1,D68,C68))&lt;=360,DAYS360(TODAY(),DATE(E68+1,D68,C68)),360-V68)</f>
        <v>73</v>
      </c>
      <c r="V68" s="4">
        <f t="shared" ref="V68" ca="1" si="15">IF(DATE(E68,D68,C68)&lt;=TODAY(),0,DAYS360(TODAY(),DATE(E68,D68,C68)))</f>
        <v>287</v>
      </c>
      <c r="W68" s="13">
        <f t="shared" ref="W68" ca="1" si="16">(F68/360*T68)+(G68/360*U68)+(H68/360*V68)</f>
        <v>2.3046111111111109</v>
      </c>
      <c r="X68" s="5">
        <f t="shared" ref="X68" ca="1" si="17">IF(W68&lt;0,IF(W68&lt;0,((W68/S68)-1)*-1,(W68/S68)-1),IF(S68&lt;0,ABS((W68/S68)-1),(W68/S68)-1))</f>
        <v>-0.75811444821213914</v>
      </c>
      <c r="Y68" s="15">
        <f t="shared" si="8"/>
        <v>0.43145161290322576</v>
      </c>
      <c r="Z68" s="15">
        <f t="shared" si="12"/>
        <v>9.7345132743362983E-2</v>
      </c>
      <c r="AA68" s="15">
        <f t="shared" si="12"/>
        <v>0.12999999999999989</v>
      </c>
      <c r="AB68" s="15">
        <f t="shared" si="12"/>
        <v>-0.84313725490196079</v>
      </c>
      <c r="AC68" s="15">
        <f t="shared" si="12"/>
        <v>-4.6838407494145251E-3</v>
      </c>
      <c r="AD68" s="15">
        <f t="shared" si="11"/>
        <v>-3.466465712132627E-2</v>
      </c>
      <c r="AE68" s="15">
        <f t="shared" si="11"/>
        <v>-8.7345254470426403E-2</v>
      </c>
      <c r="AF68" s="15">
        <f t="shared" si="11"/>
        <v>0.11932255581216311</v>
      </c>
      <c r="AG68" s="15">
        <f t="shared" si="11"/>
        <v>0.38486140724946694</v>
      </c>
      <c r="AH68" s="15">
        <f t="shared" si="11"/>
        <v>-0.2441579371474617</v>
      </c>
      <c r="AI68" s="15">
        <f t="shared" si="11"/>
        <v>-7.2496263079222745E-2</v>
      </c>
      <c r="AJ68" s="15">
        <f t="shared" si="11"/>
        <v>0.11129568106312315</v>
      </c>
      <c r="AK68" s="5">
        <f t="shared" si="9"/>
        <v>-0.84313725490196079</v>
      </c>
    </row>
  </sheetData>
  <autoFilter ref="A3:AK3">
    <sortState ref="A4:AC68">
      <sortCondition ref="B3"/>
    </sortState>
  </autoFilter>
  <mergeCells count="3">
    <mergeCell ref="T1:V1"/>
    <mergeCell ref="Y1:AJ1"/>
    <mergeCell ref="C2:E2"/>
  </mergeCells>
  <pageMargins left="0.7" right="0.7" top="0.78740157499999996" bottom="0.78740157499999996" header="0.3" footer="0.3"/>
  <ignoredErrors>
    <ignoredError sqref="S4:S6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7" width="14.85546875" customWidth="1"/>
    <col min="18" max="18" width="15.85546875" customWidth="1"/>
    <col min="19" max="19" width="18" customWidth="1"/>
    <col min="20" max="20" width="15.140625" customWidth="1"/>
    <col min="21" max="21" width="14.7109375" bestFit="1" customWidth="1"/>
    <col min="22" max="22" width="15.140625" customWidth="1"/>
    <col min="23" max="23" width="23.28515625" bestFit="1" customWidth="1"/>
    <col min="24" max="24" width="33.42578125" customWidth="1"/>
    <col min="25" max="25" width="15.140625" bestFit="1" customWidth="1"/>
    <col min="26" max="26" width="14.7109375" bestFit="1" customWidth="1"/>
    <col min="27" max="27" width="15.140625" bestFit="1" customWidth="1"/>
    <col min="28" max="28" width="14.42578125" customWidth="1"/>
    <col min="29" max="36" width="14.85546875" customWidth="1"/>
    <col min="37" max="37" width="39.42578125" customWidth="1"/>
  </cols>
  <sheetData>
    <row r="1" spans="1:37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1"/>
      <c r="T1" s="98" t="s">
        <v>144</v>
      </c>
      <c r="U1" s="98"/>
      <c r="V1" s="98"/>
      <c r="W1" s="1"/>
      <c r="X1" s="1"/>
      <c r="Y1" s="98" t="s">
        <v>152</v>
      </c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</row>
    <row r="2" spans="1:37" x14ac:dyDescent="0.25">
      <c r="A2" s="1"/>
      <c r="B2" s="1"/>
      <c r="C2" s="98" t="s">
        <v>198</v>
      </c>
      <c r="D2" s="98"/>
      <c r="E2" s="98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60">
        <v>2005</v>
      </c>
      <c r="S2" s="1"/>
      <c r="T2" s="1">
        <f>F2</f>
        <v>2017</v>
      </c>
      <c r="U2" s="1">
        <f>G2</f>
        <v>2016</v>
      </c>
      <c r="V2" s="1">
        <f>H2</f>
        <v>2015</v>
      </c>
      <c r="W2" s="1"/>
      <c r="X2" s="1"/>
      <c r="Y2" s="1">
        <f t="shared" ref="Y2:AJ2" si="0">F2</f>
        <v>2017</v>
      </c>
      <c r="Z2" s="1">
        <f t="shared" si="0"/>
        <v>2016</v>
      </c>
      <c r="AA2" s="1">
        <f t="shared" si="0"/>
        <v>2015</v>
      </c>
      <c r="AB2" s="1">
        <f t="shared" si="0"/>
        <v>2014</v>
      </c>
      <c r="AC2" s="1">
        <f t="shared" si="0"/>
        <v>2013</v>
      </c>
      <c r="AD2" s="1">
        <f t="shared" si="0"/>
        <v>2012</v>
      </c>
      <c r="AE2" s="1">
        <f t="shared" si="0"/>
        <v>2011</v>
      </c>
      <c r="AF2" s="1">
        <f t="shared" si="0"/>
        <v>2010</v>
      </c>
      <c r="AG2" s="1">
        <f t="shared" si="0"/>
        <v>2009</v>
      </c>
      <c r="AH2" s="1">
        <f t="shared" si="0"/>
        <v>2008</v>
      </c>
      <c r="AI2" s="1">
        <f t="shared" si="0"/>
        <v>2007</v>
      </c>
      <c r="AJ2" s="1">
        <f t="shared" si="0"/>
        <v>2006</v>
      </c>
    </row>
    <row r="3" spans="1:37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59" t="s">
        <v>201</v>
      </c>
      <c r="G3" s="1" t="s">
        <v>141</v>
      </c>
      <c r="H3" s="1" t="s">
        <v>142</v>
      </c>
      <c r="I3" s="38" t="s">
        <v>131</v>
      </c>
      <c r="J3" s="38" t="s">
        <v>132</v>
      </c>
      <c r="K3" s="38" t="s">
        <v>133</v>
      </c>
      <c r="L3" s="38" t="s">
        <v>134</v>
      </c>
      <c r="M3" s="38" t="s">
        <v>135</v>
      </c>
      <c r="N3" s="38" t="s">
        <v>136</v>
      </c>
      <c r="O3" s="38" t="s">
        <v>137</v>
      </c>
      <c r="P3" s="38" t="s">
        <v>138</v>
      </c>
      <c r="Q3" s="38" t="s">
        <v>139</v>
      </c>
      <c r="R3" s="60" t="s">
        <v>140</v>
      </c>
      <c r="S3" s="1" t="s">
        <v>150</v>
      </c>
      <c r="T3" s="1" t="s">
        <v>201</v>
      </c>
      <c r="U3" s="1" t="s">
        <v>141</v>
      </c>
      <c r="V3" s="1" t="s">
        <v>142</v>
      </c>
      <c r="W3" s="1" t="s">
        <v>191</v>
      </c>
      <c r="X3" s="1" t="s">
        <v>151</v>
      </c>
      <c r="Y3" s="38" t="s">
        <v>201</v>
      </c>
      <c r="Z3" s="1" t="s">
        <v>141</v>
      </c>
      <c r="AA3" s="1" t="s">
        <v>142</v>
      </c>
      <c r="AB3" s="1" t="s">
        <v>131</v>
      </c>
      <c r="AC3" s="1" t="s">
        <v>132</v>
      </c>
      <c r="AD3" s="1" t="s">
        <v>133</v>
      </c>
      <c r="AE3" s="1" t="s">
        <v>134</v>
      </c>
      <c r="AF3" s="1" t="s">
        <v>135</v>
      </c>
      <c r="AG3" s="1" t="s">
        <v>136</v>
      </c>
      <c r="AH3" s="1" t="s">
        <v>137</v>
      </c>
      <c r="AI3" s="1" t="s">
        <v>138</v>
      </c>
      <c r="AJ3" s="1" t="s">
        <v>139</v>
      </c>
      <c r="AK3" s="1" t="s">
        <v>153</v>
      </c>
    </row>
    <row r="4" spans="1:37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67">
        <v>22.6</v>
      </c>
      <c r="G4" s="79">
        <v>20.3</v>
      </c>
      <c r="H4" s="79">
        <v>17.7</v>
      </c>
      <c r="I4" s="61">
        <v>17.600000000000001</v>
      </c>
      <c r="J4" s="61">
        <v>17.78</v>
      </c>
      <c r="K4" s="61">
        <v>20.32</v>
      </c>
      <c r="L4" s="61">
        <v>17.309999999999999</v>
      </c>
      <c r="M4" s="61">
        <v>14.99</v>
      </c>
      <c r="N4" s="61">
        <v>14.62</v>
      </c>
      <c r="O4" s="61">
        <v>14.63</v>
      </c>
      <c r="P4" s="61">
        <v>11.42</v>
      </c>
      <c r="Q4" s="61">
        <v>6.35</v>
      </c>
      <c r="R4" s="62">
        <v>6.13</v>
      </c>
      <c r="S4" s="13">
        <f>AVERAGE(F4:R4)</f>
        <v>15.51923076923077</v>
      </c>
      <c r="T4" s="4">
        <f t="shared" ref="T4:T35" ca="1" si="1">IF(DAYS360(TODAY(),DATE(E4+2,D4,C4))&gt;=720,0,360-U4)</f>
        <v>0</v>
      </c>
      <c r="U4" s="4">
        <f t="shared" ref="U4:U35" ca="1" si="2">IF(DAYS360(TODAY(),DATE(E4+1,D4,C4))&lt;=360,DAYS360(TODAY(),DATE(E4+1,D4,C4)),360-V4)</f>
        <v>73</v>
      </c>
      <c r="V4" s="4">
        <f t="shared" ref="V4:V35" ca="1" si="3">IF(DATE(E4,D4,C4)&lt;=TODAY(),0,DAYS360(TODAY(),DATE(E4,D4,C4)))</f>
        <v>287</v>
      </c>
      <c r="W4" s="13">
        <f t="shared" ref="W4:W35" ca="1" si="4">(F4/360*T4)+(G4/360*U4)+(H4/360*V4)</f>
        <v>18.22722222222222</v>
      </c>
      <c r="X4" s="5">
        <f t="shared" ref="X4:X35" ca="1" si="5">IF(W4&lt;0,IF(W4&lt;0,((W4/S4)-1)*-1,(W4/S4)-1),IF(S4&lt;0,ABS((W4/S4)-1),(W4/S4)-1))</f>
        <v>0.17449263389783809</v>
      </c>
      <c r="Y4" s="15">
        <f>IF(F4&lt;&gt;"",IF(G4&lt;&gt;"",IF(F4&lt;0,IF(G4&lt;0,((F4/G4)-1)*-1,(F4/G4)-1),IF(G4&lt;0,ABS((F4/G4)-1),(F4/G4)-1))),99.99999)</f>
        <v>0.11330049261083741</v>
      </c>
      <c r="Z4" s="15">
        <f t="shared" ref="Z4:AB35" si="6">IF(H4&lt;&gt;"",IF(G4&lt;0,IF(H4&lt;0,((G4/H4)-1)*-1,(G4/H4)-1),IF(H4&lt;0,ABS((G4/H4)-1),(G4/H4)-1)),99.99999)</f>
        <v>0.14689265536723162</v>
      </c>
      <c r="AA4" s="15">
        <f t="shared" si="6"/>
        <v>5.6818181818181213E-3</v>
      </c>
      <c r="AB4" s="15">
        <f t="shared" si="6"/>
        <v>-1.0123734533183382E-2</v>
      </c>
      <c r="AC4" s="15">
        <f t="shared" ref="AC4:AC35" si="7">IF(K4&lt;&gt;"",IF(J4&lt;0,IF(K4&lt;0,((J4/K4)-1)*-1,(J4/K4)-1),IF(K4&lt;0,ABS((J4/K4)-1),(J4/K4)-1)),99.99999)</f>
        <v>-0.125</v>
      </c>
      <c r="AD4" s="15">
        <f t="shared" ref="AD4:AD35" si="8">IF(L4&lt;&gt;"",IF(K4&lt;0,IF(L4&lt;0,((K4/L4)-1)*-1,(K4/L4)-1),IF(L4&lt;0,ABS((K4/L4)-1),(K4/L4)-1)),99.99999)</f>
        <v>0.17388792605430403</v>
      </c>
      <c r="AE4" s="15">
        <f t="shared" ref="AE4:AE35" si="9">IF(M4&lt;&gt;"",IF(L4&lt;0,IF(M4&lt;0,((L4/M4)-1)*-1,(L4/M4)-1),IF(M4&lt;0,ABS((L4/M4)-1),(L4/M4)-1)),99.99999)</f>
        <v>0.15476984656437609</v>
      </c>
      <c r="AF4" s="15">
        <f t="shared" ref="AF4:AF35" si="10">IF(N4&lt;&gt;"",IF(M4&lt;0,IF(N4&lt;0,((M4/N4)-1)*-1,(M4/N4)-1),IF(N4&lt;0,ABS((M4/N4)-1),(M4/N4)-1)),99.99999)</f>
        <v>2.5307797537619692E-2</v>
      </c>
      <c r="AG4" s="15">
        <f t="shared" ref="AG4:AG35" si="11">IF(O4&lt;&gt;"",IF(N4&lt;0,IF(O4&lt;0,((N4/O4)-1)*-1,(N4/O4)-1),IF(O4&lt;0,ABS((N4/O4)-1),(N4/O4)-1)),99.99999)</f>
        <v>-6.8352699931661931E-4</v>
      </c>
      <c r="AH4" s="15">
        <f t="shared" ref="AH4:AH35" si="12">IF(P4&lt;&gt;"",IF(O4&lt;0,IF(P4&lt;0,((O4/P4)-1)*-1,(O4/P4)-1),IF(P4&lt;0,ABS((O4/P4)-1),(O4/P4)-1)),99.99999)</f>
        <v>0.28108581436077062</v>
      </c>
      <c r="AI4" s="15">
        <f t="shared" ref="AI4:AI35" si="13">IF(Q4&lt;&gt;"",IF(P4&lt;0,IF(Q4&lt;0,((P4/Q4)-1)*-1,(P4/Q4)-1),IF(Q4&lt;0,ABS((P4/Q4)-1),(P4/Q4)-1)),99.99999)</f>
        <v>0.7984251968503937</v>
      </c>
      <c r="AJ4" s="15">
        <f t="shared" ref="AJ4:AJ35" si="14">IF(R4&lt;&gt;"",IF(Q4&lt;0,IF(R4&lt;0,((Q4/R4)-1)*-1,(Q4/R4)-1),IF(R4&lt;0,ABS((Q4/R4)-1),(Q4/R4)-1)),99.99999)</f>
        <v>3.5889070146818858E-2</v>
      </c>
      <c r="AK4" s="5">
        <f>MIN(Y4:AJ4)</f>
        <v>-0.125</v>
      </c>
    </row>
    <row r="5" spans="1:37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5.25</v>
      </c>
      <c r="G5" s="79">
        <v>4.55</v>
      </c>
      <c r="H5" s="79">
        <v>4.5599999999999996</v>
      </c>
      <c r="I5" s="61">
        <v>4.3099999999999996</v>
      </c>
      <c r="J5" s="61">
        <v>3.7</v>
      </c>
      <c r="K5" s="61">
        <v>3.89</v>
      </c>
      <c r="L5" s="61">
        <v>3.78</v>
      </c>
      <c r="M5" s="61">
        <v>4.26</v>
      </c>
      <c r="N5" s="61">
        <v>3.69</v>
      </c>
      <c r="O5" s="61">
        <v>3.59</v>
      </c>
      <c r="P5" s="63">
        <v>2.81</v>
      </c>
      <c r="Q5" s="61">
        <v>3.04</v>
      </c>
      <c r="R5" s="62">
        <v>2.62</v>
      </c>
      <c r="S5" s="13">
        <f t="shared" ref="S5:S68" si="15">AVERAGE(F5:R5)</f>
        <v>3.8499999999999996</v>
      </c>
      <c r="T5" s="4">
        <f t="shared" ca="1" si="1"/>
        <v>0</v>
      </c>
      <c r="U5" s="4">
        <f t="shared" ca="1" si="2"/>
        <v>73</v>
      </c>
      <c r="V5" s="4">
        <f t="shared" ca="1" si="3"/>
        <v>287</v>
      </c>
      <c r="W5" s="13">
        <f t="shared" ca="1" si="4"/>
        <v>4.5579722222222223</v>
      </c>
      <c r="X5" s="5">
        <f t="shared" ca="1" si="5"/>
        <v>0.18388888888888899</v>
      </c>
      <c r="Y5" s="15">
        <f t="shared" ref="Y5:Y68" si="16">IF(F5&lt;&gt;"",IF(G5&lt;&gt;"",IF(F5&lt;0,IF(G5&lt;0,((F5/G5)-1)*-1,(F5/G5)-1),IF(G5&lt;0,ABS((F5/G5)-1),(F5/G5)-1))),99.99999)</f>
        <v>0.15384615384615397</v>
      </c>
      <c r="Z5" s="15">
        <f t="shared" si="6"/>
        <v>-2.1929824561403022E-3</v>
      </c>
      <c r="AA5" s="15">
        <f t="shared" si="6"/>
        <v>5.8004640371229765E-2</v>
      </c>
      <c r="AB5" s="15">
        <f t="shared" si="6"/>
        <v>0.16486486486486474</v>
      </c>
      <c r="AC5" s="15">
        <f t="shared" si="7"/>
        <v>-4.8843187660668419E-2</v>
      </c>
      <c r="AD5" s="15">
        <f t="shared" si="8"/>
        <v>2.9100529100529293E-2</v>
      </c>
      <c r="AE5" s="15">
        <f t="shared" si="9"/>
        <v>-0.11267605633802813</v>
      </c>
      <c r="AF5" s="15">
        <f t="shared" si="10"/>
        <v>0.15447154471544722</v>
      </c>
      <c r="AG5" s="15">
        <f t="shared" si="11"/>
        <v>2.7855153203342642E-2</v>
      </c>
      <c r="AH5" s="15">
        <f t="shared" si="12"/>
        <v>0.27758007117437722</v>
      </c>
      <c r="AI5" s="15">
        <f t="shared" si="13"/>
        <v>-7.5657894736842146E-2</v>
      </c>
      <c r="AJ5" s="15">
        <f t="shared" si="14"/>
        <v>0.16030534351145032</v>
      </c>
      <c r="AK5" s="5">
        <f t="shared" ref="AK5:AK68" si="17">MIN(Y5:AJ5)</f>
        <v>-0.11267605633802813</v>
      </c>
    </row>
    <row r="6" spans="1:37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15.4</v>
      </c>
      <c r="G6" s="79">
        <v>14.3</v>
      </c>
      <c r="H6" s="79">
        <v>13.1</v>
      </c>
      <c r="I6" s="61">
        <v>10.81</v>
      </c>
      <c r="J6" s="61">
        <v>12.93</v>
      </c>
      <c r="K6" s="61">
        <v>11.16</v>
      </c>
      <c r="L6" s="61">
        <v>10.98</v>
      </c>
      <c r="M6" s="61">
        <v>10.11</v>
      </c>
      <c r="N6" s="61">
        <v>9.02</v>
      </c>
      <c r="O6" s="61">
        <v>10.23</v>
      </c>
      <c r="P6" s="61">
        <v>11.16</v>
      </c>
      <c r="Q6" s="61">
        <v>9.0500000000000007</v>
      </c>
      <c r="R6" s="62">
        <v>6.71</v>
      </c>
      <c r="S6" s="13">
        <f t="shared" si="15"/>
        <v>11.150769230769233</v>
      </c>
      <c r="T6" s="4">
        <f t="shared" ca="1" si="1"/>
        <v>0</v>
      </c>
      <c r="U6" s="4">
        <f t="shared" ca="1" si="2"/>
        <v>73</v>
      </c>
      <c r="V6" s="4">
        <f t="shared" ca="1" si="3"/>
        <v>287</v>
      </c>
      <c r="W6" s="13">
        <f t="shared" ca="1" si="4"/>
        <v>13.343333333333332</v>
      </c>
      <c r="X6" s="5">
        <f t="shared" ca="1" si="5"/>
        <v>0.19662895511405409</v>
      </c>
      <c r="Y6" s="15">
        <f t="shared" si="16"/>
        <v>7.6923076923076872E-2</v>
      </c>
      <c r="Z6" s="15">
        <f t="shared" si="6"/>
        <v>9.1603053435114656E-2</v>
      </c>
      <c r="AA6" s="15">
        <f t="shared" si="6"/>
        <v>0.21184088806660495</v>
      </c>
      <c r="AB6" s="15">
        <f t="shared" si="6"/>
        <v>-0.16395978344934259</v>
      </c>
      <c r="AC6" s="15">
        <f t="shared" si="7"/>
        <v>0.15860215053763427</v>
      </c>
      <c r="AD6" s="15">
        <f t="shared" si="8"/>
        <v>1.6393442622950838E-2</v>
      </c>
      <c r="AE6" s="15">
        <f t="shared" si="9"/>
        <v>8.6053412462908208E-2</v>
      </c>
      <c r="AF6" s="15">
        <f t="shared" si="10"/>
        <v>0.12084257206208426</v>
      </c>
      <c r="AG6" s="15">
        <f t="shared" si="11"/>
        <v>-0.11827956989247324</v>
      </c>
      <c r="AH6" s="15">
        <f t="shared" si="12"/>
        <v>-8.3333333333333259E-2</v>
      </c>
      <c r="AI6" s="15">
        <f t="shared" si="13"/>
        <v>0.2331491712707181</v>
      </c>
      <c r="AJ6" s="15">
        <f t="shared" si="14"/>
        <v>0.3487332339791358</v>
      </c>
      <c r="AK6" s="5">
        <f t="shared" si="17"/>
        <v>-0.16395978344934259</v>
      </c>
    </row>
    <row r="7" spans="1:37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>
        <v>3.79</v>
      </c>
      <c r="G7" s="79">
        <v>3.64</v>
      </c>
      <c r="H7" s="79">
        <v>3.38</v>
      </c>
      <c r="I7" s="61">
        <v>4.5199999999999996</v>
      </c>
      <c r="J7" s="61">
        <v>3.13</v>
      </c>
      <c r="K7" s="61">
        <v>3.32</v>
      </c>
      <c r="L7" s="61">
        <v>2.96</v>
      </c>
      <c r="M7" s="63">
        <v>2.13</v>
      </c>
      <c r="N7" s="61">
        <v>2.91</v>
      </c>
      <c r="O7" s="63">
        <v>2.44</v>
      </c>
      <c r="P7" s="61">
        <v>2.76</v>
      </c>
      <c r="Q7" s="61">
        <v>2.36</v>
      </c>
      <c r="R7" s="62">
        <v>2.04</v>
      </c>
      <c r="S7" s="13">
        <f t="shared" si="15"/>
        <v>3.0292307692307689</v>
      </c>
      <c r="T7" s="4">
        <f t="shared" ca="1" si="1"/>
        <v>0</v>
      </c>
      <c r="U7" s="4">
        <f t="shared" ca="1" si="2"/>
        <v>73</v>
      </c>
      <c r="V7" s="4">
        <f t="shared" ca="1" si="3"/>
        <v>287</v>
      </c>
      <c r="W7" s="13">
        <f t="shared" ca="1" si="4"/>
        <v>3.432722222222222</v>
      </c>
      <c r="X7" s="5">
        <f t="shared" ca="1" si="5"/>
        <v>0.13319931155126685</v>
      </c>
      <c r="Y7" s="15">
        <f t="shared" si="16"/>
        <v>4.1208791208791284E-2</v>
      </c>
      <c r="Z7" s="15">
        <f t="shared" si="6"/>
        <v>7.6923076923077094E-2</v>
      </c>
      <c r="AA7" s="15">
        <f t="shared" si="6"/>
        <v>-0.25221238938053092</v>
      </c>
      <c r="AB7" s="15">
        <f t="shared" si="6"/>
        <v>0.44408945686900947</v>
      </c>
      <c r="AC7" s="15">
        <f t="shared" si="7"/>
        <v>-5.7228915662650537E-2</v>
      </c>
      <c r="AD7" s="15">
        <f t="shared" si="8"/>
        <v>0.12162162162162149</v>
      </c>
      <c r="AE7" s="15">
        <f t="shared" si="9"/>
        <v>0.38967136150234749</v>
      </c>
      <c r="AF7" s="15">
        <f t="shared" si="10"/>
        <v>-0.26804123711340211</v>
      </c>
      <c r="AG7" s="15">
        <f t="shared" si="11"/>
        <v>0.19262295081967218</v>
      </c>
      <c r="AH7" s="15">
        <f t="shared" si="12"/>
        <v>-0.11594202898550721</v>
      </c>
      <c r="AI7" s="15">
        <f t="shared" si="13"/>
        <v>0.16949152542372881</v>
      </c>
      <c r="AJ7" s="15">
        <f t="shared" si="14"/>
        <v>0.1568627450980391</v>
      </c>
      <c r="AK7" s="5">
        <f t="shared" si="17"/>
        <v>-0.26804123711340211</v>
      </c>
    </row>
    <row r="8" spans="1:37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3.93</v>
      </c>
      <c r="G8" s="79">
        <v>3.54</v>
      </c>
      <c r="H8" s="79">
        <v>2.41</v>
      </c>
      <c r="I8" s="61">
        <v>1.31</v>
      </c>
      <c r="J8" s="61">
        <v>0.65</v>
      </c>
      <c r="K8" s="61">
        <v>0.25</v>
      </c>
      <c r="L8" s="61">
        <v>4.3</v>
      </c>
      <c r="M8" s="61">
        <v>2.92</v>
      </c>
      <c r="N8" s="61">
        <v>6.94</v>
      </c>
      <c r="O8" s="61">
        <v>-7.61</v>
      </c>
      <c r="P8" s="61">
        <v>13.05</v>
      </c>
      <c r="Q8" s="61">
        <v>11.55</v>
      </c>
      <c r="R8" s="62">
        <v>6.95</v>
      </c>
      <c r="S8" s="13">
        <f t="shared" si="15"/>
        <v>3.8607692307692316</v>
      </c>
      <c r="T8" s="4">
        <f t="shared" ca="1" si="1"/>
        <v>0</v>
      </c>
      <c r="U8" s="4">
        <f t="shared" ca="1" si="2"/>
        <v>73</v>
      </c>
      <c r="V8" s="4">
        <f t="shared" ca="1" si="3"/>
        <v>287</v>
      </c>
      <c r="W8" s="13">
        <f t="shared" ca="1" si="4"/>
        <v>2.6391388888888887</v>
      </c>
      <c r="X8" s="5">
        <f t="shared" ca="1" si="5"/>
        <v>-0.31642148723738706</v>
      </c>
      <c r="Y8" s="15">
        <f t="shared" si="16"/>
        <v>0.11016949152542366</v>
      </c>
      <c r="Z8" s="15">
        <f t="shared" si="6"/>
        <v>0.46887966804979242</v>
      </c>
      <c r="AA8" s="15">
        <f t="shared" si="6"/>
        <v>0.83969465648854968</v>
      </c>
      <c r="AB8" s="15">
        <f t="shared" si="6"/>
        <v>1.0153846153846153</v>
      </c>
      <c r="AC8" s="15">
        <f t="shared" si="7"/>
        <v>1.6</v>
      </c>
      <c r="AD8" s="15">
        <f t="shared" si="8"/>
        <v>-0.94186046511627908</v>
      </c>
      <c r="AE8" s="15">
        <f t="shared" si="9"/>
        <v>0.47260273972602729</v>
      </c>
      <c r="AF8" s="15">
        <f t="shared" si="10"/>
        <v>-0.57925072046109516</v>
      </c>
      <c r="AG8" s="15">
        <f t="shared" si="11"/>
        <v>1.9119579500657031</v>
      </c>
      <c r="AH8" s="15">
        <f t="shared" si="12"/>
        <v>-1.5831417624521071</v>
      </c>
      <c r="AI8" s="15">
        <f t="shared" si="13"/>
        <v>0.12987012987012991</v>
      </c>
      <c r="AJ8" s="15">
        <f t="shared" si="14"/>
        <v>0.66187050359712241</v>
      </c>
      <c r="AK8" s="5">
        <f t="shared" si="17"/>
        <v>-1.5831417624521071</v>
      </c>
    </row>
    <row r="9" spans="1:37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3.3</v>
      </c>
      <c r="G9" s="79">
        <v>3</v>
      </c>
      <c r="H9" s="79">
        <v>2.76</v>
      </c>
      <c r="I9" s="63">
        <v>2.31</v>
      </c>
      <c r="J9" s="63">
        <v>2.33</v>
      </c>
      <c r="K9" s="63">
        <v>2.08</v>
      </c>
      <c r="L9" s="63">
        <v>1.87</v>
      </c>
      <c r="M9" s="63">
        <v>1.84</v>
      </c>
      <c r="N9" s="61">
        <v>1.65</v>
      </c>
      <c r="O9" s="63">
        <v>2.19</v>
      </c>
      <c r="P9" s="63">
        <v>2.12</v>
      </c>
      <c r="Q9" s="63">
        <v>1.69</v>
      </c>
      <c r="R9" s="62">
        <v>1.45</v>
      </c>
      <c r="S9" s="13">
        <f t="shared" si="15"/>
        <v>2.1992307692307693</v>
      </c>
      <c r="T9" s="4">
        <f t="shared" ca="1" si="1"/>
        <v>0</v>
      </c>
      <c r="U9" s="4">
        <f t="shared" ca="1" si="2"/>
        <v>73</v>
      </c>
      <c r="V9" s="4">
        <f t="shared" ca="1" si="3"/>
        <v>287</v>
      </c>
      <c r="W9" s="13">
        <f t="shared" ca="1" si="4"/>
        <v>2.8086666666666664</v>
      </c>
      <c r="X9" s="5">
        <f t="shared" ca="1" si="5"/>
        <v>0.27711320974699771</v>
      </c>
      <c r="Y9" s="15">
        <f t="shared" si="16"/>
        <v>9.9999999999999867E-2</v>
      </c>
      <c r="Z9" s="15">
        <f t="shared" si="6"/>
        <v>8.6956521739130599E-2</v>
      </c>
      <c r="AA9" s="15">
        <f t="shared" si="6"/>
        <v>0.19480519480519476</v>
      </c>
      <c r="AB9" s="15">
        <f t="shared" si="6"/>
        <v>-8.5836909871245259E-3</v>
      </c>
      <c r="AC9" s="15">
        <f t="shared" si="7"/>
        <v>0.12019230769230771</v>
      </c>
      <c r="AD9" s="15">
        <f t="shared" si="8"/>
        <v>0.11229946524064172</v>
      </c>
      <c r="AE9" s="15">
        <f t="shared" si="9"/>
        <v>1.6304347826086918E-2</v>
      </c>
      <c r="AF9" s="15">
        <f t="shared" si="10"/>
        <v>0.11515151515151523</v>
      </c>
      <c r="AG9" s="15">
        <f t="shared" si="11"/>
        <v>-0.24657534246575341</v>
      </c>
      <c r="AH9" s="15">
        <f t="shared" si="12"/>
        <v>3.3018867924528239E-2</v>
      </c>
      <c r="AI9" s="15">
        <f t="shared" si="13"/>
        <v>0.2544378698224854</v>
      </c>
      <c r="AJ9" s="15">
        <f t="shared" si="14"/>
        <v>0.16551724137931045</v>
      </c>
      <c r="AK9" s="5">
        <f t="shared" si="17"/>
        <v>-0.24657534246575341</v>
      </c>
    </row>
    <row r="10" spans="1:37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>
        <v>2.17</v>
      </c>
      <c r="G10" s="79">
        <v>2.0499999999999998</v>
      </c>
      <c r="H10" s="79">
        <v>1.82</v>
      </c>
      <c r="I10" s="61">
        <v>1.64</v>
      </c>
      <c r="J10" s="61">
        <v>1.66</v>
      </c>
      <c r="K10" s="61">
        <v>1.32</v>
      </c>
      <c r="L10" s="61">
        <v>0.96</v>
      </c>
      <c r="M10" s="61">
        <v>2.1</v>
      </c>
      <c r="N10" s="61">
        <v>0.53</v>
      </c>
      <c r="O10" s="61">
        <v>-1.4</v>
      </c>
      <c r="P10" s="61">
        <v>1.1499999999999999</v>
      </c>
      <c r="Q10" s="61">
        <v>1.6</v>
      </c>
      <c r="R10" s="62">
        <v>1.99</v>
      </c>
      <c r="S10" s="13">
        <f t="shared" si="15"/>
        <v>1.3530769230769231</v>
      </c>
      <c r="T10" s="4">
        <f t="shared" ca="1" si="1"/>
        <v>0</v>
      </c>
      <c r="U10" s="4">
        <f t="shared" ca="1" si="2"/>
        <v>73</v>
      </c>
      <c r="V10" s="4">
        <f t="shared" ca="1" si="3"/>
        <v>287</v>
      </c>
      <c r="W10" s="13">
        <f t="shared" ca="1" si="4"/>
        <v>1.8666388888888887</v>
      </c>
      <c r="X10" s="5">
        <f t="shared" ca="1" si="5"/>
        <v>0.37955119701850792</v>
      </c>
      <c r="Y10" s="15">
        <f t="shared" si="16"/>
        <v>5.8536585365853711E-2</v>
      </c>
      <c r="Z10" s="15">
        <f t="shared" si="6"/>
        <v>0.12637362637362615</v>
      </c>
      <c r="AA10" s="15">
        <f t="shared" si="6"/>
        <v>0.10975609756097571</v>
      </c>
      <c r="AB10" s="15">
        <f t="shared" si="6"/>
        <v>-1.2048192771084376E-2</v>
      </c>
      <c r="AC10" s="15">
        <f t="shared" si="7"/>
        <v>0.25757575757575735</v>
      </c>
      <c r="AD10" s="15">
        <f t="shared" si="8"/>
        <v>0.37500000000000022</v>
      </c>
      <c r="AE10" s="15">
        <f t="shared" si="9"/>
        <v>-0.54285714285714293</v>
      </c>
      <c r="AF10" s="15">
        <f t="shared" si="10"/>
        <v>2.9622641509433962</v>
      </c>
      <c r="AG10" s="15">
        <f t="shared" si="11"/>
        <v>1.3785714285714286</v>
      </c>
      <c r="AH10" s="15">
        <f t="shared" si="12"/>
        <v>-2.2173913043478262</v>
      </c>
      <c r="AI10" s="15">
        <f t="shared" si="13"/>
        <v>-0.28125000000000011</v>
      </c>
      <c r="AJ10" s="15">
        <f t="shared" si="14"/>
        <v>-0.1959798994974874</v>
      </c>
      <c r="AK10" s="5">
        <f t="shared" si="17"/>
        <v>-2.2173913043478262</v>
      </c>
    </row>
    <row r="11" spans="1:37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>
        <v>0.94</v>
      </c>
      <c r="G11" s="79">
        <v>0.74</v>
      </c>
      <c r="H11" s="79">
        <v>0.63</v>
      </c>
      <c r="I11" s="63">
        <v>0.53</v>
      </c>
      <c r="J11" s="63">
        <v>0.63</v>
      </c>
      <c r="K11" s="63">
        <v>0.57999999999999996</v>
      </c>
      <c r="L11" s="63">
        <v>0.67</v>
      </c>
      <c r="M11" s="63">
        <v>0.79</v>
      </c>
      <c r="N11" s="63">
        <v>0.78</v>
      </c>
      <c r="O11" s="63">
        <v>0.78</v>
      </c>
      <c r="P11" s="63">
        <v>0.69</v>
      </c>
      <c r="Q11" s="63">
        <v>0.9</v>
      </c>
      <c r="R11" s="64">
        <v>1.08</v>
      </c>
      <c r="S11" s="13">
        <f t="shared" si="15"/>
        <v>0.74923076923076926</v>
      </c>
      <c r="T11" s="4">
        <f t="shared" ca="1" si="1"/>
        <v>0</v>
      </c>
      <c r="U11" s="4">
        <f t="shared" ca="1" si="2"/>
        <v>73</v>
      </c>
      <c r="V11" s="4">
        <f t="shared" ca="1" si="3"/>
        <v>287</v>
      </c>
      <c r="W11" s="13">
        <f t="shared" ca="1" si="4"/>
        <v>0.65230555555555547</v>
      </c>
      <c r="X11" s="5">
        <f t="shared" ca="1" si="5"/>
        <v>-0.12936630161989515</v>
      </c>
      <c r="Y11" s="15">
        <f t="shared" si="16"/>
        <v>0.27027027027027017</v>
      </c>
      <c r="Z11" s="15">
        <f t="shared" si="6"/>
        <v>0.17460317460317465</v>
      </c>
      <c r="AA11" s="15">
        <f t="shared" si="6"/>
        <v>0.18867924528301883</v>
      </c>
      <c r="AB11" s="15">
        <f t="shared" si="6"/>
        <v>-0.15873015873015872</v>
      </c>
      <c r="AC11" s="15">
        <f t="shared" si="7"/>
        <v>8.6206896551724199E-2</v>
      </c>
      <c r="AD11" s="15">
        <f t="shared" si="8"/>
        <v>-0.13432835820895539</v>
      </c>
      <c r="AE11" s="15">
        <f t="shared" si="9"/>
        <v>-0.15189873417721522</v>
      </c>
      <c r="AF11" s="15">
        <f t="shared" si="10"/>
        <v>1.2820512820512775E-2</v>
      </c>
      <c r="AG11" s="15">
        <f t="shared" si="11"/>
        <v>0</v>
      </c>
      <c r="AH11" s="15">
        <f t="shared" si="12"/>
        <v>0.13043478260869579</v>
      </c>
      <c r="AI11" s="15">
        <f t="shared" si="13"/>
        <v>-0.23333333333333339</v>
      </c>
      <c r="AJ11" s="15">
        <f t="shared" si="14"/>
        <v>-0.16666666666666674</v>
      </c>
      <c r="AK11" s="5">
        <f t="shared" si="17"/>
        <v>-0.23333333333333339</v>
      </c>
    </row>
    <row r="12" spans="1:37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67">
        <v>3.74</v>
      </c>
      <c r="G12" s="79">
        <v>3.45</v>
      </c>
      <c r="H12" s="79">
        <v>3.2</v>
      </c>
      <c r="I12" s="61">
        <v>2.74</v>
      </c>
      <c r="J12" s="61">
        <v>2.78</v>
      </c>
      <c r="K12" s="61">
        <v>2.37</v>
      </c>
      <c r="L12" s="63">
        <v>2.4700000000000002</v>
      </c>
      <c r="M12" s="63">
        <v>2.1</v>
      </c>
      <c r="N12" s="61">
        <v>1.47</v>
      </c>
      <c r="O12" s="61">
        <v>1.55</v>
      </c>
      <c r="P12" s="61">
        <v>1.59</v>
      </c>
      <c r="Q12" s="61">
        <v>1.52</v>
      </c>
      <c r="R12" s="62">
        <v>1.2</v>
      </c>
      <c r="S12" s="13">
        <f t="shared" si="15"/>
        <v>2.3215384615384616</v>
      </c>
      <c r="T12" s="4">
        <f t="shared" ca="1" si="1"/>
        <v>0</v>
      </c>
      <c r="U12" s="4">
        <f t="shared" ca="1" si="2"/>
        <v>73</v>
      </c>
      <c r="V12" s="4">
        <f t="shared" ca="1" si="3"/>
        <v>287</v>
      </c>
      <c r="W12" s="13">
        <f t="shared" ca="1" si="4"/>
        <v>3.2506944444444446</v>
      </c>
      <c r="X12" s="5">
        <f t="shared" ca="1" si="5"/>
        <v>0.40023286208673881</v>
      </c>
      <c r="Y12" s="15">
        <f t="shared" si="16"/>
        <v>8.405797101449286E-2</v>
      </c>
      <c r="Z12" s="15">
        <f t="shared" si="6"/>
        <v>7.8125E-2</v>
      </c>
      <c r="AA12" s="15">
        <f t="shared" si="6"/>
        <v>0.16788321167883202</v>
      </c>
      <c r="AB12" s="15">
        <f t="shared" si="6"/>
        <v>-1.4388489208632893E-2</v>
      </c>
      <c r="AC12" s="15">
        <f t="shared" si="7"/>
        <v>0.17299578059071719</v>
      </c>
      <c r="AD12" s="15">
        <f t="shared" si="8"/>
        <v>-4.0485829959514219E-2</v>
      </c>
      <c r="AE12" s="15">
        <f t="shared" si="9"/>
        <v>0.17619047619047623</v>
      </c>
      <c r="AF12" s="15">
        <f t="shared" si="10"/>
        <v>0.4285714285714286</v>
      </c>
      <c r="AG12" s="15">
        <f t="shared" si="11"/>
        <v>-5.1612903225806472E-2</v>
      </c>
      <c r="AH12" s="15">
        <f t="shared" si="12"/>
        <v>-2.515723270440251E-2</v>
      </c>
      <c r="AI12" s="15">
        <f t="shared" si="13"/>
        <v>4.6052631578947345E-2</v>
      </c>
      <c r="AJ12" s="15">
        <f t="shared" si="14"/>
        <v>0.26666666666666683</v>
      </c>
      <c r="AK12" s="5">
        <f t="shared" si="17"/>
        <v>-5.1612903225806472E-2</v>
      </c>
    </row>
    <row r="13" spans="1:37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67">
        <v>7.73</v>
      </c>
      <c r="G13" s="79">
        <v>7.11</v>
      </c>
      <c r="H13" s="79">
        <v>7.69</v>
      </c>
      <c r="I13" s="61">
        <v>6.31</v>
      </c>
      <c r="J13" s="61">
        <v>5.03</v>
      </c>
      <c r="K13" s="61">
        <v>5.04</v>
      </c>
      <c r="L13" s="61">
        <v>6.96</v>
      </c>
      <c r="M13" s="61">
        <v>4.4400000000000004</v>
      </c>
      <c r="N13" s="61">
        <v>2.63</v>
      </c>
      <c r="O13" s="63">
        <v>2.02</v>
      </c>
      <c r="P13" s="63">
        <v>3.86</v>
      </c>
      <c r="Q13" s="61">
        <v>3.26</v>
      </c>
      <c r="R13" s="62">
        <v>2.42</v>
      </c>
      <c r="S13" s="13">
        <f t="shared" si="15"/>
        <v>4.9615384615384617</v>
      </c>
      <c r="T13" s="4">
        <f t="shared" ca="1" si="1"/>
        <v>0</v>
      </c>
      <c r="U13" s="4">
        <f t="shared" ca="1" si="2"/>
        <v>164</v>
      </c>
      <c r="V13" s="4">
        <f t="shared" ca="1" si="3"/>
        <v>196</v>
      </c>
      <c r="W13" s="13">
        <f t="shared" ca="1" si="4"/>
        <v>7.4257777777777783</v>
      </c>
      <c r="X13" s="5">
        <f t="shared" ca="1" si="5"/>
        <v>0.49666838931955226</v>
      </c>
      <c r="Y13" s="15">
        <f t="shared" si="16"/>
        <v>8.7201125175808691E-2</v>
      </c>
      <c r="Z13" s="15">
        <f t="shared" si="6"/>
        <v>-7.5422626788036462E-2</v>
      </c>
      <c r="AA13" s="15">
        <f t="shared" si="6"/>
        <v>0.21870047543581639</v>
      </c>
      <c r="AB13" s="15">
        <f t="shared" si="6"/>
        <v>0.25447316103379714</v>
      </c>
      <c r="AC13" s="15">
        <f t="shared" si="7"/>
        <v>-1.9841269841269771E-3</v>
      </c>
      <c r="AD13" s="15">
        <f t="shared" si="8"/>
        <v>-0.27586206896551724</v>
      </c>
      <c r="AE13" s="15">
        <f t="shared" si="9"/>
        <v>0.56756756756756732</v>
      </c>
      <c r="AF13" s="15">
        <f t="shared" si="10"/>
        <v>0.68821292775665421</v>
      </c>
      <c r="AG13" s="15">
        <f t="shared" si="11"/>
        <v>0.30198019801980203</v>
      </c>
      <c r="AH13" s="15">
        <f t="shared" si="12"/>
        <v>-0.47668393782383423</v>
      </c>
      <c r="AI13" s="15">
        <f t="shared" si="13"/>
        <v>0.18404907975460127</v>
      </c>
      <c r="AJ13" s="15">
        <f t="shared" si="14"/>
        <v>0.34710743801652888</v>
      </c>
      <c r="AK13" s="5">
        <f t="shared" si="17"/>
        <v>-0.47668393782383423</v>
      </c>
    </row>
    <row r="14" spans="1:37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>
        <v>14.3</v>
      </c>
      <c r="G14" s="79">
        <v>14.1</v>
      </c>
      <c r="H14" s="79">
        <v>14</v>
      </c>
      <c r="I14" s="61">
        <v>13.64</v>
      </c>
      <c r="J14" s="61">
        <v>13.05</v>
      </c>
      <c r="K14" s="61">
        <v>11.34</v>
      </c>
      <c r="L14" s="61">
        <v>5.48</v>
      </c>
      <c r="M14" s="61">
        <v>11.12</v>
      </c>
      <c r="N14" s="61">
        <v>9.5</v>
      </c>
      <c r="O14" s="61">
        <v>-5.47</v>
      </c>
      <c r="P14" s="61">
        <v>17.71</v>
      </c>
      <c r="Q14" s="61">
        <v>16.78</v>
      </c>
      <c r="R14" s="62">
        <v>11.24</v>
      </c>
      <c r="S14" s="13">
        <f t="shared" si="15"/>
        <v>11.291538461538464</v>
      </c>
      <c r="T14" s="4">
        <f t="shared" ca="1" si="1"/>
        <v>0</v>
      </c>
      <c r="U14" s="4">
        <f t="shared" ca="1" si="2"/>
        <v>73</v>
      </c>
      <c r="V14" s="4">
        <f t="shared" ca="1" si="3"/>
        <v>287</v>
      </c>
      <c r="W14" s="13">
        <f t="shared" ca="1" si="4"/>
        <v>14.020277777777778</v>
      </c>
      <c r="X14" s="5">
        <f t="shared" ca="1" si="5"/>
        <v>0.24166231426603368</v>
      </c>
      <c r="Y14" s="15">
        <f t="shared" si="16"/>
        <v>1.4184397163120588E-2</v>
      </c>
      <c r="Z14" s="15">
        <f t="shared" si="6"/>
        <v>7.1428571428571175E-3</v>
      </c>
      <c r="AA14" s="15">
        <f t="shared" si="6"/>
        <v>2.6392961876832821E-2</v>
      </c>
      <c r="AB14" s="15">
        <f t="shared" si="6"/>
        <v>4.5210727969348552E-2</v>
      </c>
      <c r="AC14" s="15">
        <f t="shared" si="7"/>
        <v>0.15079365079365092</v>
      </c>
      <c r="AD14" s="15">
        <f t="shared" si="8"/>
        <v>1.0693430656934306</v>
      </c>
      <c r="AE14" s="15">
        <f t="shared" si="9"/>
        <v>-0.5071942446043165</v>
      </c>
      <c r="AF14" s="15">
        <f t="shared" si="10"/>
        <v>0.17052631578947364</v>
      </c>
      <c r="AG14" s="15">
        <f t="shared" si="11"/>
        <v>2.7367458866544792</v>
      </c>
      <c r="AH14" s="15">
        <f t="shared" si="12"/>
        <v>-1.3088650479954826</v>
      </c>
      <c r="AI14" s="15">
        <f t="shared" si="13"/>
        <v>5.5423122765196675E-2</v>
      </c>
      <c r="AJ14" s="15">
        <f t="shared" si="14"/>
        <v>0.49288256227758009</v>
      </c>
      <c r="AK14" s="5">
        <f t="shared" si="17"/>
        <v>-1.3088650479954826</v>
      </c>
    </row>
    <row r="15" spans="1:37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17.100000000000001</v>
      </c>
      <c r="G15" s="79">
        <v>17</v>
      </c>
      <c r="H15" s="79">
        <v>17.100000000000001</v>
      </c>
      <c r="I15" s="61">
        <v>18.309999999999999</v>
      </c>
      <c r="J15" s="61">
        <v>18.5</v>
      </c>
      <c r="K15" s="61">
        <v>17.98</v>
      </c>
      <c r="L15" s="61">
        <v>3.94</v>
      </c>
      <c r="M15" s="61">
        <v>13.06</v>
      </c>
      <c r="N15" s="61">
        <v>12.95</v>
      </c>
      <c r="O15" s="61">
        <v>7.48</v>
      </c>
      <c r="P15" s="61">
        <v>17.899999999999999</v>
      </c>
      <c r="Q15" s="61">
        <v>15.12</v>
      </c>
      <c r="R15" s="62">
        <v>11.7</v>
      </c>
      <c r="S15" s="13">
        <f t="shared" si="15"/>
        <v>14.472307692307691</v>
      </c>
      <c r="T15" s="4">
        <f t="shared" ca="1" si="1"/>
        <v>0</v>
      </c>
      <c r="U15" s="4">
        <f t="shared" ca="1" si="2"/>
        <v>73</v>
      </c>
      <c r="V15" s="4">
        <f t="shared" ca="1" si="3"/>
        <v>287</v>
      </c>
      <c r="W15" s="13">
        <f t="shared" ca="1" si="4"/>
        <v>17.079722222222223</v>
      </c>
      <c r="X15" s="5">
        <f t="shared" ca="1" si="5"/>
        <v>0.18016577489576346</v>
      </c>
      <c r="Y15" s="15">
        <f t="shared" si="16"/>
        <v>5.8823529411764497E-3</v>
      </c>
      <c r="Z15" s="15">
        <f t="shared" si="6"/>
        <v>-5.8479532163743242E-3</v>
      </c>
      <c r="AA15" s="15">
        <f t="shared" si="6"/>
        <v>-6.6084107045330298E-2</v>
      </c>
      <c r="AB15" s="15">
        <f t="shared" si="6"/>
        <v>-1.0270270270270387E-2</v>
      </c>
      <c r="AC15" s="15">
        <f t="shared" si="7"/>
        <v>2.8921023359288034E-2</v>
      </c>
      <c r="AD15" s="15">
        <f t="shared" si="8"/>
        <v>3.563451776649746</v>
      </c>
      <c r="AE15" s="15">
        <f t="shared" si="9"/>
        <v>-0.69831546707503822</v>
      </c>
      <c r="AF15" s="15">
        <f t="shared" si="10"/>
        <v>8.4942084942085661E-3</v>
      </c>
      <c r="AG15" s="15">
        <f t="shared" si="11"/>
        <v>0.73128342245989275</v>
      </c>
      <c r="AH15" s="15">
        <f t="shared" si="12"/>
        <v>-0.58212290502793285</v>
      </c>
      <c r="AI15" s="15">
        <f t="shared" si="13"/>
        <v>0.18386243386243373</v>
      </c>
      <c r="AJ15" s="15">
        <f t="shared" si="14"/>
        <v>0.29230769230769238</v>
      </c>
      <c r="AK15" s="5">
        <f t="shared" si="17"/>
        <v>-0.69831546707503822</v>
      </c>
    </row>
    <row r="16" spans="1:37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>
        <v>6.27</v>
      </c>
      <c r="G16" s="79">
        <v>5.7</v>
      </c>
      <c r="H16" s="79">
        <v>5.13</v>
      </c>
      <c r="I16" s="61">
        <v>5.6</v>
      </c>
      <c r="J16" s="61">
        <v>5.27</v>
      </c>
      <c r="K16" s="61">
        <v>5.31</v>
      </c>
      <c r="L16" s="61">
        <v>6.73</v>
      </c>
      <c r="M16" s="61">
        <v>4.96</v>
      </c>
      <c r="N16" s="61">
        <v>1.54</v>
      </c>
      <c r="O16" s="61">
        <v>3.13</v>
      </c>
      <c r="P16" s="61">
        <v>4.16</v>
      </c>
      <c r="Q16" s="61">
        <v>3.19</v>
      </c>
      <c r="R16" s="62">
        <v>2.87</v>
      </c>
      <c r="S16" s="13">
        <f t="shared" si="15"/>
        <v>4.6046153846153839</v>
      </c>
      <c r="T16" s="4">
        <f t="shared" ca="1" si="1"/>
        <v>0</v>
      </c>
      <c r="U16" s="4">
        <f t="shared" ca="1" si="2"/>
        <v>73</v>
      </c>
      <c r="V16" s="4">
        <f t="shared" ca="1" si="3"/>
        <v>287</v>
      </c>
      <c r="W16" s="13">
        <f t="shared" ca="1" si="4"/>
        <v>5.2455833333333342</v>
      </c>
      <c r="X16" s="5">
        <f t="shared" ca="1" si="5"/>
        <v>0.13920119166945133</v>
      </c>
      <c r="Y16" s="15">
        <f t="shared" si="16"/>
        <v>9.9999999999999867E-2</v>
      </c>
      <c r="Z16" s="15">
        <f t="shared" si="6"/>
        <v>0.11111111111111116</v>
      </c>
      <c r="AA16" s="15">
        <f t="shared" si="6"/>
        <v>-8.3928571428571352E-2</v>
      </c>
      <c r="AB16" s="15">
        <f t="shared" si="6"/>
        <v>6.2618595825427059E-2</v>
      </c>
      <c r="AC16" s="15">
        <f t="shared" si="7"/>
        <v>-7.532956685499026E-3</v>
      </c>
      <c r="AD16" s="15">
        <f t="shared" si="8"/>
        <v>-0.21099554234769702</v>
      </c>
      <c r="AE16" s="15">
        <f t="shared" si="9"/>
        <v>0.35685483870967749</v>
      </c>
      <c r="AF16" s="15">
        <f t="shared" si="10"/>
        <v>2.2207792207792205</v>
      </c>
      <c r="AG16" s="15">
        <f t="shared" si="11"/>
        <v>-0.50798722044728439</v>
      </c>
      <c r="AH16" s="15">
        <f t="shared" si="12"/>
        <v>-0.24759615384615385</v>
      </c>
      <c r="AI16" s="15">
        <f t="shared" si="13"/>
        <v>0.30407523510971801</v>
      </c>
      <c r="AJ16" s="15">
        <f t="shared" si="14"/>
        <v>0.11149825783972123</v>
      </c>
      <c r="AK16" s="5">
        <f t="shared" si="17"/>
        <v>-0.50798722044728439</v>
      </c>
    </row>
    <row r="17" spans="1:37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>
        <v>7.1</v>
      </c>
      <c r="G17" s="79">
        <v>6.27</v>
      </c>
      <c r="H17" s="79">
        <v>5.17</v>
      </c>
      <c r="I17" s="61">
        <v>4.1399999999999997</v>
      </c>
      <c r="J17" s="61">
        <v>3.86</v>
      </c>
      <c r="K17" s="61">
        <v>2.96</v>
      </c>
      <c r="L17" s="61">
        <v>2.99</v>
      </c>
      <c r="M17" s="61">
        <v>1.57</v>
      </c>
      <c r="N17" s="61">
        <v>1.7</v>
      </c>
      <c r="O17" s="61">
        <v>2.2200000000000002</v>
      </c>
      <c r="P17" s="63">
        <v>3.8</v>
      </c>
      <c r="Q17" s="61">
        <v>2.2200000000000002</v>
      </c>
      <c r="R17" s="62">
        <v>2.19</v>
      </c>
      <c r="S17" s="13">
        <f t="shared" si="15"/>
        <v>3.5530769230769228</v>
      </c>
      <c r="T17" s="4">
        <f t="shared" ca="1" si="1"/>
        <v>0</v>
      </c>
      <c r="U17" s="4">
        <f t="shared" ca="1" si="2"/>
        <v>73</v>
      </c>
      <c r="V17" s="4">
        <f t="shared" ca="1" si="3"/>
        <v>287</v>
      </c>
      <c r="W17" s="13">
        <f t="shared" ca="1" si="4"/>
        <v>5.3930555555555557</v>
      </c>
      <c r="X17" s="5">
        <f t="shared" ca="1" si="5"/>
        <v>0.51785499506867794</v>
      </c>
      <c r="Y17" s="15">
        <f t="shared" si="16"/>
        <v>0.13237639553429026</v>
      </c>
      <c r="Z17" s="15">
        <f t="shared" si="6"/>
        <v>0.21276595744680837</v>
      </c>
      <c r="AA17" s="15">
        <f t="shared" si="6"/>
        <v>0.24879227053140096</v>
      </c>
      <c r="AB17" s="15">
        <f t="shared" si="6"/>
        <v>7.2538860103626979E-2</v>
      </c>
      <c r="AC17" s="15">
        <f t="shared" si="7"/>
        <v>0.30405405405405395</v>
      </c>
      <c r="AD17" s="15">
        <f t="shared" si="8"/>
        <v>-1.0033444816053616E-2</v>
      </c>
      <c r="AE17" s="15">
        <f t="shared" si="9"/>
        <v>0.90445859872611467</v>
      </c>
      <c r="AF17" s="15">
        <f t="shared" si="10"/>
        <v>-7.6470588235294068E-2</v>
      </c>
      <c r="AG17" s="15">
        <f t="shared" si="11"/>
        <v>-0.23423423423423428</v>
      </c>
      <c r="AH17" s="15">
        <f t="shared" si="12"/>
        <v>-0.41578947368421049</v>
      </c>
      <c r="AI17" s="15">
        <f t="shared" si="13"/>
        <v>0.71171171171171155</v>
      </c>
      <c r="AJ17" s="15">
        <f t="shared" si="14"/>
        <v>1.3698630136986356E-2</v>
      </c>
      <c r="AK17" s="5">
        <f t="shared" si="17"/>
        <v>-0.41578947368421049</v>
      </c>
    </row>
    <row r="18" spans="1:37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0.67</v>
      </c>
      <c r="G18" s="79">
        <v>0.61</v>
      </c>
      <c r="H18" s="79">
        <v>0.55000000000000004</v>
      </c>
      <c r="I18" s="61">
        <v>0.48</v>
      </c>
      <c r="J18" s="61">
        <v>0.4</v>
      </c>
      <c r="K18" s="61">
        <v>0.22</v>
      </c>
      <c r="L18" s="61">
        <v>0.6</v>
      </c>
      <c r="M18" s="61">
        <v>0.94</v>
      </c>
      <c r="N18" s="61">
        <v>1.04</v>
      </c>
      <c r="O18" s="61">
        <v>1.21</v>
      </c>
      <c r="P18" s="61">
        <v>1.41</v>
      </c>
      <c r="Q18" s="61">
        <v>1.21</v>
      </c>
      <c r="R18" s="62">
        <v>1</v>
      </c>
      <c r="S18" s="13">
        <f t="shared" si="15"/>
        <v>0.79538461538461536</v>
      </c>
      <c r="T18" s="4">
        <f t="shared" ca="1" si="1"/>
        <v>0</v>
      </c>
      <c r="U18" s="4">
        <f t="shared" ca="1" si="2"/>
        <v>73</v>
      </c>
      <c r="V18" s="4">
        <f t="shared" ca="1" si="3"/>
        <v>287</v>
      </c>
      <c r="W18" s="13">
        <f t="shared" ca="1" si="4"/>
        <v>0.5621666666666667</v>
      </c>
      <c r="X18" s="5">
        <f t="shared" ca="1" si="5"/>
        <v>-0.29321405544809798</v>
      </c>
      <c r="Y18" s="15">
        <f t="shared" si="16"/>
        <v>9.8360655737705027E-2</v>
      </c>
      <c r="Z18" s="15">
        <f t="shared" si="6"/>
        <v>0.10909090909090891</v>
      </c>
      <c r="AA18" s="15">
        <f t="shared" si="6"/>
        <v>0.14583333333333348</v>
      </c>
      <c r="AB18" s="15">
        <f t="shared" si="6"/>
        <v>0.19999999999999996</v>
      </c>
      <c r="AC18" s="15">
        <f t="shared" si="7"/>
        <v>0.81818181818181834</v>
      </c>
      <c r="AD18" s="15">
        <f t="shared" si="8"/>
        <v>-0.6333333333333333</v>
      </c>
      <c r="AE18" s="15">
        <f t="shared" si="9"/>
        <v>-0.36170212765957444</v>
      </c>
      <c r="AF18" s="15">
        <f t="shared" si="10"/>
        <v>-9.6153846153846256E-2</v>
      </c>
      <c r="AG18" s="15">
        <f t="shared" si="11"/>
        <v>-0.14049586776859502</v>
      </c>
      <c r="AH18" s="15">
        <f t="shared" si="12"/>
        <v>-0.14184397163120566</v>
      </c>
      <c r="AI18" s="15">
        <f t="shared" si="13"/>
        <v>0.165289256198347</v>
      </c>
      <c r="AJ18" s="15">
        <f t="shared" si="14"/>
        <v>0.20999999999999996</v>
      </c>
      <c r="AK18" s="5">
        <f t="shared" si="17"/>
        <v>-0.6333333333333333</v>
      </c>
    </row>
    <row r="19" spans="1:37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>
        <v>1.06</v>
      </c>
      <c r="G19" s="79">
        <v>0.92</v>
      </c>
      <c r="H19" s="79">
        <v>0.85</v>
      </c>
      <c r="I19" s="61">
        <v>0.61</v>
      </c>
      <c r="J19" s="61">
        <v>1.01</v>
      </c>
      <c r="K19" s="61">
        <v>0.87</v>
      </c>
      <c r="L19" s="61">
        <v>1.2</v>
      </c>
      <c r="M19" s="61">
        <v>2.25</v>
      </c>
      <c r="N19" s="61">
        <v>1.71</v>
      </c>
      <c r="O19" s="61">
        <v>1.63</v>
      </c>
      <c r="P19" s="61">
        <v>1.87</v>
      </c>
      <c r="Q19" s="61">
        <v>1.3</v>
      </c>
      <c r="R19" s="62">
        <v>0.91</v>
      </c>
      <c r="S19" s="13">
        <f t="shared" si="15"/>
        <v>1.2453846153846155</v>
      </c>
      <c r="T19" s="4">
        <f t="shared" ca="1" si="1"/>
        <v>0</v>
      </c>
      <c r="U19" s="4">
        <f t="shared" ca="1" si="2"/>
        <v>73</v>
      </c>
      <c r="V19" s="4">
        <f t="shared" ca="1" si="3"/>
        <v>287</v>
      </c>
      <c r="W19" s="13">
        <f t="shared" ca="1" si="4"/>
        <v>0.86419444444444449</v>
      </c>
      <c r="X19" s="5">
        <f t="shared" ca="1" si="5"/>
        <v>-0.30608228673392357</v>
      </c>
      <c r="Y19" s="15">
        <f t="shared" si="16"/>
        <v>0.15217391304347827</v>
      </c>
      <c r="Z19" s="15">
        <f t="shared" si="6"/>
        <v>8.235294117647074E-2</v>
      </c>
      <c r="AA19" s="15">
        <f t="shared" si="6"/>
        <v>0.39344262295081966</v>
      </c>
      <c r="AB19" s="15">
        <f t="shared" si="6"/>
        <v>-0.39603960396039606</v>
      </c>
      <c r="AC19" s="15">
        <f t="shared" si="7"/>
        <v>0.16091954022988508</v>
      </c>
      <c r="AD19" s="15">
        <f t="shared" si="8"/>
        <v>-0.27500000000000002</v>
      </c>
      <c r="AE19" s="15">
        <f t="shared" si="9"/>
        <v>-0.46666666666666667</v>
      </c>
      <c r="AF19" s="15">
        <f t="shared" si="10"/>
        <v>0.31578947368421062</v>
      </c>
      <c r="AG19" s="15">
        <f t="shared" si="11"/>
        <v>4.9079754601226933E-2</v>
      </c>
      <c r="AH19" s="15">
        <f t="shared" si="12"/>
        <v>-0.12834224598930488</v>
      </c>
      <c r="AI19" s="15">
        <f t="shared" si="13"/>
        <v>0.43846153846153846</v>
      </c>
      <c r="AJ19" s="15">
        <f t="shared" si="14"/>
        <v>0.4285714285714286</v>
      </c>
      <c r="AK19" s="5">
        <f t="shared" si="17"/>
        <v>-0.46666666666666667</v>
      </c>
    </row>
    <row r="20" spans="1:37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67">
        <v>5.52</v>
      </c>
      <c r="G20" s="79">
        <v>4.54</v>
      </c>
      <c r="H20" s="79">
        <v>3.3</v>
      </c>
      <c r="I20" s="66">
        <v>1.64</v>
      </c>
      <c r="J20" s="61">
        <v>3.72</v>
      </c>
      <c r="K20" s="61">
        <v>4.72</v>
      </c>
      <c r="L20" s="61">
        <v>5.44</v>
      </c>
      <c r="M20" s="61">
        <v>4.71</v>
      </c>
      <c r="N20" s="61">
        <v>3.78</v>
      </c>
      <c r="O20" s="61">
        <v>4.71</v>
      </c>
      <c r="P20" s="61">
        <v>5.8</v>
      </c>
      <c r="Q20" s="61">
        <v>5.09</v>
      </c>
      <c r="R20" s="62">
        <v>5.2</v>
      </c>
      <c r="S20" s="13">
        <f t="shared" si="15"/>
        <v>4.4746153846153849</v>
      </c>
      <c r="T20" s="4">
        <f t="shared" ca="1" si="1"/>
        <v>0</v>
      </c>
      <c r="U20" s="4">
        <f t="shared" ca="1" si="2"/>
        <v>73</v>
      </c>
      <c r="V20" s="4">
        <f t="shared" ca="1" si="3"/>
        <v>287</v>
      </c>
      <c r="W20" s="13">
        <f t="shared" ca="1" si="4"/>
        <v>3.5514444444444444</v>
      </c>
      <c r="X20" s="5">
        <f t="shared" ca="1" si="5"/>
        <v>-0.20631291425515252</v>
      </c>
      <c r="Y20" s="15">
        <f t="shared" si="16"/>
        <v>0.21585903083700431</v>
      </c>
      <c r="Z20" s="15">
        <f t="shared" si="6"/>
        <v>0.37575757575757573</v>
      </c>
      <c r="AA20" s="15">
        <f t="shared" si="6"/>
        <v>1.0121951219512195</v>
      </c>
      <c r="AB20" s="15">
        <f t="shared" si="6"/>
        <v>-0.55913978494623662</v>
      </c>
      <c r="AC20" s="15">
        <f t="shared" si="7"/>
        <v>-0.2118644067796609</v>
      </c>
      <c r="AD20" s="15">
        <f t="shared" si="8"/>
        <v>-0.13235294117647067</v>
      </c>
      <c r="AE20" s="15">
        <f t="shared" si="9"/>
        <v>0.15498938428874753</v>
      </c>
      <c r="AF20" s="15">
        <f t="shared" si="10"/>
        <v>0.24603174603174605</v>
      </c>
      <c r="AG20" s="15">
        <f t="shared" si="11"/>
        <v>-0.19745222929936312</v>
      </c>
      <c r="AH20" s="15">
        <f t="shared" si="12"/>
        <v>-0.18793103448275861</v>
      </c>
      <c r="AI20" s="15">
        <f t="shared" si="13"/>
        <v>0.13948919449901775</v>
      </c>
      <c r="AJ20" s="15">
        <f t="shared" si="14"/>
        <v>-2.115384615384619E-2</v>
      </c>
      <c r="AK20" s="5">
        <f t="shared" si="17"/>
        <v>-0.55913978494623662</v>
      </c>
    </row>
    <row r="21" spans="1:37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67">
        <v>3.33</v>
      </c>
      <c r="G21" s="79">
        <v>3.1</v>
      </c>
      <c r="H21" s="79">
        <v>2.82</v>
      </c>
      <c r="I21" s="61">
        <v>2.78</v>
      </c>
      <c r="J21" s="61">
        <v>2.42</v>
      </c>
      <c r="K21" s="61">
        <v>2.77</v>
      </c>
      <c r="L21" s="61">
        <v>2.77</v>
      </c>
      <c r="M21" s="61">
        <v>3.04</v>
      </c>
      <c r="N21" s="61">
        <v>2.57</v>
      </c>
      <c r="O21" s="61">
        <v>2.74</v>
      </c>
      <c r="P21" s="63">
        <v>1.83</v>
      </c>
      <c r="Q21" s="61">
        <v>2.77</v>
      </c>
      <c r="R21" s="62">
        <v>2.94</v>
      </c>
      <c r="S21" s="13">
        <f t="shared" si="15"/>
        <v>2.76</v>
      </c>
      <c r="T21" s="4">
        <f t="shared" ca="1" si="1"/>
        <v>0</v>
      </c>
      <c r="U21" s="4">
        <f t="shared" ca="1" si="2"/>
        <v>73</v>
      </c>
      <c r="V21" s="4">
        <f t="shared" ca="1" si="3"/>
        <v>287</v>
      </c>
      <c r="W21" s="13">
        <f t="shared" ca="1" si="4"/>
        <v>2.8767777777777779</v>
      </c>
      <c r="X21" s="5">
        <f t="shared" ca="1" si="5"/>
        <v>4.2310789049919695E-2</v>
      </c>
      <c r="Y21" s="15">
        <f t="shared" si="16"/>
        <v>7.4193548387096797E-2</v>
      </c>
      <c r="Z21" s="15">
        <f t="shared" si="6"/>
        <v>9.9290780141844115E-2</v>
      </c>
      <c r="AA21" s="15">
        <f t="shared" si="6"/>
        <v>1.4388489208633004E-2</v>
      </c>
      <c r="AB21" s="15">
        <f t="shared" si="6"/>
        <v>0.14876033057851235</v>
      </c>
      <c r="AC21" s="15">
        <f t="shared" si="7"/>
        <v>-0.12635379061371843</v>
      </c>
      <c r="AD21" s="15">
        <f t="shared" si="8"/>
        <v>0</v>
      </c>
      <c r="AE21" s="15">
        <f t="shared" si="9"/>
        <v>-8.8815789473684181E-2</v>
      </c>
      <c r="AF21" s="15">
        <f t="shared" si="10"/>
        <v>0.18287937743190663</v>
      </c>
      <c r="AG21" s="15">
        <f t="shared" si="11"/>
        <v>-6.2043795620438047E-2</v>
      </c>
      <c r="AH21" s="15">
        <f t="shared" si="12"/>
        <v>0.49726775956284164</v>
      </c>
      <c r="AI21" s="15">
        <f t="shared" si="13"/>
        <v>-0.3393501805054151</v>
      </c>
      <c r="AJ21" s="15">
        <f t="shared" si="14"/>
        <v>-5.7823129251700633E-2</v>
      </c>
      <c r="AK21" s="5">
        <f t="shared" si="17"/>
        <v>-0.3393501805054151</v>
      </c>
    </row>
    <row r="22" spans="1:37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67">
        <v>1.97</v>
      </c>
      <c r="G22" s="79">
        <v>1.56</v>
      </c>
      <c r="H22" s="79">
        <v>1.54</v>
      </c>
      <c r="I22" s="61">
        <v>2.59</v>
      </c>
      <c r="J22" s="61">
        <v>2.04</v>
      </c>
      <c r="K22" s="61">
        <v>2.88</v>
      </c>
      <c r="L22" s="61">
        <v>4.2699999999999996</v>
      </c>
      <c r="M22" s="61">
        <v>2.2799999999999998</v>
      </c>
      <c r="N22" s="61">
        <v>1.05</v>
      </c>
      <c r="O22" s="61">
        <v>2.75</v>
      </c>
      <c r="P22" s="61">
        <v>2.29</v>
      </c>
      <c r="Q22" s="61">
        <v>1.72</v>
      </c>
      <c r="R22" s="62">
        <v>1</v>
      </c>
      <c r="S22" s="13">
        <f t="shared" si="15"/>
        <v>2.1492307692307691</v>
      </c>
      <c r="T22" s="4">
        <f t="shared" ca="1" si="1"/>
        <v>0</v>
      </c>
      <c r="U22" s="4">
        <f t="shared" ca="1" si="2"/>
        <v>254</v>
      </c>
      <c r="V22" s="4">
        <f t="shared" ca="1" si="3"/>
        <v>106</v>
      </c>
      <c r="W22" s="13">
        <f t="shared" ca="1" si="4"/>
        <v>1.5541111111111112</v>
      </c>
      <c r="X22" s="5">
        <f t="shared" ca="1" si="5"/>
        <v>-0.27689891036347714</v>
      </c>
      <c r="Y22" s="15">
        <f t="shared" si="16"/>
        <v>0.26282051282051277</v>
      </c>
      <c r="Z22" s="15">
        <f t="shared" si="6"/>
        <v>1.2987012987013102E-2</v>
      </c>
      <c r="AA22" s="15">
        <f t="shared" si="6"/>
        <v>-0.40540540540540537</v>
      </c>
      <c r="AB22" s="15">
        <f t="shared" si="6"/>
        <v>0.26960784313725483</v>
      </c>
      <c r="AC22" s="15">
        <f t="shared" si="7"/>
        <v>-0.29166666666666663</v>
      </c>
      <c r="AD22" s="15">
        <f t="shared" si="8"/>
        <v>-0.32552693208430905</v>
      </c>
      <c r="AE22" s="15">
        <f t="shared" si="9"/>
        <v>0.87280701754385959</v>
      </c>
      <c r="AF22" s="15">
        <f t="shared" si="10"/>
        <v>1.1714285714285713</v>
      </c>
      <c r="AG22" s="15">
        <f t="shared" si="11"/>
        <v>-0.61818181818181817</v>
      </c>
      <c r="AH22" s="15">
        <f t="shared" si="12"/>
        <v>0.20087336244541487</v>
      </c>
      <c r="AI22" s="15">
        <f t="shared" si="13"/>
        <v>0.33139534883720945</v>
      </c>
      <c r="AJ22" s="15">
        <f t="shared" si="14"/>
        <v>0.72</v>
      </c>
      <c r="AK22" s="5">
        <f t="shared" si="17"/>
        <v>-0.61818181818181817</v>
      </c>
    </row>
    <row r="23" spans="1:37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>
        <v>2.46</v>
      </c>
      <c r="G23" s="79">
        <v>2.21</v>
      </c>
      <c r="H23" s="79">
        <v>2.02</v>
      </c>
      <c r="I23" s="66">
        <v>1.96</v>
      </c>
      <c r="J23" s="61">
        <v>2.0499999999999998</v>
      </c>
      <c r="K23" s="61">
        <v>1.97</v>
      </c>
      <c r="L23" s="61">
        <v>1.56</v>
      </c>
      <c r="M23" s="61">
        <v>1.44</v>
      </c>
      <c r="N23" s="61">
        <v>1.36</v>
      </c>
      <c r="O23" s="61">
        <v>1.23</v>
      </c>
      <c r="P23" s="61">
        <v>1.04</v>
      </c>
      <c r="Q23" s="61"/>
      <c r="R23" s="62"/>
      <c r="S23" s="13">
        <f t="shared" si="15"/>
        <v>1.7545454545454546</v>
      </c>
      <c r="T23" s="4">
        <f t="shared" ca="1" si="1"/>
        <v>0</v>
      </c>
      <c r="U23" s="4">
        <f t="shared" ca="1" si="2"/>
        <v>73</v>
      </c>
      <c r="V23" s="4">
        <f t="shared" ca="1" si="3"/>
        <v>287</v>
      </c>
      <c r="W23" s="13">
        <f t="shared" ca="1" si="4"/>
        <v>2.058527777777778</v>
      </c>
      <c r="X23" s="5">
        <f t="shared" ca="1" si="5"/>
        <v>0.17325417386298225</v>
      </c>
      <c r="Y23" s="15">
        <f t="shared" si="16"/>
        <v>0.1131221719457014</v>
      </c>
      <c r="Z23" s="15">
        <f t="shared" si="6"/>
        <v>9.4059405940594143E-2</v>
      </c>
      <c r="AA23" s="15">
        <f t="shared" si="6"/>
        <v>3.0612244897959107E-2</v>
      </c>
      <c r="AB23" s="15">
        <f t="shared" si="6"/>
        <v>-4.3902439024390172E-2</v>
      </c>
      <c r="AC23" s="15">
        <f t="shared" si="7"/>
        <v>4.0609137055837463E-2</v>
      </c>
      <c r="AD23" s="15">
        <f t="shared" si="8"/>
        <v>0.26282051282051277</v>
      </c>
      <c r="AE23" s="15">
        <f t="shared" si="9"/>
        <v>8.3333333333333481E-2</v>
      </c>
      <c r="AF23" s="15">
        <f t="shared" si="10"/>
        <v>5.8823529411764497E-2</v>
      </c>
      <c r="AG23" s="15">
        <f t="shared" si="11"/>
        <v>0.10569105691056913</v>
      </c>
      <c r="AH23" s="15">
        <f t="shared" si="12"/>
        <v>0.18269230769230771</v>
      </c>
      <c r="AI23" s="15">
        <f t="shared" si="13"/>
        <v>99.999989999999997</v>
      </c>
      <c r="AJ23" s="15">
        <f t="shared" si="14"/>
        <v>99.999989999999997</v>
      </c>
      <c r="AK23" s="5">
        <f t="shared" si="17"/>
        <v>-4.3902439024390172E-2</v>
      </c>
    </row>
    <row r="24" spans="1:37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67">
        <v>1.98</v>
      </c>
      <c r="G24" s="79">
        <v>1.78</v>
      </c>
      <c r="H24" s="79">
        <v>1.67</v>
      </c>
      <c r="I24" s="61">
        <v>1.48</v>
      </c>
      <c r="J24" s="61">
        <v>0.96</v>
      </c>
      <c r="K24" s="61">
        <v>0.68</v>
      </c>
      <c r="L24" s="61">
        <v>1.77</v>
      </c>
      <c r="M24" s="61">
        <v>1.48</v>
      </c>
      <c r="N24" s="61">
        <v>0.65</v>
      </c>
      <c r="O24" s="61">
        <v>0.5</v>
      </c>
      <c r="P24" s="61">
        <v>1.1599999999999999</v>
      </c>
      <c r="Q24" s="61"/>
      <c r="R24" s="62"/>
      <c r="S24" s="13">
        <f t="shared" si="15"/>
        <v>1.2827272727272729</v>
      </c>
      <c r="T24" s="4">
        <f t="shared" ca="1" si="1"/>
        <v>0</v>
      </c>
      <c r="U24" s="4">
        <f t="shared" ca="1" si="2"/>
        <v>164</v>
      </c>
      <c r="V24" s="4">
        <f t="shared" ca="1" si="3"/>
        <v>196</v>
      </c>
      <c r="W24" s="13">
        <f t="shared" ca="1" si="4"/>
        <v>1.7201111111111111</v>
      </c>
      <c r="X24" s="5">
        <f t="shared" ca="1" si="5"/>
        <v>0.3409796046932827</v>
      </c>
      <c r="Y24" s="15">
        <f t="shared" si="16"/>
        <v>0.11235955056179781</v>
      </c>
      <c r="Z24" s="15">
        <f t="shared" si="6"/>
        <v>6.5868263473053856E-2</v>
      </c>
      <c r="AA24" s="15">
        <f t="shared" si="6"/>
        <v>0.12837837837837829</v>
      </c>
      <c r="AB24" s="15">
        <f t="shared" si="6"/>
        <v>0.54166666666666674</v>
      </c>
      <c r="AC24" s="15">
        <f t="shared" si="7"/>
        <v>0.41176470588235281</v>
      </c>
      <c r="AD24" s="15">
        <f t="shared" si="8"/>
        <v>-0.61581920903954801</v>
      </c>
      <c r="AE24" s="15">
        <f t="shared" si="9"/>
        <v>0.19594594594594605</v>
      </c>
      <c r="AF24" s="15">
        <f t="shared" si="10"/>
        <v>1.2769230769230768</v>
      </c>
      <c r="AG24" s="15">
        <f t="shared" si="11"/>
        <v>0.30000000000000004</v>
      </c>
      <c r="AH24" s="15">
        <f t="shared" si="12"/>
        <v>-0.56896551724137923</v>
      </c>
      <c r="AI24" s="15">
        <f t="shared" si="13"/>
        <v>99.999989999999997</v>
      </c>
      <c r="AJ24" s="15">
        <f t="shared" si="14"/>
        <v>99.999989999999997</v>
      </c>
      <c r="AK24" s="5">
        <f t="shared" si="17"/>
        <v>-0.61581920903954801</v>
      </c>
    </row>
    <row r="25" spans="1:37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67">
        <v>0.9</v>
      </c>
      <c r="G25" s="79">
        <v>0.89</v>
      </c>
      <c r="H25" s="79">
        <v>0.83</v>
      </c>
      <c r="I25" s="61">
        <v>0.69</v>
      </c>
      <c r="J25" s="61">
        <v>0.84</v>
      </c>
      <c r="K25" s="61">
        <v>0.74</v>
      </c>
      <c r="L25" s="61">
        <v>0.91</v>
      </c>
      <c r="M25" s="61">
        <v>0.72</v>
      </c>
      <c r="N25" s="61">
        <v>0.34</v>
      </c>
      <c r="O25" s="61">
        <v>0.47</v>
      </c>
      <c r="P25" s="61">
        <v>1.63</v>
      </c>
      <c r="Q25" s="61">
        <v>1.39</v>
      </c>
      <c r="R25" s="62">
        <v>1.35</v>
      </c>
      <c r="S25" s="13">
        <f t="shared" si="15"/>
        <v>0.90000000000000013</v>
      </c>
      <c r="T25" s="4">
        <f t="shared" ca="1" si="1"/>
        <v>0</v>
      </c>
      <c r="U25" s="4">
        <f t="shared" ca="1" si="2"/>
        <v>73</v>
      </c>
      <c r="V25" s="4">
        <f t="shared" ca="1" si="3"/>
        <v>287</v>
      </c>
      <c r="W25" s="13">
        <f t="shared" ca="1" si="4"/>
        <v>0.84216666666666673</v>
      </c>
      <c r="X25" s="5">
        <f t="shared" ca="1" si="5"/>
        <v>-6.4259259259259349E-2</v>
      </c>
      <c r="Y25" s="15">
        <f t="shared" si="16"/>
        <v>1.1235955056179803E-2</v>
      </c>
      <c r="Z25" s="15">
        <f t="shared" si="6"/>
        <v>7.2289156626506035E-2</v>
      </c>
      <c r="AA25" s="15">
        <f t="shared" si="6"/>
        <v>0.20289855072463769</v>
      </c>
      <c r="AB25" s="15">
        <f t="shared" si="6"/>
        <v>-0.1785714285714286</v>
      </c>
      <c r="AC25" s="15">
        <f t="shared" si="7"/>
        <v>0.13513513513513509</v>
      </c>
      <c r="AD25" s="15">
        <f t="shared" si="8"/>
        <v>-0.18681318681318682</v>
      </c>
      <c r="AE25" s="15">
        <f t="shared" si="9"/>
        <v>0.26388888888888906</v>
      </c>
      <c r="AF25" s="15">
        <f t="shared" si="10"/>
        <v>1.117647058823529</v>
      </c>
      <c r="AG25" s="15">
        <f t="shared" si="11"/>
        <v>-0.27659574468085102</v>
      </c>
      <c r="AH25" s="15">
        <f t="shared" si="12"/>
        <v>-0.71165644171779141</v>
      </c>
      <c r="AI25" s="15">
        <f t="shared" si="13"/>
        <v>0.17266187050359716</v>
      </c>
      <c r="AJ25" s="15">
        <f t="shared" si="14"/>
        <v>2.962962962962945E-2</v>
      </c>
      <c r="AK25" s="5">
        <f t="shared" si="17"/>
        <v>-0.71165644171779141</v>
      </c>
    </row>
    <row r="26" spans="1:37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67">
        <v>5.51</v>
      </c>
      <c r="G26" s="79">
        <v>4.54</v>
      </c>
      <c r="H26" s="79">
        <v>3.8</v>
      </c>
      <c r="I26" s="61">
        <v>3.51</v>
      </c>
      <c r="J26" s="61">
        <v>1.97</v>
      </c>
      <c r="K26" s="61">
        <v>-1.61</v>
      </c>
      <c r="L26" s="61">
        <v>3.02</v>
      </c>
      <c r="M26" s="61">
        <v>7.26</v>
      </c>
      <c r="N26" s="61">
        <v>2.75</v>
      </c>
      <c r="O26" s="61">
        <v>2.34</v>
      </c>
      <c r="P26" s="61">
        <v>5.66</v>
      </c>
      <c r="Q26" s="61">
        <v>5.56</v>
      </c>
      <c r="R26" s="62">
        <v>3.81</v>
      </c>
      <c r="S26" s="13">
        <f t="shared" si="15"/>
        <v>3.7015384615384619</v>
      </c>
      <c r="T26" s="4">
        <f t="shared" ca="1" si="1"/>
        <v>0</v>
      </c>
      <c r="U26" s="4">
        <f t="shared" ca="1" si="2"/>
        <v>73</v>
      </c>
      <c r="V26" s="4">
        <f t="shared" ca="1" si="3"/>
        <v>287</v>
      </c>
      <c r="W26" s="13">
        <f t="shared" ca="1" si="4"/>
        <v>3.9500555555555557</v>
      </c>
      <c r="X26" s="5">
        <f t="shared" ca="1" si="5"/>
        <v>6.7138865798466618E-2</v>
      </c>
      <c r="Y26" s="15">
        <f t="shared" si="16"/>
        <v>0.21365638766519823</v>
      </c>
      <c r="Z26" s="15">
        <f t="shared" si="6"/>
        <v>0.19473684210526332</v>
      </c>
      <c r="AA26" s="15">
        <f t="shared" si="6"/>
        <v>8.2621082621082698E-2</v>
      </c>
      <c r="AB26" s="15">
        <f t="shared" si="6"/>
        <v>0.781725888324873</v>
      </c>
      <c r="AC26" s="15">
        <f t="shared" si="7"/>
        <v>2.2236024844720497</v>
      </c>
      <c r="AD26" s="15">
        <f t="shared" si="8"/>
        <v>-1.5331125827814569</v>
      </c>
      <c r="AE26" s="15">
        <f t="shared" si="9"/>
        <v>-0.58402203856749302</v>
      </c>
      <c r="AF26" s="15">
        <f t="shared" si="10"/>
        <v>1.6400000000000001</v>
      </c>
      <c r="AG26" s="15">
        <f t="shared" si="11"/>
        <v>0.17521367521367526</v>
      </c>
      <c r="AH26" s="15">
        <f t="shared" si="12"/>
        <v>-0.58657243816254423</v>
      </c>
      <c r="AI26" s="15">
        <f t="shared" si="13"/>
        <v>1.7985611510791477E-2</v>
      </c>
      <c r="AJ26" s="15">
        <f t="shared" si="14"/>
        <v>0.45931758530183719</v>
      </c>
      <c r="AK26" s="5">
        <f t="shared" si="17"/>
        <v>-1.5331125827814569</v>
      </c>
    </row>
    <row r="27" spans="1:37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67">
        <v>0.66</v>
      </c>
      <c r="G27" s="79">
        <v>0.54</v>
      </c>
      <c r="H27" s="79">
        <v>0.35</v>
      </c>
      <c r="I27" s="61">
        <v>0.2</v>
      </c>
      <c r="J27" s="61">
        <v>1.23</v>
      </c>
      <c r="K27" s="61">
        <v>0.6</v>
      </c>
      <c r="L27" s="61">
        <v>1.34</v>
      </c>
      <c r="M27" s="61">
        <v>-0.2</v>
      </c>
      <c r="N27" s="61">
        <v>0.88</v>
      </c>
      <c r="O27" s="61">
        <v>1.1200000000000001</v>
      </c>
      <c r="P27" s="61">
        <v>1.08</v>
      </c>
      <c r="Q27" s="61">
        <v>1.0900000000000001</v>
      </c>
      <c r="R27" s="62">
        <v>1.04</v>
      </c>
      <c r="S27" s="13">
        <f t="shared" si="15"/>
        <v>0.76384615384615384</v>
      </c>
      <c r="T27" s="4">
        <f t="shared" ca="1" si="1"/>
        <v>0</v>
      </c>
      <c r="U27" s="4">
        <f t="shared" ca="1" si="2"/>
        <v>73</v>
      </c>
      <c r="V27" s="4">
        <f t="shared" ca="1" si="3"/>
        <v>287</v>
      </c>
      <c r="W27" s="13">
        <f t="shared" ca="1" si="4"/>
        <v>0.38852777777777775</v>
      </c>
      <c r="X27" s="5">
        <f t="shared" ca="1" si="5"/>
        <v>-0.49135336242587002</v>
      </c>
      <c r="Y27" s="15">
        <f t="shared" si="16"/>
        <v>0.2222222222222221</v>
      </c>
      <c r="Z27" s="15">
        <f t="shared" si="6"/>
        <v>0.54285714285714315</v>
      </c>
      <c r="AA27" s="15">
        <f t="shared" si="6"/>
        <v>0.74999999999999978</v>
      </c>
      <c r="AB27" s="15">
        <f t="shared" si="6"/>
        <v>-0.83739837398373984</v>
      </c>
      <c r="AC27" s="15">
        <f t="shared" si="7"/>
        <v>1.0500000000000003</v>
      </c>
      <c r="AD27" s="15">
        <f t="shared" si="8"/>
        <v>-0.55223880597014929</v>
      </c>
      <c r="AE27" s="15">
        <f t="shared" si="9"/>
        <v>7.7</v>
      </c>
      <c r="AF27" s="15">
        <f t="shared" si="10"/>
        <v>-1.2272727272727273</v>
      </c>
      <c r="AG27" s="15">
        <f t="shared" si="11"/>
        <v>-0.2142857142857143</v>
      </c>
      <c r="AH27" s="15">
        <f t="shared" si="12"/>
        <v>3.7037037037036979E-2</v>
      </c>
      <c r="AI27" s="15">
        <f t="shared" si="13"/>
        <v>-9.1743119266055606E-3</v>
      </c>
      <c r="AJ27" s="15">
        <f t="shared" si="14"/>
        <v>4.8076923076923128E-2</v>
      </c>
      <c r="AK27" s="5">
        <f t="shared" si="17"/>
        <v>-1.2272727272727273</v>
      </c>
    </row>
    <row r="28" spans="1:37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67">
        <v>3.6</v>
      </c>
      <c r="G28" s="79">
        <v>3.16</v>
      </c>
      <c r="H28" s="79">
        <v>2.61</v>
      </c>
      <c r="I28" s="66">
        <v>2.38</v>
      </c>
      <c r="J28" s="61">
        <v>2.6</v>
      </c>
      <c r="K28" s="61">
        <v>4.24</v>
      </c>
      <c r="L28" s="61">
        <v>4.97</v>
      </c>
      <c r="M28" s="61">
        <v>3.28</v>
      </c>
      <c r="N28" s="61">
        <v>2.04</v>
      </c>
      <c r="O28" s="61">
        <v>4.26</v>
      </c>
      <c r="P28" s="61">
        <v>4.99</v>
      </c>
      <c r="Q28" s="61">
        <v>3.95</v>
      </c>
      <c r="R28" s="62">
        <v>3.78</v>
      </c>
      <c r="S28" s="13">
        <f t="shared" si="15"/>
        <v>3.5276923076923081</v>
      </c>
      <c r="T28" s="4">
        <f t="shared" ca="1" si="1"/>
        <v>0</v>
      </c>
      <c r="U28" s="4">
        <f t="shared" ca="1" si="2"/>
        <v>73</v>
      </c>
      <c r="V28" s="4">
        <f t="shared" ca="1" si="3"/>
        <v>287</v>
      </c>
      <c r="W28" s="13">
        <f t="shared" ca="1" si="4"/>
        <v>2.7215277777777773</v>
      </c>
      <c r="X28" s="5">
        <f t="shared" ca="1" si="5"/>
        <v>-0.22852461598100526</v>
      </c>
      <c r="Y28" s="15">
        <f t="shared" si="16"/>
        <v>0.139240506329114</v>
      </c>
      <c r="Z28" s="15">
        <f t="shared" si="6"/>
        <v>0.21072796934865901</v>
      </c>
      <c r="AA28" s="15">
        <f t="shared" si="6"/>
        <v>9.6638655462184975E-2</v>
      </c>
      <c r="AB28" s="15">
        <f t="shared" si="6"/>
        <v>-8.4615384615384648E-2</v>
      </c>
      <c r="AC28" s="15">
        <f t="shared" si="7"/>
        <v>-0.3867924528301887</v>
      </c>
      <c r="AD28" s="15">
        <f t="shared" si="8"/>
        <v>-0.14688128772635811</v>
      </c>
      <c r="AE28" s="15">
        <f t="shared" si="9"/>
        <v>0.51524390243902451</v>
      </c>
      <c r="AF28" s="15">
        <f t="shared" si="10"/>
        <v>0.6078431372549018</v>
      </c>
      <c r="AG28" s="15">
        <f t="shared" si="11"/>
        <v>-0.52112676056338025</v>
      </c>
      <c r="AH28" s="15">
        <f t="shared" si="12"/>
        <v>-0.14629258517034072</v>
      </c>
      <c r="AI28" s="15">
        <f t="shared" si="13"/>
        <v>0.2632911392405064</v>
      </c>
      <c r="AJ28" s="15">
        <f t="shared" si="14"/>
        <v>4.497354497354511E-2</v>
      </c>
      <c r="AK28" s="5">
        <f t="shared" si="17"/>
        <v>-0.52112676056338025</v>
      </c>
    </row>
    <row r="29" spans="1:37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67">
        <v>5.67E-2</v>
      </c>
      <c r="G29" s="79">
        <v>3.5200000000000002E-2</v>
      </c>
      <c r="H29" s="79">
        <v>0.17699999999999999</v>
      </c>
      <c r="I29" s="63">
        <v>0.41699999999999998</v>
      </c>
      <c r="J29" s="61">
        <v>8.6999999999999994E-3</v>
      </c>
      <c r="K29" s="61">
        <v>0.14000000000000001</v>
      </c>
      <c r="L29" s="61">
        <v>0.15</v>
      </c>
      <c r="M29" s="61">
        <v>0.16</v>
      </c>
      <c r="N29" s="61">
        <v>0.06</v>
      </c>
      <c r="O29" s="61">
        <v>0.13</v>
      </c>
      <c r="P29" s="61">
        <v>-0.1</v>
      </c>
      <c r="Q29" s="61">
        <v>-0.28000000000000003</v>
      </c>
      <c r="R29" s="62">
        <v>-0.11</v>
      </c>
      <c r="S29" s="13">
        <f t="shared" si="15"/>
        <v>6.4969230769230765E-2</v>
      </c>
      <c r="T29" s="4">
        <f t="shared" ca="1" si="1"/>
        <v>0</v>
      </c>
      <c r="U29" s="4">
        <f t="shared" ca="1" si="2"/>
        <v>343</v>
      </c>
      <c r="V29" s="4">
        <f t="shared" ca="1" si="3"/>
        <v>17</v>
      </c>
      <c r="W29" s="13">
        <f t="shared" ca="1" si="4"/>
        <v>4.1896111111111106E-2</v>
      </c>
      <c r="X29" s="5">
        <f t="shared" ca="1" si="5"/>
        <v>-0.35513918488699459</v>
      </c>
      <c r="Y29" s="15">
        <f t="shared" si="16"/>
        <v>0.61079545454545436</v>
      </c>
      <c r="Z29" s="15">
        <f t="shared" si="6"/>
        <v>-0.80112994350282485</v>
      </c>
      <c r="AA29" s="15">
        <f t="shared" si="6"/>
        <v>-0.57553956834532372</v>
      </c>
      <c r="AB29" s="15">
        <f t="shared" si="6"/>
        <v>46.931034482758619</v>
      </c>
      <c r="AC29" s="15">
        <f t="shared" si="7"/>
        <v>-0.93785714285714283</v>
      </c>
      <c r="AD29" s="15">
        <f t="shared" si="8"/>
        <v>-6.6666666666666541E-2</v>
      </c>
      <c r="AE29" s="15">
        <f t="shared" si="9"/>
        <v>-6.25E-2</v>
      </c>
      <c r="AF29" s="15">
        <f t="shared" si="10"/>
        <v>1.666666666666667</v>
      </c>
      <c r="AG29" s="15">
        <f t="shared" si="11"/>
        <v>-0.53846153846153855</v>
      </c>
      <c r="AH29" s="15">
        <f t="shared" si="12"/>
        <v>2.2999999999999998</v>
      </c>
      <c r="AI29" s="15">
        <f t="shared" si="13"/>
        <v>0.64285714285714279</v>
      </c>
      <c r="AJ29" s="15">
        <f t="shared" si="14"/>
        <v>-1.5454545454545459</v>
      </c>
      <c r="AK29" s="5">
        <f t="shared" si="17"/>
        <v>-1.5454545454545459</v>
      </c>
    </row>
    <row r="30" spans="1:37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67">
        <v>2.06</v>
      </c>
      <c r="G30" s="79">
        <v>1.89</v>
      </c>
      <c r="H30" s="79">
        <v>1.76</v>
      </c>
      <c r="I30" s="61">
        <v>1.79</v>
      </c>
      <c r="J30" s="61">
        <v>1.66</v>
      </c>
      <c r="K30" s="61">
        <v>1.54</v>
      </c>
      <c r="L30" s="61">
        <v>1.46</v>
      </c>
      <c r="M30" s="61">
        <v>1.46</v>
      </c>
      <c r="N30" s="61">
        <v>1.17</v>
      </c>
      <c r="O30" s="61">
        <v>1.73</v>
      </c>
      <c r="P30" s="61">
        <v>1.31</v>
      </c>
      <c r="Q30" s="61">
        <v>1.6</v>
      </c>
      <c r="R30" s="62">
        <v>1.25</v>
      </c>
      <c r="S30" s="13">
        <f t="shared" si="15"/>
        <v>1.5907692307692307</v>
      </c>
      <c r="T30" s="4">
        <f t="shared" ca="1" si="1"/>
        <v>0</v>
      </c>
      <c r="U30" s="4">
        <f t="shared" ca="1" si="2"/>
        <v>73</v>
      </c>
      <c r="V30" s="4">
        <f t="shared" ca="1" si="3"/>
        <v>287</v>
      </c>
      <c r="W30" s="13">
        <f t="shared" ca="1" si="4"/>
        <v>1.7863611111111108</v>
      </c>
      <c r="X30" s="5">
        <f t="shared" ca="1" si="5"/>
        <v>0.12295427681065974</v>
      </c>
      <c r="Y30" s="15">
        <f t="shared" si="16"/>
        <v>8.9947089947089998E-2</v>
      </c>
      <c r="Z30" s="15">
        <f t="shared" si="6"/>
        <v>7.3863636363636243E-2</v>
      </c>
      <c r="AA30" s="15">
        <f t="shared" si="6"/>
        <v>-1.6759776536312887E-2</v>
      </c>
      <c r="AB30" s="15">
        <f t="shared" si="6"/>
        <v>7.8313253012048278E-2</v>
      </c>
      <c r="AC30" s="15">
        <f t="shared" si="7"/>
        <v>7.7922077922077948E-2</v>
      </c>
      <c r="AD30" s="15">
        <f t="shared" si="8"/>
        <v>5.4794520547945202E-2</v>
      </c>
      <c r="AE30" s="15">
        <f t="shared" si="9"/>
        <v>0</v>
      </c>
      <c r="AF30" s="15">
        <f t="shared" si="10"/>
        <v>0.24786324786324787</v>
      </c>
      <c r="AG30" s="15">
        <f t="shared" si="11"/>
        <v>-0.32369942196531798</v>
      </c>
      <c r="AH30" s="15">
        <f t="shared" si="12"/>
        <v>0.32061068702290063</v>
      </c>
      <c r="AI30" s="15">
        <f t="shared" si="13"/>
        <v>-0.18125000000000002</v>
      </c>
      <c r="AJ30" s="15">
        <f t="shared" si="14"/>
        <v>0.28000000000000003</v>
      </c>
      <c r="AK30" s="5">
        <f t="shared" si="17"/>
        <v>-0.32369942196531798</v>
      </c>
    </row>
    <row r="31" spans="1:37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67">
        <v>2.7</v>
      </c>
      <c r="G31" s="79">
        <v>2.61</v>
      </c>
      <c r="H31" s="79">
        <v>2.54</v>
      </c>
      <c r="I31" s="63">
        <v>2.17</v>
      </c>
      <c r="J31" s="63">
        <v>2.46</v>
      </c>
      <c r="K31" s="63">
        <v>2.4500000000000002</v>
      </c>
      <c r="L31" s="63">
        <v>1.97</v>
      </c>
      <c r="M31" s="63">
        <v>3.22</v>
      </c>
      <c r="N31" s="61">
        <v>2.12</v>
      </c>
      <c r="O31" s="61">
        <v>2.16</v>
      </c>
      <c r="P31" s="61">
        <v>1.94</v>
      </c>
      <c r="Q31" s="61">
        <v>1.89</v>
      </c>
      <c r="R31" s="62">
        <v>1.42</v>
      </c>
      <c r="S31" s="13">
        <f t="shared" si="15"/>
        <v>2.2807692307692307</v>
      </c>
      <c r="T31" s="4">
        <f t="shared" ca="1" si="1"/>
        <v>0</v>
      </c>
      <c r="U31" s="4">
        <f t="shared" ca="1" si="2"/>
        <v>73</v>
      </c>
      <c r="V31" s="4">
        <f t="shared" ca="1" si="3"/>
        <v>287</v>
      </c>
      <c r="W31" s="13">
        <f t="shared" ca="1" si="4"/>
        <v>2.5541944444444447</v>
      </c>
      <c r="X31" s="5">
        <f t="shared" ca="1" si="5"/>
        <v>0.11988289301105515</v>
      </c>
      <c r="Y31" s="15">
        <f t="shared" si="16"/>
        <v>3.4482758620689724E-2</v>
      </c>
      <c r="Z31" s="15">
        <f t="shared" si="6"/>
        <v>2.7559055118110187E-2</v>
      </c>
      <c r="AA31" s="15">
        <f t="shared" si="6"/>
        <v>0.17050691244239635</v>
      </c>
      <c r="AB31" s="15">
        <f t="shared" si="6"/>
        <v>-0.11788617886178865</v>
      </c>
      <c r="AC31" s="15">
        <f t="shared" si="7"/>
        <v>4.0816326530610514E-3</v>
      </c>
      <c r="AD31" s="15">
        <f t="shared" si="8"/>
        <v>0.24365482233502544</v>
      </c>
      <c r="AE31" s="15">
        <f t="shared" si="9"/>
        <v>-0.38819875776397517</v>
      </c>
      <c r="AF31" s="15">
        <f t="shared" si="10"/>
        <v>0.51886792452830188</v>
      </c>
      <c r="AG31" s="15">
        <f t="shared" si="11"/>
        <v>-1.851851851851849E-2</v>
      </c>
      <c r="AH31" s="15">
        <f t="shared" si="12"/>
        <v>0.11340206185567014</v>
      </c>
      <c r="AI31" s="15">
        <f t="shared" si="13"/>
        <v>2.6455026455026509E-2</v>
      </c>
      <c r="AJ31" s="15">
        <f t="shared" si="14"/>
        <v>0.33098591549295775</v>
      </c>
      <c r="AK31" s="5">
        <f t="shared" si="17"/>
        <v>-0.38819875776397517</v>
      </c>
    </row>
    <row r="32" spans="1:37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67">
        <v>9</v>
      </c>
      <c r="G32" s="79">
        <v>6.64</v>
      </c>
      <c r="H32" s="79">
        <v>3.69</v>
      </c>
      <c r="I32" s="61">
        <v>10.14</v>
      </c>
      <c r="J32" s="61">
        <v>11.09</v>
      </c>
      <c r="K32" s="61">
        <v>13.32</v>
      </c>
      <c r="L32" s="61">
        <v>13.44</v>
      </c>
      <c r="M32" s="61">
        <v>9.48</v>
      </c>
      <c r="N32" s="61">
        <v>5.24</v>
      </c>
      <c r="O32" s="61">
        <v>11.67</v>
      </c>
      <c r="P32" s="61">
        <v>8.77</v>
      </c>
      <c r="Q32" s="61">
        <v>7.8</v>
      </c>
      <c r="R32" s="62">
        <v>6.54</v>
      </c>
      <c r="S32" s="13">
        <f t="shared" si="15"/>
        <v>8.9861538461538473</v>
      </c>
      <c r="T32" s="4">
        <f t="shared" ca="1" si="1"/>
        <v>0</v>
      </c>
      <c r="U32" s="4">
        <f t="shared" ca="1" si="2"/>
        <v>73</v>
      </c>
      <c r="V32" s="4">
        <f t="shared" ca="1" si="3"/>
        <v>287</v>
      </c>
      <c r="W32" s="13">
        <f t="shared" ca="1" si="4"/>
        <v>4.2881944444444446</v>
      </c>
      <c r="X32" s="5">
        <f t="shared" ca="1" si="5"/>
        <v>-0.52279979645798857</v>
      </c>
      <c r="Y32" s="15">
        <f t="shared" si="16"/>
        <v>0.35542168674698793</v>
      </c>
      <c r="Z32" s="15">
        <f t="shared" si="6"/>
        <v>0.79945799457994582</v>
      </c>
      <c r="AA32" s="15">
        <f t="shared" si="6"/>
        <v>-0.63609467455621305</v>
      </c>
      <c r="AB32" s="15">
        <f t="shared" si="6"/>
        <v>-8.5662759242560838E-2</v>
      </c>
      <c r="AC32" s="15">
        <f t="shared" si="7"/>
        <v>-0.16741741741741745</v>
      </c>
      <c r="AD32" s="15">
        <f t="shared" si="8"/>
        <v>-8.9285714285713969E-3</v>
      </c>
      <c r="AE32" s="15">
        <f t="shared" si="9"/>
        <v>0.41772151898734156</v>
      </c>
      <c r="AF32" s="15">
        <f t="shared" si="10"/>
        <v>0.80916030534351147</v>
      </c>
      <c r="AG32" s="15">
        <f t="shared" si="11"/>
        <v>-0.55098543273350464</v>
      </c>
      <c r="AH32" s="15">
        <f t="shared" si="12"/>
        <v>0.33067274800456103</v>
      </c>
      <c r="AI32" s="15">
        <f t="shared" si="13"/>
        <v>0.12435897435897436</v>
      </c>
      <c r="AJ32" s="15">
        <f t="shared" si="14"/>
        <v>0.19266055045871555</v>
      </c>
      <c r="AK32" s="5">
        <f t="shared" si="17"/>
        <v>-0.63609467455621305</v>
      </c>
    </row>
    <row r="33" spans="1:37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67">
        <v>2.33</v>
      </c>
      <c r="G33" s="79">
        <v>2.14</v>
      </c>
      <c r="H33" s="79">
        <v>1.98</v>
      </c>
      <c r="I33" s="61">
        <v>1.6</v>
      </c>
      <c r="J33" s="61">
        <v>1.9</v>
      </c>
      <c r="K33" s="61">
        <v>1.97</v>
      </c>
      <c r="L33" s="61">
        <v>1.85</v>
      </c>
      <c r="M33" s="63">
        <v>1.61</v>
      </c>
      <c r="N33" s="61">
        <v>1.47</v>
      </c>
      <c r="O33" s="63">
        <v>1.51</v>
      </c>
      <c r="P33" s="61">
        <v>1.29</v>
      </c>
      <c r="Q33" s="61">
        <v>1.08</v>
      </c>
      <c r="R33" s="62">
        <v>1.02</v>
      </c>
      <c r="S33" s="13">
        <f t="shared" si="15"/>
        <v>1.6730769230769234</v>
      </c>
      <c r="T33" s="4">
        <f t="shared" ca="1" si="1"/>
        <v>0</v>
      </c>
      <c r="U33" s="4">
        <f t="shared" ca="1" si="2"/>
        <v>73</v>
      </c>
      <c r="V33" s="4">
        <f t="shared" ca="1" si="3"/>
        <v>287</v>
      </c>
      <c r="W33" s="13">
        <f t="shared" ca="1" si="4"/>
        <v>2.0124444444444443</v>
      </c>
      <c r="X33" s="5">
        <f t="shared" ca="1" si="5"/>
        <v>0.20284035759897789</v>
      </c>
      <c r="Y33" s="15">
        <f t="shared" si="16"/>
        <v>8.8785046728971917E-2</v>
      </c>
      <c r="Z33" s="15">
        <f t="shared" si="6"/>
        <v>8.0808080808080884E-2</v>
      </c>
      <c r="AA33" s="15">
        <f t="shared" si="6"/>
        <v>0.23749999999999982</v>
      </c>
      <c r="AB33" s="15">
        <f t="shared" si="6"/>
        <v>-0.1578947368421052</v>
      </c>
      <c r="AC33" s="15">
        <f t="shared" si="7"/>
        <v>-3.5532994923857864E-2</v>
      </c>
      <c r="AD33" s="15">
        <f t="shared" si="8"/>
        <v>6.4864864864864868E-2</v>
      </c>
      <c r="AE33" s="15">
        <f t="shared" si="9"/>
        <v>0.14906832298136652</v>
      </c>
      <c r="AF33" s="15">
        <f t="shared" si="10"/>
        <v>9.5238095238095344E-2</v>
      </c>
      <c r="AG33" s="15">
        <f t="shared" si="11"/>
        <v>-2.6490066225165587E-2</v>
      </c>
      <c r="AH33" s="15">
        <f t="shared" si="12"/>
        <v>0.17054263565891481</v>
      </c>
      <c r="AI33" s="15">
        <f t="shared" si="13"/>
        <v>0.19444444444444442</v>
      </c>
      <c r="AJ33" s="15">
        <f t="shared" si="14"/>
        <v>5.8823529411764719E-2</v>
      </c>
      <c r="AK33" s="5">
        <f t="shared" si="17"/>
        <v>-0.1578947368421052</v>
      </c>
    </row>
    <row r="34" spans="1:37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67">
        <v>3.59</v>
      </c>
      <c r="G34" s="79">
        <v>3.21</v>
      </c>
      <c r="H34" s="79">
        <v>2.91</v>
      </c>
      <c r="I34" s="61">
        <v>2.36</v>
      </c>
      <c r="J34" s="61">
        <v>2.38</v>
      </c>
      <c r="K34" s="61">
        <v>2.58</v>
      </c>
      <c r="L34" s="61">
        <v>2.4700000000000002</v>
      </c>
      <c r="M34" s="61">
        <v>2.15</v>
      </c>
      <c r="N34" s="61">
        <v>2.19</v>
      </c>
      <c r="O34" s="61">
        <v>1.83</v>
      </c>
      <c r="P34" s="61">
        <v>1.6</v>
      </c>
      <c r="Q34" s="61">
        <v>1.23</v>
      </c>
      <c r="R34" s="62">
        <v>1.22</v>
      </c>
      <c r="S34" s="13">
        <f t="shared" si="15"/>
        <v>2.2861538461538462</v>
      </c>
      <c r="T34" s="4">
        <f t="shared" ca="1" si="1"/>
        <v>0</v>
      </c>
      <c r="U34" s="4">
        <f t="shared" ca="1" si="2"/>
        <v>73</v>
      </c>
      <c r="V34" s="4">
        <f t="shared" ca="1" si="3"/>
        <v>287</v>
      </c>
      <c r="W34" s="13">
        <f t="shared" ca="1" si="4"/>
        <v>2.9708333333333332</v>
      </c>
      <c r="X34" s="5">
        <f t="shared" ca="1" si="5"/>
        <v>0.29948968147151178</v>
      </c>
      <c r="Y34" s="15">
        <f t="shared" si="16"/>
        <v>0.11838006230529596</v>
      </c>
      <c r="Z34" s="15">
        <f t="shared" si="6"/>
        <v>0.10309278350515449</v>
      </c>
      <c r="AA34" s="15">
        <f t="shared" si="6"/>
        <v>0.23305084745762716</v>
      </c>
      <c r="AB34" s="15">
        <f t="shared" si="6"/>
        <v>-8.4033613445377853E-3</v>
      </c>
      <c r="AC34" s="15">
        <f t="shared" si="7"/>
        <v>-7.7519379844961267E-2</v>
      </c>
      <c r="AD34" s="15">
        <f t="shared" si="8"/>
        <v>4.4534412955465452E-2</v>
      </c>
      <c r="AE34" s="15">
        <f t="shared" si="9"/>
        <v>0.1488372093023258</v>
      </c>
      <c r="AF34" s="15">
        <f t="shared" si="10"/>
        <v>-1.8264840182648401E-2</v>
      </c>
      <c r="AG34" s="15">
        <f t="shared" si="11"/>
        <v>0.19672131147540983</v>
      </c>
      <c r="AH34" s="15">
        <f t="shared" si="12"/>
        <v>0.14375000000000004</v>
      </c>
      <c r="AI34" s="15">
        <f t="shared" si="13"/>
        <v>0.30081300813008149</v>
      </c>
      <c r="AJ34" s="15">
        <f t="shared" si="14"/>
        <v>8.1967213114753079E-3</v>
      </c>
      <c r="AK34" s="5">
        <f t="shared" si="17"/>
        <v>-7.7519379844961267E-2</v>
      </c>
    </row>
    <row r="35" spans="1:37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67">
        <v>4.22</v>
      </c>
      <c r="G35" s="79">
        <v>3.64</v>
      </c>
      <c r="H35" s="79">
        <v>2.96</v>
      </c>
      <c r="I35" s="61">
        <v>2.87</v>
      </c>
      <c r="J35" s="61">
        <v>3.68</v>
      </c>
      <c r="K35" s="61">
        <v>0.7</v>
      </c>
      <c r="L35" s="61">
        <v>2.0499999999999998</v>
      </c>
      <c r="M35" s="61">
        <v>1.72</v>
      </c>
      <c r="N35" s="61">
        <v>0.32</v>
      </c>
      <c r="O35" s="61">
        <v>0.62</v>
      </c>
      <c r="P35" s="61">
        <v>2.99</v>
      </c>
      <c r="Q35" s="61">
        <v>3.82</v>
      </c>
      <c r="R35" s="62">
        <v>4.62</v>
      </c>
      <c r="S35" s="13">
        <f t="shared" si="15"/>
        <v>2.6315384615384616</v>
      </c>
      <c r="T35" s="4">
        <f t="shared" ca="1" si="1"/>
        <v>0</v>
      </c>
      <c r="U35" s="4">
        <f t="shared" ca="1" si="2"/>
        <v>73</v>
      </c>
      <c r="V35" s="4">
        <f t="shared" ca="1" si="3"/>
        <v>287</v>
      </c>
      <c r="W35" s="13">
        <f t="shared" ca="1" si="4"/>
        <v>3.0978888888888889</v>
      </c>
      <c r="X35" s="5">
        <f t="shared" ca="1" si="5"/>
        <v>0.17721588879145145</v>
      </c>
      <c r="Y35" s="15">
        <f t="shared" si="16"/>
        <v>0.15934065934065922</v>
      </c>
      <c r="Z35" s="15">
        <f t="shared" si="6"/>
        <v>0.22972972972972983</v>
      </c>
      <c r="AA35" s="15">
        <f t="shared" si="6"/>
        <v>3.1358885017421567E-2</v>
      </c>
      <c r="AB35" s="15">
        <f t="shared" si="6"/>
        <v>-0.22010869565217395</v>
      </c>
      <c r="AC35" s="15">
        <f t="shared" si="7"/>
        <v>4.257142857142858</v>
      </c>
      <c r="AD35" s="15">
        <f t="shared" si="8"/>
        <v>-0.65853658536585358</v>
      </c>
      <c r="AE35" s="15">
        <f t="shared" si="9"/>
        <v>0.19186046511627897</v>
      </c>
      <c r="AF35" s="15">
        <f t="shared" si="10"/>
        <v>4.375</v>
      </c>
      <c r="AG35" s="15">
        <f t="shared" si="11"/>
        <v>-0.4838709677419355</v>
      </c>
      <c r="AH35" s="15">
        <f t="shared" si="12"/>
        <v>-0.79264214046822745</v>
      </c>
      <c r="AI35" s="15">
        <f t="shared" si="13"/>
        <v>-0.21727748691099469</v>
      </c>
      <c r="AJ35" s="15">
        <f t="shared" si="14"/>
        <v>-0.17316017316017318</v>
      </c>
      <c r="AK35" s="5">
        <f t="shared" si="17"/>
        <v>-0.79264214046822745</v>
      </c>
    </row>
    <row r="36" spans="1:37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67">
        <v>6.59</v>
      </c>
      <c r="G36" s="79">
        <v>5.47</v>
      </c>
      <c r="H36" s="79">
        <v>3.75</v>
      </c>
      <c r="I36" s="61">
        <v>7.6</v>
      </c>
      <c r="J36" s="61">
        <v>7.37</v>
      </c>
      <c r="K36" s="61">
        <v>9.6999999999999993</v>
      </c>
      <c r="L36" s="61">
        <v>8.42</v>
      </c>
      <c r="M36" s="61">
        <v>6.22</v>
      </c>
      <c r="N36" s="61">
        <v>3.98</v>
      </c>
      <c r="O36" s="61">
        <v>8.69</v>
      </c>
      <c r="P36" s="61">
        <v>7.28</v>
      </c>
      <c r="Q36" s="61">
        <v>6.62</v>
      </c>
      <c r="R36" s="62">
        <v>5.71</v>
      </c>
      <c r="S36" s="13">
        <f t="shared" si="15"/>
        <v>6.7230769230769223</v>
      </c>
      <c r="T36" s="4">
        <f t="shared" ref="T36:T67" ca="1" si="18">IF(DAYS360(TODAY(),DATE(E36+2,D36,C36))&gt;=720,0,360-U36)</f>
        <v>0</v>
      </c>
      <c r="U36" s="4">
        <f t="shared" ref="U36:U67" ca="1" si="19">IF(DAYS360(TODAY(),DATE(E36+1,D36,C36))&lt;=360,DAYS360(TODAY(),DATE(E36+1,D36,C36)),360-V36)</f>
        <v>73</v>
      </c>
      <c r="V36" s="4">
        <f t="shared" ref="V36:V68" ca="1" si="20">IF(DATE(E36,D36,C36)&lt;=TODAY(),0,DAYS360(TODAY(),DATE(E36,D36,C36)))</f>
        <v>287</v>
      </c>
      <c r="W36" s="13">
        <f t="shared" ref="W36:W67" ca="1" si="21">(F36/360*T36)+(G36/360*U36)+(H36/360*V36)</f>
        <v>4.0987777777777774</v>
      </c>
      <c r="X36" s="5">
        <f t="shared" ref="X36:X67" ca="1" si="22">IF(W36&lt;0,IF(W36&lt;0,((W36/S36)-1)*-1,(W36/S36)-1),IF(S36&lt;0,ABS((W36/S36)-1),(W36/S36)-1))</f>
        <v>-0.39034197813374016</v>
      </c>
      <c r="Y36" s="15">
        <f t="shared" si="16"/>
        <v>0.20475319926873858</v>
      </c>
      <c r="Z36" s="15">
        <f t="shared" ref="Z36:AB68" si="23">IF(H36&lt;&gt;"",IF(G36&lt;0,IF(H36&lt;0,((G36/H36)-1)*-1,(G36/H36)-1),IF(H36&lt;0,ABS((G36/H36)-1),(G36/H36)-1)),99.99999)</f>
        <v>0.45866666666666656</v>
      </c>
      <c r="AA36" s="15">
        <f t="shared" si="23"/>
        <v>-0.50657894736842102</v>
      </c>
      <c r="AB36" s="15">
        <f t="shared" si="23"/>
        <v>3.1207598371777445E-2</v>
      </c>
      <c r="AC36" s="15">
        <f t="shared" ref="AC36:AC68" si="24">IF(K36&lt;&gt;"",IF(J36&lt;0,IF(K36&lt;0,((J36/K36)-1)*-1,(J36/K36)-1),IF(K36&lt;0,ABS((J36/K36)-1),(J36/K36)-1)),99.99999)</f>
        <v>-0.24020618556701023</v>
      </c>
      <c r="AD36" s="15">
        <f t="shared" ref="AD36:AD68" si="25">IF(L36&lt;&gt;"",IF(K36&lt;0,IF(L36&lt;0,((K36/L36)-1)*-1,(K36/L36)-1),IF(L36&lt;0,ABS((K36/L36)-1),(K36/L36)-1)),99.99999)</f>
        <v>0.15201900237529675</v>
      </c>
      <c r="AE36" s="15">
        <f t="shared" ref="AE36:AE68" si="26">IF(M36&lt;&gt;"",IF(L36&lt;0,IF(M36&lt;0,((L36/M36)-1)*-1,(L36/M36)-1),IF(M36&lt;0,ABS((L36/M36)-1),(L36/M36)-1)),99.99999)</f>
        <v>0.3536977491961415</v>
      </c>
      <c r="AF36" s="15">
        <f t="shared" ref="AF36:AF68" si="27">IF(N36&lt;&gt;"",IF(M36&lt;0,IF(N36&lt;0,((M36/N36)-1)*-1,(M36/N36)-1),IF(N36&lt;0,ABS((M36/N36)-1),(M36/N36)-1)),99.99999)</f>
        <v>0.56281407035175879</v>
      </c>
      <c r="AG36" s="15">
        <f t="shared" ref="AG36:AG68" si="28">IF(O36&lt;&gt;"",IF(N36&lt;0,IF(O36&lt;0,((N36/O36)-1)*-1,(N36/O36)-1),IF(O36&lt;0,ABS((N36/O36)-1),(N36/O36)-1)),99.99999)</f>
        <v>-0.54200230149597228</v>
      </c>
      <c r="AH36" s="15">
        <f t="shared" ref="AH36:AH68" si="29">IF(P36&lt;&gt;"",IF(O36&lt;0,IF(P36&lt;0,((O36/P36)-1)*-1,(O36/P36)-1),IF(P36&lt;0,ABS((O36/P36)-1),(O36/P36)-1)),99.99999)</f>
        <v>0.19368131868131866</v>
      </c>
      <c r="AI36" s="15">
        <f t="shared" ref="AI36:AI68" si="30">IF(Q36&lt;&gt;"",IF(P36&lt;0,IF(Q36&lt;0,((P36/Q36)-1)*-1,(P36/Q36)-1),IF(Q36&lt;0,ABS((P36/Q36)-1),(P36/Q36)-1)),99.99999)</f>
        <v>9.9697885196374569E-2</v>
      </c>
      <c r="AJ36" s="15">
        <f t="shared" ref="AJ36:AJ68" si="31">IF(R36&lt;&gt;"",IF(Q36&lt;0,IF(R36&lt;0,((Q36/R36)-1)*-1,(Q36/R36)-1),IF(R36&lt;0,ABS((Q36/R36)-1),(Q36/R36)-1)),99.99999)</f>
        <v>0.15936952714535901</v>
      </c>
      <c r="AK36" s="5">
        <f t="shared" si="17"/>
        <v>-0.54200230149597228</v>
      </c>
    </row>
    <row r="37" spans="1:37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67">
        <v>1.81</v>
      </c>
      <c r="G37" s="79">
        <v>1.7</v>
      </c>
      <c r="H37" s="79">
        <v>1.6</v>
      </c>
      <c r="I37" s="61">
        <v>1.5</v>
      </c>
      <c r="J37" s="61">
        <v>1.27</v>
      </c>
      <c r="K37" s="61">
        <v>1.29</v>
      </c>
      <c r="L37" s="61">
        <v>1.23</v>
      </c>
      <c r="M37" s="61">
        <v>1.06</v>
      </c>
      <c r="N37" s="61">
        <v>1.01</v>
      </c>
      <c r="O37" s="61">
        <v>1.72</v>
      </c>
      <c r="P37" s="61">
        <v>2.17</v>
      </c>
      <c r="Q37" s="61">
        <v>2</v>
      </c>
      <c r="R37" s="62">
        <v>1.54</v>
      </c>
      <c r="S37" s="13">
        <f t="shared" si="15"/>
        <v>1.5307692307692307</v>
      </c>
      <c r="T37" s="4">
        <f t="shared" ca="1" si="18"/>
        <v>0</v>
      </c>
      <c r="U37" s="4">
        <f t="shared" ca="1" si="19"/>
        <v>73</v>
      </c>
      <c r="V37" s="4">
        <f t="shared" ca="1" si="20"/>
        <v>287</v>
      </c>
      <c r="W37" s="13">
        <f t="shared" ca="1" si="21"/>
        <v>1.6202777777777777</v>
      </c>
      <c r="X37" s="5">
        <f t="shared" ca="1" si="22"/>
        <v>5.8472920156337205E-2</v>
      </c>
      <c r="Y37" s="15">
        <f t="shared" si="16"/>
        <v>6.4705882352941169E-2</v>
      </c>
      <c r="Z37" s="15">
        <f t="shared" si="23"/>
        <v>6.25E-2</v>
      </c>
      <c r="AA37" s="15">
        <f t="shared" si="23"/>
        <v>6.6666666666666652E-2</v>
      </c>
      <c r="AB37" s="15">
        <f t="shared" si="23"/>
        <v>0.18110236220472431</v>
      </c>
      <c r="AC37" s="15">
        <f t="shared" si="24"/>
        <v>-1.5503875968992276E-2</v>
      </c>
      <c r="AD37" s="15">
        <f t="shared" si="25"/>
        <v>4.8780487804878092E-2</v>
      </c>
      <c r="AE37" s="15">
        <f t="shared" si="26"/>
        <v>0.16037735849056589</v>
      </c>
      <c r="AF37" s="15">
        <f t="shared" si="27"/>
        <v>4.9504950495049549E-2</v>
      </c>
      <c r="AG37" s="15">
        <f t="shared" si="28"/>
        <v>-0.41279069767441856</v>
      </c>
      <c r="AH37" s="15">
        <f t="shared" si="29"/>
        <v>-0.20737327188940091</v>
      </c>
      <c r="AI37" s="15">
        <f t="shared" si="30"/>
        <v>8.4999999999999964E-2</v>
      </c>
      <c r="AJ37" s="15">
        <f t="shared" si="31"/>
        <v>0.29870129870129869</v>
      </c>
      <c r="AK37" s="5">
        <f t="shared" si="17"/>
        <v>-0.41279069767441856</v>
      </c>
    </row>
    <row r="38" spans="1:37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67">
        <v>20.6</v>
      </c>
      <c r="G38" s="79">
        <v>18.7</v>
      </c>
      <c r="H38" s="79">
        <v>17.3</v>
      </c>
      <c r="I38" s="61">
        <v>17.07</v>
      </c>
      <c r="J38" s="61">
        <v>15.46</v>
      </c>
      <c r="K38" s="61">
        <v>14.13</v>
      </c>
      <c r="L38" s="61">
        <v>4.51</v>
      </c>
      <c r="M38" s="61">
        <v>13.18</v>
      </c>
      <c r="N38" s="61">
        <v>22.13</v>
      </c>
      <c r="O38" s="61">
        <v>4.47</v>
      </c>
      <c r="P38" s="61">
        <v>24.73</v>
      </c>
      <c r="Q38" s="61">
        <v>19.690000000000001</v>
      </c>
      <c r="R38" s="62">
        <v>11.21</v>
      </c>
      <c r="S38" s="13">
        <f t="shared" si="15"/>
        <v>15.629230769230768</v>
      </c>
      <c r="T38" s="4">
        <f t="shared" ca="1" si="18"/>
        <v>0</v>
      </c>
      <c r="U38" s="4">
        <f t="shared" ca="1" si="19"/>
        <v>73</v>
      </c>
      <c r="V38" s="4">
        <f t="shared" ca="1" si="20"/>
        <v>287</v>
      </c>
      <c r="W38" s="13">
        <f t="shared" ca="1" si="21"/>
        <v>17.58388888888889</v>
      </c>
      <c r="X38" s="5">
        <f t="shared" ca="1" si="22"/>
        <v>0.12506425610569738</v>
      </c>
      <c r="Y38" s="15">
        <f t="shared" si="16"/>
        <v>0.10160427807486649</v>
      </c>
      <c r="Z38" s="15">
        <f t="shared" si="23"/>
        <v>8.0924855491329328E-2</v>
      </c>
      <c r="AA38" s="15">
        <f t="shared" si="23"/>
        <v>1.3473930872876405E-2</v>
      </c>
      <c r="AB38" s="15">
        <f t="shared" si="23"/>
        <v>0.10413971539456668</v>
      </c>
      <c r="AC38" s="15">
        <f t="shared" si="24"/>
        <v>9.412597310686488E-2</v>
      </c>
      <c r="AD38" s="15">
        <f t="shared" si="25"/>
        <v>2.133037694013304</v>
      </c>
      <c r="AE38" s="15">
        <f t="shared" si="26"/>
        <v>-0.657814871016692</v>
      </c>
      <c r="AF38" s="15">
        <f t="shared" si="27"/>
        <v>-0.4044283777677361</v>
      </c>
      <c r="AG38" s="15">
        <f t="shared" si="28"/>
        <v>3.9507829977628637</v>
      </c>
      <c r="AH38" s="15">
        <f t="shared" si="29"/>
        <v>-0.81924787707238167</v>
      </c>
      <c r="AI38" s="15">
        <f t="shared" si="30"/>
        <v>0.25596749619095971</v>
      </c>
      <c r="AJ38" s="15">
        <f t="shared" si="31"/>
        <v>0.75646743978590547</v>
      </c>
      <c r="AK38" s="5">
        <f t="shared" si="17"/>
        <v>-0.81924787707238167</v>
      </c>
    </row>
    <row r="39" spans="1:37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67">
        <v>17.7</v>
      </c>
      <c r="G39" s="79">
        <v>15.6</v>
      </c>
      <c r="H39" s="79">
        <v>14.9</v>
      </c>
      <c r="I39" s="63">
        <v>15.59</v>
      </c>
      <c r="J39" s="61">
        <v>14.94</v>
      </c>
      <c r="K39" s="61">
        <v>14.37</v>
      </c>
      <c r="L39" s="61">
        <v>13.06</v>
      </c>
      <c r="M39" s="61">
        <v>11.52</v>
      </c>
      <c r="N39" s="61">
        <v>10.01</v>
      </c>
      <c r="O39" s="61">
        <v>8.93</v>
      </c>
      <c r="P39" s="61">
        <v>7.18</v>
      </c>
      <c r="Q39" s="61">
        <v>6.11</v>
      </c>
      <c r="R39" s="62">
        <v>4.88</v>
      </c>
      <c r="S39" s="13">
        <f t="shared" si="15"/>
        <v>11.906923076923078</v>
      </c>
      <c r="T39" s="4">
        <f t="shared" ca="1" si="18"/>
        <v>0</v>
      </c>
      <c r="U39" s="4">
        <f t="shared" ca="1" si="19"/>
        <v>73</v>
      </c>
      <c r="V39" s="4">
        <f t="shared" ca="1" si="20"/>
        <v>287</v>
      </c>
      <c r="W39" s="13">
        <f t="shared" ca="1" si="21"/>
        <v>15.041944444444447</v>
      </c>
      <c r="X39" s="5">
        <f t="shared" ca="1" si="22"/>
        <v>0.26329399688466815</v>
      </c>
      <c r="Y39" s="15">
        <f t="shared" si="16"/>
        <v>0.13461538461538458</v>
      </c>
      <c r="Z39" s="15">
        <f t="shared" si="23"/>
        <v>4.6979865771812124E-2</v>
      </c>
      <c r="AA39" s="15">
        <f t="shared" si="23"/>
        <v>-4.4259140474663172E-2</v>
      </c>
      <c r="AB39" s="15">
        <f t="shared" si="23"/>
        <v>4.3507362784471315E-2</v>
      </c>
      <c r="AC39" s="15">
        <f t="shared" si="24"/>
        <v>3.9665970772442716E-2</v>
      </c>
      <c r="AD39" s="15">
        <f t="shared" si="25"/>
        <v>0.10030627871362929</v>
      </c>
      <c r="AE39" s="15">
        <f t="shared" si="26"/>
        <v>0.13368055555555558</v>
      </c>
      <c r="AF39" s="15">
        <f t="shared" si="27"/>
        <v>0.15084915084915074</v>
      </c>
      <c r="AG39" s="15">
        <f t="shared" si="28"/>
        <v>0.12094064949608074</v>
      </c>
      <c r="AH39" s="15">
        <f t="shared" si="29"/>
        <v>0.24373259052924801</v>
      </c>
      <c r="AI39" s="15">
        <f t="shared" si="30"/>
        <v>0.17512274959083451</v>
      </c>
      <c r="AJ39" s="15">
        <f t="shared" si="31"/>
        <v>0.25204918032786905</v>
      </c>
      <c r="AK39" s="5">
        <f t="shared" si="17"/>
        <v>-4.4259140474663172E-2</v>
      </c>
    </row>
    <row r="40" spans="1:37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67">
        <v>7.24</v>
      </c>
      <c r="G40" s="79">
        <v>6.48</v>
      </c>
      <c r="H40" s="79">
        <v>5.76</v>
      </c>
      <c r="I40" s="61">
        <v>5.29</v>
      </c>
      <c r="J40" s="61">
        <v>4.3499999999999996</v>
      </c>
      <c r="K40" s="61">
        <v>5.2</v>
      </c>
      <c r="L40" s="61">
        <v>4.4800000000000004</v>
      </c>
      <c r="M40" s="61">
        <v>3.96</v>
      </c>
      <c r="N40" s="61">
        <v>2.2599999999999998</v>
      </c>
      <c r="O40" s="61">
        <v>1.37</v>
      </c>
      <c r="P40" s="61">
        <v>4.38</v>
      </c>
      <c r="Q40" s="61">
        <v>4.04</v>
      </c>
      <c r="R40" s="62">
        <v>2.38</v>
      </c>
      <c r="S40" s="13">
        <f t="shared" si="15"/>
        <v>4.3992307692307691</v>
      </c>
      <c r="T40" s="4">
        <f t="shared" ca="1" si="18"/>
        <v>0</v>
      </c>
      <c r="U40" s="4">
        <f t="shared" ca="1" si="19"/>
        <v>73</v>
      </c>
      <c r="V40" s="4">
        <f t="shared" ca="1" si="20"/>
        <v>287</v>
      </c>
      <c r="W40" s="13">
        <f t="shared" ca="1" si="21"/>
        <v>5.9060000000000006</v>
      </c>
      <c r="X40" s="5">
        <f t="shared" ca="1" si="22"/>
        <v>0.34250743136912076</v>
      </c>
      <c r="Y40" s="15">
        <f t="shared" si="16"/>
        <v>0.11728395061728381</v>
      </c>
      <c r="Z40" s="15">
        <f t="shared" si="23"/>
        <v>0.12500000000000022</v>
      </c>
      <c r="AA40" s="15">
        <f t="shared" si="23"/>
        <v>8.8846880907372361E-2</v>
      </c>
      <c r="AB40" s="15">
        <f t="shared" si="23"/>
        <v>0.21609195402298864</v>
      </c>
      <c r="AC40" s="15">
        <f t="shared" si="24"/>
        <v>-0.16346153846153855</v>
      </c>
      <c r="AD40" s="15">
        <f t="shared" si="25"/>
        <v>0.16071428571428559</v>
      </c>
      <c r="AE40" s="15">
        <f t="shared" si="26"/>
        <v>0.13131313131313149</v>
      </c>
      <c r="AF40" s="15">
        <f t="shared" si="27"/>
        <v>0.75221238938053103</v>
      </c>
      <c r="AG40" s="15">
        <f t="shared" si="28"/>
        <v>0.64963503649635013</v>
      </c>
      <c r="AH40" s="15">
        <f t="shared" si="29"/>
        <v>-0.68721461187214605</v>
      </c>
      <c r="AI40" s="15">
        <f t="shared" si="30"/>
        <v>8.4158415841584233E-2</v>
      </c>
      <c r="AJ40" s="15">
        <f t="shared" si="31"/>
        <v>0.69747899159663884</v>
      </c>
      <c r="AK40" s="5">
        <f t="shared" si="17"/>
        <v>-0.68721461187214605</v>
      </c>
    </row>
    <row r="41" spans="1:37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67">
        <v>6.1</v>
      </c>
      <c r="G41" s="79">
        <v>5.81</v>
      </c>
      <c r="H41" s="79">
        <v>5.66</v>
      </c>
      <c r="I41" s="61">
        <v>5.7</v>
      </c>
      <c r="J41" s="63">
        <v>5.68</v>
      </c>
      <c r="K41" s="63">
        <v>4.4400000000000004</v>
      </c>
      <c r="L41" s="63">
        <v>4.46</v>
      </c>
      <c r="M41" s="61">
        <v>4.78</v>
      </c>
      <c r="N41" s="61">
        <v>4.4000000000000004</v>
      </c>
      <c r="O41" s="61">
        <v>4.57</v>
      </c>
      <c r="P41" s="61">
        <v>3.63</v>
      </c>
      <c r="Q41" s="61">
        <v>3.73</v>
      </c>
      <c r="R41" s="62">
        <v>3.46</v>
      </c>
      <c r="S41" s="13">
        <f t="shared" si="15"/>
        <v>4.8015384615384615</v>
      </c>
      <c r="T41" s="4">
        <f t="shared" ca="1" si="18"/>
        <v>0</v>
      </c>
      <c r="U41" s="4">
        <f t="shared" ca="1" si="19"/>
        <v>73</v>
      </c>
      <c r="V41" s="4">
        <f t="shared" ca="1" si="20"/>
        <v>287</v>
      </c>
      <c r="W41" s="13">
        <f t="shared" ca="1" si="21"/>
        <v>5.6904166666666667</v>
      </c>
      <c r="X41" s="5">
        <f t="shared" ca="1" si="22"/>
        <v>0.1851236249065471</v>
      </c>
      <c r="Y41" s="15">
        <f t="shared" si="16"/>
        <v>4.9913941480206558E-2</v>
      </c>
      <c r="Z41" s="15">
        <f t="shared" si="23"/>
        <v>2.6501766784452263E-2</v>
      </c>
      <c r="AA41" s="15">
        <f t="shared" si="23"/>
        <v>-7.0175438596491446E-3</v>
      </c>
      <c r="AB41" s="15">
        <f t="shared" si="23"/>
        <v>3.5211267605634866E-3</v>
      </c>
      <c r="AC41" s="15">
        <f t="shared" si="24"/>
        <v>0.27927927927927909</v>
      </c>
      <c r="AD41" s="15">
        <f t="shared" si="25"/>
        <v>-4.4843049327353279E-3</v>
      </c>
      <c r="AE41" s="15">
        <f t="shared" si="26"/>
        <v>-6.6945606694560733E-2</v>
      </c>
      <c r="AF41" s="15">
        <f t="shared" si="27"/>
        <v>8.636363636363642E-2</v>
      </c>
      <c r="AG41" s="15">
        <f t="shared" si="28"/>
        <v>-3.7199124726477018E-2</v>
      </c>
      <c r="AH41" s="15">
        <f t="shared" si="29"/>
        <v>0.25895316804407731</v>
      </c>
      <c r="AI41" s="15">
        <f t="shared" si="30"/>
        <v>-2.6809651474530849E-2</v>
      </c>
      <c r="AJ41" s="15">
        <f t="shared" si="31"/>
        <v>7.8034682080924789E-2</v>
      </c>
      <c r="AK41" s="5">
        <f t="shared" si="17"/>
        <v>-6.6945606694560733E-2</v>
      </c>
    </row>
    <row r="42" spans="1:37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67">
        <v>3.69</v>
      </c>
      <c r="G42" s="79">
        <v>3.46</v>
      </c>
      <c r="H42" s="79">
        <v>3.24</v>
      </c>
      <c r="I42" s="63">
        <v>3.4</v>
      </c>
      <c r="J42" s="63">
        <v>2.79</v>
      </c>
      <c r="K42" s="61">
        <v>2.75</v>
      </c>
      <c r="L42" s="61">
        <v>3</v>
      </c>
      <c r="M42" s="63">
        <v>3.2</v>
      </c>
      <c r="N42" s="63">
        <v>3.21</v>
      </c>
      <c r="O42" s="63">
        <v>2.38</v>
      </c>
      <c r="P42" s="61"/>
      <c r="Q42" s="61"/>
      <c r="R42" s="62"/>
      <c r="S42" s="13">
        <f t="shared" si="15"/>
        <v>3.1120000000000001</v>
      </c>
      <c r="T42" s="4">
        <f t="shared" ca="1" si="18"/>
        <v>0</v>
      </c>
      <c r="U42" s="4">
        <f t="shared" ca="1" si="19"/>
        <v>73</v>
      </c>
      <c r="V42" s="4">
        <f t="shared" ca="1" si="20"/>
        <v>287</v>
      </c>
      <c r="W42" s="13">
        <f t="shared" ca="1" si="21"/>
        <v>3.2846111111111114</v>
      </c>
      <c r="X42" s="5">
        <f t="shared" ca="1" si="22"/>
        <v>5.5466295344187344E-2</v>
      </c>
      <c r="Y42" s="15">
        <f t="shared" si="16"/>
        <v>6.6473988439306408E-2</v>
      </c>
      <c r="Z42" s="15">
        <f t="shared" si="23"/>
        <v>6.7901234567901092E-2</v>
      </c>
      <c r="AA42" s="15">
        <f t="shared" si="23"/>
        <v>-4.7058823529411709E-2</v>
      </c>
      <c r="AB42" s="15">
        <f t="shared" si="23"/>
        <v>0.21863799283154117</v>
      </c>
      <c r="AC42" s="15">
        <f t="shared" si="24"/>
        <v>1.4545454545454639E-2</v>
      </c>
      <c r="AD42" s="15">
        <f t="shared" si="25"/>
        <v>-8.333333333333337E-2</v>
      </c>
      <c r="AE42" s="15">
        <f t="shared" si="26"/>
        <v>-6.25E-2</v>
      </c>
      <c r="AF42" s="15">
        <f t="shared" si="27"/>
        <v>-3.1152647975076775E-3</v>
      </c>
      <c r="AG42" s="15">
        <f t="shared" si="28"/>
        <v>0.34873949579831942</v>
      </c>
      <c r="AH42" s="15">
        <f t="shared" si="29"/>
        <v>99.999989999999997</v>
      </c>
      <c r="AI42" s="15">
        <f t="shared" si="30"/>
        <v>99.999989999999997</v>
      </c>
      <c r="AJ42" s="15">
        <f t="shared" si="31"/>
        <v>99.999989999999997</v>
      </c>
      <c r="AK42" s="5">
        <f t="shared" si="17"/>
        <v>-8.333333333333337E-2</v>
      </c>
    </row>
    <row r="43" spans="1:37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67">
        <v>5.91</v>
      </c>
      <c r="G43" s="79">
        <v>5.35</v>
      </c>
      <c r="H43" s="79">
        <v>5.0199999999999996</v>
      </c>
      <c r="I43" s="61">
        <v>4.82</v>
      </c>
      <c r="J43" s="61">
        <v>5.55</v>
      </c>
      <c r="K43" s="61">
        <v>5.36</v>
      </c>
      <c r="L43" s="61">
        <v>5.27</v>
      </c>
      <c r="M43" s="61">
        <v>4.58</v>
      </c>
      <c r="N43" s="61">
        <v>4.1100000000000003</v>
      </c>
      <c r="O43" s="61">
        <v>3.76</v>
      </c>
      <c r="P43" s="63">
        <v>3.3</v>
      </c>
      <c r="Q43" s="61">
        <v>2.83</v>
      </c>
      <c r="R43" s="62">
        <v>2.04</v>
      </c>
      <c r="S43" s="13">
        <f t="shared" si="15"/>
        <v>4.4538461538461531</v>
      </c>
      <c r="T43" s="4">
        <f t="shared" ca="1" si="18"/>
        <v>0</v>
      </c>
      <c r="U43" s="4">
        <f t="shared" ca="1" si="19"/>
        <v>73</v>
      </c>
      <c r="V43" s="4">
        <f t="shared" ca="1" si="20"/>
        <v>287</v>
      </c>
      <c r="W43" s="13">
        <f t="shared" ca="1" si="21"/>
        <v>5.0869166666666654</v>
      </c>
      <c r="X43" s="5">
        <f t="shared" ca="1" si="22"/>
        <v>0.14214018422567642</v>
      </c>
      <c r="Y43" s="15">
        <f t="shared" si="16"/>
        <v>0.10467289719626183</v>
      </c>
      <c r="Z43" s="15">
        <f t="shared" si="23"/>
        <v>6.5737051792828627E-2</v>
      </c>
      <c r="AA43" s="15">
        <f t="shared" si="23"/>
        <v>4.1493775933609811E-2</v>
      </c>
      <c r="AB43" s="15">
        <f t="shared" si="23"/>
        <v>-0.13153153153153141</v>
      </c>
      <c r="AC43" s="15">
        <f t="shared" si="24"/>
        <v>3.5447761194029814E-2</v>
      </c>
      <c r="AD43" s="15">
        <f t="shared" si="25"/>
        <v>1.7077798861480309E-2</v>
      </c>
      <c r="AE43" s="15">
        <f t="shared" si="26"/>
        <v>0.15065502183406099</v>
      </c>
      <c r="AF43" s="15">
        <f t="shared" si="27"/>
        <v>0.11435523114355228</v>
      </c>
      <c r="AG43" s="15">
        <f t="shared" si="28"/>
        <v>9.3085106382978955E-2</v>
      </c>
      <c r="AH43" s="15">
        <f t="shared" si="29"/>
        <v>0.1393939393939394</v>
      </c>
      <c r="AI43" s="15">
        <f t="shared" si="30"/>
        <v>0.16607773851590091</v>
      </c>
      <c r="AJ43" s="15">
        <f t="shared" si="31"/>
        <v>0.38725490196078427</v>
      </c>
      <c r="AK43" s="5">
        <f t="shared" si="17"/>
        <v>-0.13153153153153141</v>
      </c>
    </row>
    <row r="44" spans="1:37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67">
        <v>3.15</v>
      </c>
      <c r="G44" s="79">
        <v>3.16</v>
      </c>
      <c r="H44" s="79">
        <v>2.2000000000000002</v>
      </c>
      <c r="I44" s="61">
        <v>4.07</v>
      </c>
      <c r="J44" s="61">
        <v>1.47</v>
      </c>
      <c r="K44" s="61">
        <v>2</v>
      </c>
      <c r="L44" s="61">
        <v>2.02</v>
      </c>
      <c r="M44" s="63">
        <v>3.42</v>
      </c>
      <c r="N44" s="61">
        <v>5.65</v>
      </c>
      <c r="O44" s="61">
        <v>3.64</v>
      </c>
      <c r="P44" s="61">
        <v>1.49</v>
      </c>
      <c r="Q44" s="61">
        <v>2.0299999999999998</v>
      </c>
      <c r="R44" s="62">
        <v>2.1</v>
      </c>
      <c r="S44" s="13">
        <f t="shared" si="15"/>
        <v>2.8000000000000003</v>
      </c>
      <c r="T44" s="4">
        <f t="shared" ca="1" si="18"/>
        <v>0</v>
      </c>
      <c r="U44" s="4">
        <f t="shared" ca="1" si="19"/>
        <v>73</v>
      </c>
      <c r="V44" s="4">
        <f t="shared" ca="1" si="20"/>
        <v>287</v>
      </c>
      <c r="W44" s="13">
        <f t="shared" ca="1" si="21"/>
        <v>2.3946666666666667</v>
      </c>
      <c r="X44" s="5">
        <f t="shared" ca="1" si="22"/>
        <v>-0.14476190476190487</v>
      </c>
      <c r="Y44" s="15">
        <f t="shared" si="16"/>
        <v>-3.1645569620254443E-3</v>
      </c>
      <c r="Z44" s="15">
        <f t="shared" si="23"/>
        <v>0.43636363636363629</v>
      </c>
      <c r="AA44" s="15">
        <f t="shared" si="23"/>
        <v>-0.45945945945945943</v>
      </c>
      <c r="AB44" s="15">
        <f t="shared" si="23"/>
        <v>1.7687074829931975</v>
      </c>
      <c r="AC44" s="15">
        <f t="shared" si="24"/>
        <v>-0.26500000000000001</v>
      </c>
      <c r="AD44" s="15">
        <f t="shared" si="25"/>
        <v>-9.9009900990099098E-3</v>
      </c>
      <c r="AE44" s="15">
        <f t="shared" si="26"/>
        <v>-0.40935672514619881</v>
      </c>
      <c r="AF44" s="15">
        <f t="shared" si="27"/>
        <v>-0.3946902654867257</v>
      </c>
      <c r="AG44" s="15">
        <f t="shared" si="28"/>
        <v>0.55219780219780223</v>
      </c>
      <c r="AH44" s="15">
        <f t="shared" si="29"/>
        <v>1.4429530201342282</v>
      </c>
      <c r="AI44" s="15">
        <f t="shared" si="30"/>
        <v>-0.26600985221674867</v>
      </c>
      <c r="AJ44" s="15">
        <f t="shared" si="31"/>
        <v>-3.3333333333333437E-2</v>
      </c>
      <c r="AK44" s="5">
        <f t="shared" si="17"/>
        <v>-0.45945945945945943</v>
      </c>
    </row>
    <row r="45" spans="1:37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67">
        <v>3.29</v>
      </c>
      <c r="G45" s="79">
        <v>2.92</v>
      </c>
      <c r="H45" s="79">
        <v>2.39</v>
      </c>
      <c r="I45" s="61">
        <v>2.63</v>
      </c>
      <c r="J45" s="63">
        <v>2.67</v>
      </c>
      <c r="K45" s="63">
        <v>2.73</v>
      </c>
      <c r="L45" s="61">
        <v>2.69</v>
      </c>
      <c r="M45" s="61">
        <v>2.1</v>
      </c>
      <c r="N45" s="61">
        <v>1.62</v>
      </c>
      <c r="O45" s="61">
        <v>1.87</v>
      </c>
      <c r="P45" s="61">
        <v>1.42</v>
      </c>
      <c r="Q45" s="61">
        <v>1.2</v>
      </c>
      <c r="R45" s="62">
        <v>1.1200000000000001</v>
      </c>
      <c r="S45" s="13">
        <f t="shared" si="15"/>
        <v>2.2038461538461545</v>
      </c>
      <c r="T45" s="4">
        <f t="shared" ca="1" si="18"/>
        <v>0</v>
      </c>
      <c r="U45" s="4">
        <f t="shared" ca="1" si="19"/>
        <v>254</v>
      </c>
      <c r="V45" s="4">
        <f t="shared" ca="1" si="20"/>
        <v>106</v>
      </c>
      <c r="W45" s="13">
        <f t="shared" ca="1" si="21"/>
        <v>2.7639444444444443</v>
      </c>
      <c r="X45" s="5">
        <f t="shared" ca="1" si="22"/>
        <v>0.25414582121388363</v>
      </c>
      <c r="Y45" s="15">
        <f t="shared" si="16"/>
        <v>0.12671232876712324</v>
      </c>
      <c r="Z45" s="15">
        <f t="shared" si="23"/>
        <v>0.22175732217573207</v>
      </c>
      <c r="AA45" s="15">
        <f t="shared" si="23"/>
        <v>-9.1254752851710919E-2</v>
      </c>
      <c r="AB45" s="15">
        <f t="shared" si="23"/>
        <v>-1.4981273408239737E-2</v>
      </c>
      <c r="AC45" s="15">
        <f t="shared" si="24"/>
        <v>-2.1978021978022011E-2</v>
      </c>
      <c r="AD45" s="15">
        <f t="shared" si="25"/>
        <v>1.4869888475836479E-2</v>
      </c>
      <c r="AE45" s="15">
        <f t="shared" si="26"/>
        <v>0.28095238095238084</v>
      </c>
      <c r="AF45" s="15">
        <f t="shared" si="27"/>
        <v>0.29629629629629628</v>
      </c>
      <c r="AG45" s="15">
        <f t="shared" si="28"/>
        <v>-0.13368983957219249</v>
      </c>
      <c r="AH45" s="15">
        <f t="shared" si="29"/>
        <v>0.31690140845070447</v>
      </c>
      <c r="AI45" s="15">
        <f t="shared" si="30"/>
        <v>0.18333333333333335</v>
      </c>
      <c r="AJ45" s="15">
        <f t="shared" si="31"/>
        <v>7.1428571428571397E-2</v>
      </c>
      <c r="AK45" s="5">
        <f t="shared" si="17"/>
        <v>-0.13368983957219249</v>
      </c>
    </row>
    <row r="46" spans="1:37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67">
        <v>2.1800000000000002</v>
      </c>
      <c r="G46" s="79">
        <v>1.94</v>
      </c>
      <c r="H46" s="79">
        <v>1.65</v>
      </c>
      <c r="I46" s="61">
        <v>1.28</v>
      </c>
      <c r="J46" s="63">
        <v>1.29</v>
      </c>
      <c r="K46" s="63">
        <v>0.86</v>
      </c>
      <c r="L46" s="63">
        <v>0.97</v>
      </c>
      <c r="M46" s="63">
        <v>0.38</v>
      </c>
      <c r="N46" s="63">
        <v>0.56999999999999995</v>
      </c>
      <c r="O46" s="63">
        <v>0.09</v>
      </c>
      <c r="P46" s="61"/>
      <c r="Q46" s="61"/>
      <c r="R46" s="62"/>
      <c r="S46" s="13">
        <f t="shared" si="15"/>
        <v>1.121</v>
      </c>
      <c r="T46" s="4">
        <f t="shared" ca="1" si="18"/>
        <v>0</v>
      </c>
      <c r="U46" s="4">
        <f t="shared" ca="1" si="19"/>
        <v>73</v>
      </c>
      <c r="V46" s="4">
        <f t="shared" ca="1" si="20"/>
        <v>287</v>
      </c>
      <c r="W46" s="13">
        <f t="shared" ca="1" si="21"/>
        <v>1.7088055555555555</v>
      </c>
      <c r="X46" s="5">
        <f t="shared" ca="1" si="22"/>
        <v>0.52435821191396559</v>
      </c>
      <c r="Y46" s="15">
        <f t="shared" si="16"/>
        <v>0.12371134020618557</v>
      </c>
      <c r="Z46" s="15">
        <f t="shared" si="23"/>
        <v>0.17575757575757578</v>
      </c>
      <c r="AA46" s="15">
        <f t="shared" si="23"/>
        <v>0.2890625</v>
      </c>
      <c r="AB46" s="15">
        <f t="shared" si="23"/>
        <v>-7.7519379844961378E-3</v>
      </c>
      <c r="AC46" s="15">
        <f t="shared" si="24"/>
        <v>0.5</v>
      </c>
      <c r="AD46" s="15">
        <f t="shared" si="25"/>
        <v>-0.11340206185567014</v>
      </c>
      <c r="AE46" s="15">
        <f t="shared" si="26"/>
        <v>1.5526315789473681</v>
      </c>
      <c r="AF46" s="15">
        <f t="shared" si="27"/>
        <v>-0.33333333333333326</v>
      </c>
      <c r="AG46" s="15">
        <f t="shared" si="28"/>
        <v>5.333333333333333</v>
      </c>
      <c r="AH46" s="15">
        <f t="shared" si="29"/>
        <v>99.999989999999997</v>
      </c>
      <c r="AI46" s="15">
        <f t="shared" si="30"/>
        <v>99.999989999999997</v>
      </c>
      <c r="AJ46" s="15">
        <f t="shared" si="31"/>
        <v>99.999989999999997</v>
      </c>
      <c r="AK46" s="5">
        <f t="shared" si="17"/>
        <v>-0.33333333333333326</v>
      </c>
    </row>
    <row r="47" spans="1:37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67">
        <v>7.92</v>
      </c>
      <c r="G47" s="79">
        <v>6.83</v>
      </c>
      <c r="H47" s="79">
        <v>5.88</v>
      </c>
      <c r="I47" s="61">
        <v>5.22</v>
      </c>
      <c r="J47" s="61">
        <v>4.5999999999999996</v>
      </c>
      <c r="K47" s="61">
        <v>3.79</v>
      </c>
      <c r="L47" s="61">
        <v>2.96</v>
      </c>
      <c r="M47" s="63">
        <v>2.29</v>
      </c>
      <c r="N47" s="63">
        <v>4.28</v>
      </c>
      <c r="O47" s="61">
        <v>3.62</v>
      </c>
      <c r="P47" s="61">
        <v>1.79</v>
      </c>
      <c r="Q47" s="61">
        <v>1.25</v>
      </c>
      <c r="R47" s="62">
        <v>0.47</v>
      </c>
      <c r="S47" s="13">
        <f t="shared" si="15"/>
        <v>3.9153846153846148</v>
      </c>
      <c r="T47" s="4">
        <f t="shared" ca="1" si="18"/>
        <v>0</v>
      </c>
      <c r="U47" s="4">
        <f t="shared" ca="1" si="19"/>
        <v>193</v>
      </c>
      <c r="V47" s="4">
        <f t="shared" ca="1" si="20"/>
        <v>167</v>
      </c>
      <c r="W47" s="13">
        <f t="shared" ca="1" si="21"/>
        <v>6.3893055555555556</v>
      </c>
      <c r="X47" s="5">
        <f t="shared" ca="1" si="22"/>
        <v>0.63184621261733276</v>
      </c>
      <c r="Y47" s="15">
        <f t="shared" si="16"/>
        <v>0.15959004392386533</v>
      </c>
      <c r="Z47" s="15">
        <f t="shared" si="23"/>
        <v>0.16156462585034026</v>
      </c>
      <c r="AA47" s="15">
        <f t="shared" si="23"/>
        <v>0.12643678160919536</v>
      </c>
      <c r="AB47" s="15">
        <f t="shared" si="23"/>
        <v>0.13478260869565228</v>
      </c>
      <c r="AC47" s="15">
        <f t="shared" si="24"/>
        <v>0.21372031662269109</v>
      </c>
      <c r="AD47" s="15">
        <f t="shared" si="25"/>
        <v>0.28040540540540548</v>
      </c>
      <c r="AE47" s="15">
        <f t="shared" si="26"/>
        <v>0.2925764192139737</v>
      </c>
      <c r="AF47" s="15">
        <f t="shared" si="27"/>
        <v>-0.46495327102803741</v>
      </c>
      <c r="AG47" s="15">
        <f t="shared" si="28"/>
        <v>0.18232044198895037</v>
      </c>
      <c r="AH47" s="15">
        <f t="shared" si="29"/>
        <v>1.022346368715084</v>
      </c>
      <c r="AI47" s="15">
        <f t="shared" si="30"/>
        <v>0.43199999999999994</v>
      </c>
      <c r="AJ47" s="15">
        <f t="shared" si="31"/>
        <v>1.6595744680851063</v>
      </c>
      <c r="AK47" s="5">
        <f t="shared" si="17"/>
        <v>-0.46495327102803741</v>
      </c>
    </row>
    <row r="48" spans="1:37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67">
        <v>2.94</v>
      </c>
      <c r="G48" s="79">
        <v>2.68</v>
      </c>
      <c r="H48" s="79">
        <v>2.38</v>
      </c>
      <c r="I48" s="61">
        <v>2.38</v>
      </c>
      <c r="J48" s="61">
        <v>2.2599999999999998</v>
      </c>
      <c r="K48" s="61">
        <v>1.96</v>
      </c>
      <c r="L48" s="61">
        <v>1.67</v>
      </c>
      <c r="M48" s="61">
        <v>1.21</v>
      </c>
      <c r="N48" s="61">
        <v>1.0900000000000001</v>
      </c>
      <c r="O48" s="61">
        <v>1.06</v>
      </c>
      <c r="P48" s="61">
        <v>0.81</v>
      </c>
      <c r="Q48" s="61">
        <v>0.64</v>
      </c>
      <c r="R48" s="62">
        <v>0.55000000000000004</v>
      </c>
      <c r="S48" s="13">
        <f t="shared" si="15"/>
        <v>1.6638461538461535</v>
      </c>
      <c r="T48" s="4">
        <f t="shared" ca="1" si="18"/>
        <v>0</v>
      </c>
      <c r="U48" s="4">
        <f t="shared" ca="1" si="19"/>
        <v>283</v>
      </c>
      <c r="V48" s="4">
        <f t="shared" ca="1" si="20"/>
        <v>77</v>
      </c>
      <c r="W48" s="13">
        <f t="shared" ca="1" si="21"/>
        <v>2.6158333333333337</v>
      </c>
      <c r="X48" s="5">
        <f t="shared" ca="1" si="22"/>
        <v>0.57216057944213339</v>
      </c>
      <c r="Y48" s="15">
        <f t="shared" si="16"/>
        <v>9.7014925373134275E-2</v>
      </c>
      <c r="Z48" s="15">
        <f t="shared" si="23"/>
        <v>0.12605042016806745</v>
      </c>
      <c r="AA48" s="15">
        <f t="shared" si="23"/>
        <v>0</v>
      </c>
      <c r="AB48" s="15">
        <f t="shared" si="23"/>
        <v>5.3097345132743445E-2</v>
      </c>
      <c r="AC48" s="15">
        <f t="shared" si="24"/>
        <v>0.15306122448979576</v>
      </c>
      <c r="AD48" s="15">
        <f t="shared" si="25"/>
        <v>0.17365269461077837</v>
      </c>
      <c r="AE48" s="15">
        <f t="shared" si="26"/>
        <v>0.38016528925619841</v>
      </c>
      <c r="AF48" s="15">
        <f t="shared" si="27"/>
        <v>0.11009174311926584</v>
      </c>
      <c r="AG48" s="15">
        <f t="shared" si="28"/>
        <v>2.8301886792452935E-2</v>
      </c>
      <c r="AH48" s="15">
        <f t="shared" si="29"/>
        <v>0.30864197530864201</v>
      </c>
      <c r="AI48" s="15">
        <f t="shared" si="30"/>
        <v>0.265625</v>
      </c>
      <c r="AJ48" s="15">
        <f t="shared" si="31"/>
        <v>0.16363636363636358</v>
      </c>
      <c r="AK48" s="5">
        <f t="shared" si="17"/>
        <v>0</v>
      </c>
    </row>
    <row r="49" spans="1:37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67">
        <v>5.47</v>
      </c>
      <c r="G49" s="79">
        <v>5.0599999999999996</v>
      </c>
      <c r="H49" s="79">
        <v>4.66</v>
      </c>
      <c r="I49" s="61">
        <v>4.2699999999999996</v>
      </c>
      <c r="J49" s="61">
        <v>4.32</v>
      </c>
      <c r="K49" s="61">
        <v>3.92</v>
      </c>
      <c r="L49" s="61">
        <v>4.03</v>
      </c>
      <c r="M49" s="61">
        <v>3.91</v>
      </c>
      <c r="N49" s="61">
        <v>3.77</v>
      </c>
      <c r="O49" s="61">
        <v>3.21</v>
      </c>
      <c r="P49" s="61">
        <v>3.41</v>
      </c>
      <c r="Q49" s="61">
        <v>3.34</v>
      </c>
      <c r="R49" s="62">
        <v>2.39</v>
      </c>
      <c r="S49" s="13">
        <f t="shared" si="15"/>
        <v>3.9815384615384621</v>
      </c>
      <c r="T49" s="4">
        <f t="shared" ca="1" si="18"/>
        <v>0</v>
      </c>
      <c r="U49" s="4">
        <f t="shared" ca="1" si="19"/>
        <v>73</v>
      </c>
      <c r="V49" s="4">
        <f t="shared" ca="1" si="20"/>
        <v>287</v>
      </c>
      <c r="W49" s="13">
        <f t="shared" ca="1" si="21"/>
        <v>4.7411111111111106</v>
      </c>
      <c r="X49" s="5">
        <f t="shared" ca="1" si="22"/>
        <v>0.19077365619096653</v>
      </c>
      <c r="Y49" s="15">
        <f t="shared" si="16"/>
        <v>8.10276679841897E-2</v>
      </c>
      <c r="Z49" s="15">
        <f t="shared" si="23"/>
        <v>8.5836909871244593E-2</v>
      </c>
      <c r="AA49" s="15">
        <f t="shared" si="23"/>
        <v>9.133489461358324E-2</v>
      </c>
      <c r="AB49" s="15">
        <f t="shared" si="23"/>
        <v>-1.1574074074074292E-2</v>
      </c>
      <c r="AC49" s="15">
        <f t="shared" si="24"/>
        <v>0.10204081632653073</v>
      </c>
      <c r="AD49" s="15">
        <f t="shared" si="25"/>
        <v>-2.7295285359801524E-2</v>
      </c>
      <c r="AE49" s="15">
        <f t="shared" si="26"/>
        <v>3.0690537084399061E-2</v>
      </c>
      <c r="AF49" s="15">
        <f t="shared" si="27"/>
        <v>3.7135278514588865E-2</v>
      </c>
      <c r="AG49" s="15">
        <f t="shared" si="28"/>
        <v>0.17445482866043616</v>
      </c>
      <c r="AH49" s="15">
        <f t="shared" si="29"/>
        <v>-5.8651026392961936E-2</v>
      </c>
      <c r="AI49" s="15">
        <f t="shared" si="30"/>
        <v>2.0958083832335328E-2</v>
      </c>
      <c r="AJ49" s="15">
        <f t="shared" si="31"/>
        <v>0.39748953974895374</v>
      </c>
      <c r="AK49" s="5">
        <f t="shared" si="17"/>
        <v>-5.8651026392961936E-2</v>
      </c>
    </row>
    <row r="50" spans="1:37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67">
        <v>1.97</v>
      </c>
      <c r="G50" s="79">
        <v>1.87</v>
      </c>
      <c r="H50" s="79">
        <v>1.83</v>
      </c>
      <c r="I50" s="61">
        <v>1.42</v>
      </c>
      <c r="J50" s="63">
        <v>1.65</v>
      </c>
      <c r="K50" s="61">
        <v>1.94</v>
      </c>
      <c r="L50" s="61">
        <v>1.27</v>
      </c>
      <c r="M50" s="61">
        <v>1.02</v>
      </c>
      <c r="N50" s="61">
        <v>1.23</v>
      </c>
      <c r="O50" s="61">
        <v>1.2</v>
      </c>
      <c r="P50" s="61">
        <v>1.17</v>
      </c>
      <c r="Q50" s="63">
        <v>1.52</v>
      </c>
      <c r="R50" s="62">
        <v>1.0900000000000001</v>
      </c>
      <c r="S50" s="13">
        <f t="shared" si="15"/>
        <v>1.4753846153846153</v>
      </c>
      <c r="T50" s="4">
        <f t="shared" ca="1" si="18"/>
        <v>0</v>
      </c>
      <c r="U50" s="4">
        <f t="shared" ca="1" si="19"/>
        <v>73</v>
      </c>
      <c r="V50" s="4">
        <f t="shared" ca="1" si="20"/>
        <v>287</v>
      </c>
      <c r="W50" s="13">
        <f t="shared" ca="1" si="21"/>
        <v>1.8381111111111115</v>
      </c>
      <c r="X50" s="5">
        <f t="shared" ca="1" si="22"/>
        <v>0.24585216081566474</v>
      </c>
      <c r="Y50" s="15">
        <f t="shared" si="16"/>
        <v>5.3475935828876997E-2</v>
      </c>
      <c r="Z50" s="15">
        <f t="shared" si="23"/>
        <v>2.1857923497267784E-2</v>
      </c>
      <c r="AA50" s="15">
        <f t="shared" si="23"/>
        <v>0.28873239436619724</v>
      </c>
      <c r="AB50" s="15">
        <f t="shared" si="23"/>
        <v>-0.1393939393939394</v>
      </c>
      <c r="AC50" s="15">
        <f t="shared" si="24"/>
        <v>-0.14948453608247425</v>
      </c>
      <c r="AD50" s="15">
        <f t="shared" si="25"/>
        <v>0.52755905511811019</v>
      </c>
      <c r="AE50" s="15">
        <f t="shared" si="26"/>
        <v>0.24509803921568629</v>
      </c>
      <c r="AF50" s="15">
        <f t="shared" si="27"/>
        <v>-0.1707317073170731</v>
      </c>
      <c r="AG50" s="15">
        <f t="shared" si="28"/>
        <v>2.5000000000000133E-2</v>
      </c>
      <c r="AH50" s="15">
        <f t="shared" si="29"/>
        <v>2.5641025641025772E-2</v>
      </c>
      <c r="AI50" s="15">
        <f t="shared" si="30"/>
        <v>-0.23026315789473695</v>
      </c>
      <c r="AJ50" s="15">
        <f t="shared" si="31"/>
        <v>0.39449541284403655</v>
      </c>
      <c r="AK50" s="5">
        <f t="shared" si="17"/>
        <v>-0.23026315789473695</v>
      </c>
    </row>
    <row r="51" spans="1:37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67">
        <v>4.96</v>
      </c>
      <c r="G51" s="79">
        <v>4.62</v>
      </c>
      <c r="H51" s="79">
        <v>4.22</v>
      </c>
      <c r="I51" s="61">
        <v>4.76</v>
      </c>
      <c r="J51" s="61">
        <v>5.26</v>
      </c>
      <c r="K51" s="61">
        <v>5.17</v>
      </c>
      <c r="L51" s="61">
        <v>4.8499999999999996</v>
      </c>
      <c r="M51" s="61">
        <v>3.92</v>
      </c>
      <c r="N51" s="61">
        <v>3.24</v>
      </c>
      <c r="O51" s="61">
        <v>3.31</v>
      </c>
      <c r="P51" s="61"/>
      <c r="Q51" s="61"/>
      <c r="R51" s="62"/>
      <c r="S51" s="13">
        <f t="shared" si="15"/>
        <v>4.4310000000000009</v>
      </c>
      <c r="T51" s="4">
        <f t="shared" ca="1" si="18"/>
        <v>0</v>
      </c>
      <c r="U51" s="4">
        <f t="shared" ca="1" si="19"/>
        <v>73</v>
      </c>
      <c r="V51" s="4">
        <f t="shared" ca="1" si="20"/>
        <v>287</v>
      </c>
      <c r="W51" s="13">
        <f t="shared" ca="1" si="21"/>
        <v>4.3011111111111102</v>
      </c>
      <c r="X51" s="5">
        <f t="shared" ca="1" si="22"/>
        <v>-2.9313673863437306E-2</v>
      </c>
      <c r="Y51" s="15">
        <f t="shared" si="16"/>
        <v>7.3593073593073655E-2</v>
      </c>
      <c r="Z51" s="15">
        <f t="shared" si="23"/>
        <v>9.4786729857819996E-2</v>
      </c>
      <c r="AA51" s="15">
        <f t="shared" si="23"/>
        <v>-0.11344537815126055</v>
      </c>
      <c r="AB51" s="15">
        <f t="shared" si="23"/>
        <v>-9.5057034220532355E-2</v>
      </c>
      <c r="AC51" s="15">
        <f t="shared" si="24"/>
        <v>1.740812379110257E-2</v>
      </c>
      <c r="AD51" s="15">
        <f t="shared" si="25"/>
        <v>6.5979381443298957E-2</v>
      </c>
      <c r="AE51" s="15">
        <f t="shared" si="26"/>
        <v>0.23724489795918369</v>
      </c>
      <c r="AF51" s="15">
        <f t="shared" si="27"/>
        <v>0.20987654320987637</v>
      </c>
      <c r="AG51" s="15">
        <f t="shared" si="28"/>
        <v>-2.114803625377637E-2</v>
      </c>
      <c r="AH51" s="15">
        <f t="shared" si="29"/>
        <v>99.999989999999997</v>
      </c>
      <c r="AI51" s="15">
        <f t="shared" si="30"/>
        <v>99.999989999999997</v>
      </c>
      <c r="AJ51" s="15">
        <f t="shared" si="31"/>
        <v>99.999989999999997</v>
      </c>
      <c r="AK51" s="5">
        <f t="shared" si="17"/>
        <v>-0.11344537815126055</v>
      </c>
    </row>
    <row r="52" spans="1:37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67">
        <v>4.72</v>
      </c>
      <c r="G52" s="79">
        <v>4.3</v>
      </c>
      <c r="H52" s="79">
        <v>3.69</v>
      </c>
      <c r="I52" s="61">
        <v>4.01</v>
      </c>
      <c r="J52" s="61">
        <v>3.86</v>
      </c>
      <c r="K52" s="61">
        <v>3.66</v>
      </c>
      <c r="L52" s="61">
        <v>3.93</v>
      </c>
      <c r="M52" s="63">
        <v>3.53</v>
      </c>
      <c r="N52" s="63">
        <v>3.39</v>
      </c>
      <c r="O52" s="63">
        <v>3.4</v>
      </c>
      <c r="P52" s="61">
        <v>3.04</v>
      </c>
      <c r="Q52" s="61">
        <v>2.64</v>
      </c>
      <c r="R52" s="62">
        <v>2.66</v>
      </c>
      <c r="S52" s="13">
        <f t="shared" si="15"/>
        <v>3.6023076923076922</v>
      </c>
      <c r="T52" s="4">
        <f t="shared" ca="1" si="18"/>
        <v>0</v>
      </c>
      <c r="U52" s="4">
        <f t="shared" ca="1" si="19"/>
        <v>254</v>
      </c>
      <c r="V52" s="4">
        <f t="shared" ca="1" si="20"/>
        <v>106</v>
      </c>
      <c r="W52" s="13">
        <f t="shared" ca="1" si="21"/>
        <v>4.120388888888888</v>
      </c>
      <c r="X52" s="5">
        <f t="shared" ca="1" si="22"/>
        <v>0.14381925166678511</v>
      </c>
      <c r="Y52" s="15">
        <f t="shared" si="16"/>
        <v>9.7674418604651203E-2</v>
      </c>
      <c r="Z52" s="15">
        <f t="shared" si="23"/>
        <v>0.16531165311653107</v>
      </c>
      <c r="AA52" s="15">
        <f t="shared" si="23"/>
        <v>-7.9800498753117122E-2</v>
      </c>
      <c r="AB52" s="15">
        <f t="shared" si="23"/>
        <v>3.8860103626942921E-2</v>
      </c>
      <c r="AC52" s="15">
        <f t="shared" si="24"/>
        <v>5.4644808743169238E-2</v>
      </c>
      <c r="AD52" s="15">
        <f t="shared" si="25"/>
        <v>-6.8702290076335881E-2</v>
      </c>
      <c r="AE52" s="15">
        <f t="shared" si="26"/>
        <v>0.11331444759206799</v>
      </c>
      <c r="AF52" s="15">
        <f t="shared" si="27"/>
        <v>4.1297935103244754E-2</v>
      </c>
      <c r="AG52" s="15">
        <f t="shared" si="28"/>
        <v>-2.9411764705882248E-3</v>
      </c>
      <c r="AH52" s="15">
        <f t="shared" si="29"/>
        <v>0.11842105263157898</v>
      </c>
      <c r="AI52" s="15">
        <f t="shared" si="30"/>
        <v>0.15151515151515138</v>
      </c>
      <c r="AJ52" s="15">
        <f t="shared" si="31"/>
        <v>-7.5187969924812581E-3</v>
      </c>
      <c r="AK52" s="5">
        <f t="shared" si="17"/>
        <v>-7.9800498753117122E-2</v>
      </c>
    </row>
    <row r="53" spans="1:37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67">
        <v>4.05</v>
      </c>
      <c r="G53" s="79">
        <v>3.92</v>
      </c>
      <c r="H53" s="79">
        <v>3.71</v>
      </c>
      <c r="I53" s="61">
        <v>2.42</v>
      </c>
      <c r="J53" s="61">
        <v>4</v>
      </c>
      <c r="K53" s="63">
        <v>2.2400000000000002</v>
      </c>
      <c r="L53" s="63">
        <v>2.15</v>
      </c>
      <c r="M53" s="63">
        <v>2.2000000000000002</v>
      </c>
      <c r="N53" s="63">
        <v>2.4</v>
      </c>
      <c r="O53" s="61">
        <v>2.2599999999999998</v>
      </c>
      <c r="P53" s="61">
        <v>1.9</v>
      </c>
      <c r="Q53" s="61">
        <v>2.15</v>
      </c>
      <c r="R53" s="62">
        <v>2.65</v>
      </c>
      <c r="S53" s="13">
        <f t="shared" si="15"/>
        <v>2.773076923076923</v>
      </c>
      <c r="T53" s="4">
        <f t="shared" ca="1" si="18"/>
        <v>0</v>
      </c>
      <c r="U53" s="4">
        <f t="shared" ca="1" si="19"/>
        <v>73</v>
      </c>
      <c r="V53" s="4">
        <f t="shared" ca="1" si="20"/>
        <v>287</v>
      </c>
      <c r="W53" s="13">
        <f t="shared" ca="1" si="21"/>
        <v>3.7525833333333334</v>
      </c>
      <c r="X53" s="5">
        <f t="shared" ca="1" si="22"/>
        <v>0.35322006472491907</v>
      </c>
      <c r="Y53" s="15">
        <f t="shared" si="16"/>
        <v>3.3163265306122458E-2</v>
      </c>
      <c r="Z53" s="15">
        <f t="shared" si="23"/>
        <v>5.6603773584905648E-2</v>
      </c>
      <c r="AA53" s="15">
        <f t="shared" si="23"/>
        <v>0.53305785123966953</v>
      </c>
      <c r="AB53" s="15">
        <f t="shared" si="23"/>
        <v>-0.39500000000000002</v>
      </c>
      <c r="AC53" s="15">
        <f t="shared" si="24"/>
        <v>0.78571428571428559</v>
      </c>
      <c r="AD53" s="15">
        <f t="shared" si="25"/>
        <v>4.1860465116279277E-2</v>
      </c>
      <c r="AE53" s="15">
        <f t="shared" si="26"/>
        <v>-2.2727272727272818E-2</v>
      </c>
      <c r="AF53" s="15">
        <f t="shared" si="27"/>
        <v>-8.3333333333333259E-2</v>
      </c>
      <c r="AG53" s="15">
        <f t="shared" si="28"/>
        <v>6.1946902654867353E-2</v>
      </c>
      <c r="AH53" s="15">
        <f t="shared" si="29"/>
        <v>0.18947368421052624</v>
      </c>
      <c r="AI53" s="15">
        <f t="shared" si="30"/>
        <v>-0.11627906976744184</v>
      </c>
      <c r="AJ53" s="15">
        <f t="shared" si="31"/>
        <v>-0.18867924528301883</v>
      </c>
      <c r="AK53" s="5">
        <f t="shared" si="17"/>
        <v>-0.39500000000000002</v>
      </c>
    </row>
    <row r="54" spans="1:37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67">
        <v>5.19</v>
      </c>
      <c r="G54" s="79">
        <v>4.8899999999999997</v>
      </c>
      <c r="H54" s="61">
        <v>5.05</v>
      </c>
      <c r="I54" s="61">
        <v>4.88</v>
      </c>
      <c r="J54" s="61">
        <v>5.0199999999999996</v>
      </c>
      <c r="K54" s="61">
        <v>4.5199999999999996</v>
      </c>
      <c r="L54" s="61">
        <v>4.47</v>
      </c>
      <c r="M54" s="61">
        <v>3.7</v>
      </c>
      <c r="N54" s="61">
        <v>3.39</v>
      </c>
      <c r="O54" s="61">
        <v>3.13</v>
      </c>
      <c r="P54" s="61">
        <v>2.71</v>
      </c>
      <c r="Q54" s="61">
        <v>2.68</v>
      </c>
      <c r="R54" s="62">
        <v>2.41</v>
      </c>
      <c r="S54" s="13">
        <f t="shared" si="15"/>
        <v>4.0030769230769234</v>
      </c>
      <c r="T54" s="4">
        <f t="shared" ca="1" si="18"/>
        <v>43</v>
      </c>
      <c r="U54" s="4">
        <f t="shared" ca="1" si="19"/>
        <v>317</v>
      </c>
      <c r="V54" s="4">
        <f t="shared" ca="1" si="20"/>
        <v>0</v>
      </c>
      <c r="W54" s="13">
        <f t="shared" ca="1" si="21"/>
        <v>4.9258333333333333</v>
      </c>
      <c r="X54" s="5">
        <f t="shared" ca="1" si="22"/>
        <v>0.23051178580579035</v>
      </c>
      <c r="Y54" s="15">
        <f t="shared" si="16"/>
        <v>6.1349693251533832E-2</v>
      </c>
      <c r="Z54" s="15">
        <f t="shared" si="23"/>
        <v>-3.1683168316831711E-2</v>
      </c>
      <c r="AA54" s="15">
        <f t="shared" si="23"/>
        <v>3.4836065573770503E-2</v>
      </c>
      <c r="AB54" s="15">
        <f t="shared" si="23"/>
        <v>-2.7888446215139417E-2</v>
      </c>
      <c r="AC54" s="15">
        <f t="shared" si="24"/>
        <v>0.11061946902654873</v>
      </c>
      <c r="AD54" s="15">
        <f t="shared" si="25"/>
        <v>1.1185682326621871E-2</v>
      </c>
      <c r="AE54" s="15">
        <f t="shared" si="26"/>
        <v>0.20810810810810798</v>
      </c>
      <c r="AF54" s="15">
        <f t="shared" si="27"/>
        <v>9.1445427728613637E-2</v>
      </c>
      <c r="AG54" s="15">
        <f t="shared" si="28"/>
        <v>8.3067092651757157E-2</v>
      </c>
      <c r="AH54" s="15">
        <f t="shared" si="29"/>
        <v>0.15498154981549805</v>
      </c>
      <c r="AI54" s="15">
        <f t="shared" si="30"/>
        <v>1.1194029850746245E-2</v>
      </c>
      <c r="AJ54" s="15">
        <f t="shared" si="31"/>
        <v>0.11203319502074693</v>
      </c>
      <c r="AK54" s="5">
        <f t="shared" si="17"/>
        <v>-3.1683168316831711E-2</v>
      </c>
    </row>
    <row r="55" spans="1:37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67">
        <v>6.28</v>
      </c>
      <c r="G55" s="79">
        <v>5.94</v>
      </c>
      <c r="H55" s="79">
        <v>5.57</v>
      </c>
      <c r="I55" s="66">
        <v>5.44</v>
      </c>
      <c r="J55" s="63">
        <v>4.91</v>
      </c>
      <c r="K55" s="61">
        <v>4.45</v>
      </c>
      <c r="L55" s="61">
        <v>3.63</v>
      </c>
      <c r="M55" s="61">
        <v>2.5</v>
      </c>
      <c r="N55" s="61">
        <v>2.9</v>
      </c>
      <c r="O55" s="61">
        <v>1.93</v>
      </c>
      <c r="P55" s="61"/>
      <c r="Q55" s="61"/>
      <c r="R55" s="62"/>
      <c r="S55" s="13">
        <f t="shared" si="15"/>
        <v>4.3550000000000004</v>
      </c>
      <c r="T55" s="4">
        <f t="shared" ca="1" si="18"/>
        <v>0</v>
      </c>
      <c r="U55" s="4">
        <f t="shared" ca="1" si="19"/>
        <v>73</v>
      </c>
      <c r="V55" s="4">
        <f t="shared" ca="1" si="20"/>
        <v>287</v>
      </c>
      <c r="W55" s="13">
        <f t="shared" ca="1" si="21"/>
        <v>5.645027777777778</v>
      </c>
      <c r="X55" s="5">
        <f t="shared" ca="1" si="22"/>
        <v>0.29621762979971922</v>
      </c>
      <c r="Y55" s="15">
        <f t="shared" si="16"/>
        <v>5.7239057239057312E-2</v>
      </c>
      <c r="Z55" s="15">
        <f t="shared" si="23"/>
        <v>6.6427289048474059E-2</v>
      </c>
      <c r="AA55" s="15">
        <f t="shared" si="23"/>
        <v>2.3897058823529438E-2</v>
      </c>
      <c r="AB55" s="15">
        <f t="shared" si="23"/>
        <v>0.10794297352342164</v>
      </c>
      <c r="AC55" s="15">
        <f t="shared" si="24"/>
        <v>0.10337078651685383</v>
      </c>
      <c r="AD55" s="15">
        <f t="shared" si="25"/>
        <v>0.22589531680440778</v>
      </c>
      <c r="AE55" s="15">
        <f t="shared" si="26"/>
        <v>0.45199999999999996</v>
      </c>
      <c r="AF55" s="15">
        <f t="shared" si="27"/>
        <v>-0.13793103448275856</v>
      </c>
      <c r="AG55" s="15">
        <f t="shared" si="28"/>
        <v>0.50259067357512954</v>
      </c>
      <c r="AH55" s="15">
        <f t="shared" si="29"/>
        <v>99.999989999999997</v>
      </c>
      <c r="AI55" s="15">
        <f t="shared" si="30"/>
        <v>99.999989999999997</v>
      </c>
      <c r="AJ55" s="15">
        <f t="shared" si="31"/>
        <v>99.999989999999997</v>
      </c>
      <c r="AK55" s="5">
        <f t="shared" si="17"/>
        <v>-0.13793103448275856</v>
      </c>
    </row>
    <row r="56" spans="1:37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67">
        <v>1958</v>
      </c>
      <c r="G56" s="79">
        <v>1774</v>
      </c>
      <c r="H56" s="79">
        <v>1603</v>
      </c>
      <c r="I56" s="66">
        <v>1442</v>
      </c>
      <c r="J56" s="61">
        <v>1314</v>
      </c>
      <c r="K56" s="61">
        <v>1187</v>
      </c>
      <c r="L56" s="61">
        <v>1078</v>
      </c>
      <c r="M56" s="61">
        <v>1055</v>
      </c>
      <c r="N56" s="61">
        <v>850.9</v>
      </c>
      <c r="O56" s="61">
        <v>1140</v>
      </c>
      <c r="P56" s="61">
        <v>1091</v>
      </c>
      <c r="Q56" s="61">
        <v>921.2</v>
      </c>
      <c r="R56" s="62">
        <v>768.2</v>
      </c>
      <c r="S56" s="13">
        <f t="shared" si="15"/>
        <v>1244.7923076923078</v>
      </c>
      <c r="T56" s="4">
        <f t="shared" ca="1" si="18"/>
        <v>0</v>
      </c>
      <c r="U56" s="4">
        <f t="shared" ca="1" si="19"/>
        <v>73</v>
      </c>
      <c r="V56" s="4">
        <f t="shared" ca="1" si="20"/>
        <v>287</v>
      </c>
      <c r="W56" s="13">
        <f t="shared" ca="1" si="21"/>
        <v>1637.675</v>
      </c>
      <c r="X56" s="5">
        <f t="shared" ca="1" si="22"/>
        <v>0.31562107982178045</v>
      </c>
      <c r="Y56" s="15">
        <f t="shared" si="16"/>
        <v>0.10372040586245768</v>
      </c>
      <c r="Z56" s="15">
        <f t="shared" si="23"/>
        <v>0.10667498440424206</v>
      </c>
      <c r="AA56" s="15">
        <f t="shared" si="23"/>
        <v>0.11165048543689315</v>
      </c>
      <c r="AB56" s="15">
        <f t="shared" si="23"/>
        <v>9.7412480974124804E-2</v>
      </c>
      <c r="AC56" s="15">
        <f t="shared" si="24"/>
        <v>0.10699241786015157</v>
      </c>
      <c r="AD56" s="15">
        <f t="shared" si="25"/>
        <v>0.10111317254174401</v>
      </c>
      <c r="AE56" s="15">
        <f t="shared" si="26"/>
        <v>2.180094786729847E-2</v>
      </c>
      <c r="AF56" s="15">
        <f t="shared" si="27"/>
        <v>0.23986367375719819</v>
      </c>
      <c r="AG56" s="15">
        <f t="shared" si="28"/>
        <v>-0.25359649122807015</v>
      </c>
      <c r="AH56" s="15">
        <f t="shared" si="29"/>
        <v>4.4912923923006387E-2</v>
      </c>
      <c r="AI56" s="15">
        <f t="shared" si="30"/>
        <v>0.18432479374728605</v>
      </c>
      <c r="AJ56" s="15">
        <f t="shared" si="31"/>
        <v>0.19916688362405632</v>
      </c>
      <c r="AK56" s="5">
        <f t="shared" si="17"/>
        <v>-0.25359649122807015</v>
      </c>
    </row>
    <row r="57" spans="1:37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67">
        <v>5.53</v>
      </c>
      <c r="G57" s="79">
        <v>5.01</v>
      </c>
      <c r="H57" s="79">
        <v>4.59</v>
      </c>
      <c r="I57" s="61">
        <v>3.76</v>
      </c>
      <c r="J57" s="61">
        <v>3.67</v>
      </c>
      <c r="K57" s="61">
        <v>3.49</v>
      </c>
      <c r="L57" s="61">
        <v>2.89</v>
      </c>
      <c r="M57" s="61">
        <v>2.58</v>
      </c>
      <c r="N57" s="61">
        <v>1.4</v>
      </c>
      <c r="O57" s="63">
        <v>1.84</v>
      </c>
      <c r="P57" s="61">
        <v>2.14</v>
      </c>
      <c r="Q57" s="61">
        <v>1.99</v>
      </c>
      <c r="R57" s="62">
        <v>1.77</v>
      </c>
      <c r="S57" s="13">
        <f t="shared" si="15"/>
        <v>3.1276923076923087</v>
      </c>
      <c r="T57" s="4">
        <f t="shared" ca="1" si="18"/>
        <v>0</v>
      </c>
      <c r="U57" s="4">
        <f t="shared" ca="1" si="19"/>
        <v>73</v>
      </c>
      <c r="V57" s="4">
        <f t="shared" ca="1" si="20"/>
        <v>287</v>
      </c>
      <c r="W57" s="13">
        <f t="shared" ca="1" si="21"/>
        <v>4.6751666666666658</v>
      </c>
      <c r="X57" s="5">
        <f t="shared" ca="1" si="22"/>
        <v>0.49476553533366041</v>
      </c>
      <c r="Y57" s="15">
        <f t="shared" si="16"/>
        <v>0.10379241516966076</v>
      </c>
      <c r="Z57" s="15">
        <f t="shared" si="23"/>
        <v>9.1503267973856106E-2</v>
      </c>
      <c r="AA57" s="15">
        <f t="shared" si="23"/>
        <v>0.2207446808510638</v>
      </c>
      <c r="AB57" s="15">
        <f t="shared" si="23"/>
        <v>2.4523160762942808E-2</v>
      </c>
      <c r="AC57" s="15">
        <f t="shared" si="24"/>
        <v>5.1575931232091587E-2</v>
      </c>
      <c r="AD57" s="15">
        <f t="shared" si="25"/>
        <v>0.20761245674740492</v>
      </c>
      <c r="AE57" s="15">
        <f t="shared" si="26"/>
        <v>0.12015503875968991</v>
      </c>
      <c r="AF57" s="15">
        <f t="shared" si="27"/>
        <v>0.84285714285714297</v>
      </c>
      <c r="AG57" s="15">
        <f t="shared" si="28"/>
        <v>-0.23913043478260876</v>
      </c>
      <c r="AH57" s="15">
        <f t="shared" si="29"/>
        <v>-0.14018691588785048</v>
      </c>
      <c r="AI57" s="15">
        <f t="shared" si="30"/>
        <v>7.5376884422110546E-2</v>
      </c>
      <c r="AJ57" s="15">
        <f t="shared" si="31"/>
        <v>0.12429378531073443</v>
      </c>
      <c r="AK57" s="5">
        <f t="shared" si="17"/>
        <v>-0.23913043478260876</v>
      </c>
    </row>
    <row r="58" spans="1:37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67">
        <v>7.04</v>
      </c>
      <c r="G58" s="79">
        <v>6.55</v>
      </c>
      <c r="H58" s="79">
        <v>6.08</v>
      </c>
      <c r="I58" s="61">
        <v>5.34</v>
      </c>
      <c r="J58" s="61">
        <v>5.13</v>
      </c>
      <c r="K58" s="61">
        <v>4.91</v>
      </c>
      <c r="L58" s="61">
        <v>4.32</v>
      </c>
      <c r="M58" s="61">
        <v>4.01</v>
      </c>
      <c r="N58" s="61">
        <v>3.42</v>
      </c>
      <c r="O58" s="61">
        <v>3.49</v>
      </c>
      <c r="P58" s="61">
        <v>3.36</v>
      </c>
      <c r="Q58" s="61">
        <v>2.98</v>
      </c>
      <c r="R58" s="62">
        <v>2.6</v>
      </c>
      <c r="S58" s="13">
        <f t="shared" si="15"/>
        <v>4.5561538461538458</v>
      </c>
      <c r="T58" s="4">
        <f t="shared" ca="1" si="18"/>
        <v>0</v>
      </c>
      <c r="U58" s="4">
        <f t="shared" ca="1" si="19"/>
        <v>73</v>
      </c>
      <c r="V58" s="4">
        <f t="shared" ca="1" si="20"/>
        <v>287</v>
      </c>
      <c r="W58" s="13">
        <f t="shared" ca="1" si="21"/>
        <v>6.175305555555556</v>
      </c>
      <c r="X58" s="5">
        <f t="shared" ca="1" si="22"/>
        <v>0.35537687358133097</v>
      </c>
      <c r="Y58" s="15">
        <f t="shared" si="16"/>
        <v>7.4809160305343569E-2</v>
      </c>
      <c r="Z58" s="15">
        <f t="shared" si="23"/>
        <v>7.7302631578947345E-2</v>
      </c>
      <c r="AA58" s="15">
        <f t="shared" si="23"/>
        <v>0.13857677902621734</v>
      </c>
      <c r="AB58" s="15">
        <f t="shared" si="23"/>
        <v>4.0935672514619936E-2</v>
      </c>
      <c r="AC58" s="15">
        <f t="shared" si="24"/>
        <v>4.4806517311609007E-2</v>
      </c>
      <c r="AD58" s="15">
        <f t="shared" si="25"/>
        <v>0.13657407407407396</v>
      </c>
      <c r="AE58" s="15">
        <f t="shared" si="26"/>
        <v>7.7306733167082475E-2</v>
      </c>
      <c r="AF58" s="15">
        <f t="shared" si="27"/>
        <v>0.17251461988304095</v>
      </c>
      <c r="AG58" s="15">
        <f t="shared" si="28"/>
        <v>-2.0057306590257951E-2</v>
      </c>
      <c r="AH58" s="15">
        <f t="shared" si="29"/>
        <v>3.8690476190476275E-2</v>
      </c>
      <c r="AI58" s="15">
        <f t="shared" si="30"/>
        <v>0.12751677852348986</v>
      </c>
      <c r="AJ58" s="15">
        <f t="shared" si="31"/>
        <v>0.14615384615384608</v>
      </c>
      <c r="AK58" s="5">
        <f t="shared" si="17"/>
        <v>-2.0057306590257951E-2</v>
      </c>
    </row>
    <row r="59" spans="1:37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67">
        <v>4.74</v>
      </c>
      <c r="G59" s="79">
        <v>4.74</v>
      </c>
      <c r="H59" s="79">
        <v>4.4400000000000004</v>
      </c>
      <c r="I59" s="61">
        <v>3.3</v>
      </c>
      <c r="J59" s="61">
        <v>2.78</v>
      </c>
      <c r="K59" s="61">
        <v>3.74</v>
      </c>
      <c r="L59" s="61">
        <v>4.29</v>
      </c>
      <c r="M59" s="61">
        <v>4.18</v>
      </c>
      <c r="N59" s="61">
        <v>4.03</v>
      </c>
      <c r="O59" s="61">
        <v>2.94</v>
      </c>
      <c r="P59" s="61">
        <v>3.89</v>
      </c>
      <c r="Q59" s="61">
        <v>2.95</v>
      </c>
      <c r="R59" s="62">
        <v>1.68</v>
      </c>
      <c r="S59" s="13">
        <f t="shared" si="15"/>
        <v>3.6692307692307695</v>
      </c>
      <c r="T59" s="4">
        <f t="shared" ca="1" si="18"/>
        <v>0</v>
      </c>
      <c r="U59" s="4">
        <f t="shared" ca="1" si="19"/>
        <v>73</v>
      </c>
      <c r="V59" s="4">
        <f t="shared" ca="1" si="20"/>
        <v>287</v>
      </c>
      <c r="W59" s="13">
        <f t="shared" ca="1" si="21"/>
        <v>4.5008333333333344</v>
      </c>
      <c r="X59" s="5">
        <f t="shared" ca="1" si="22"/>
        <v>0.22664220824598202</v>
      </c>
      <c r="Y59" s="15">
        <f t="shared" si="16"/>
        <v>0</v>
      </c>
      <c r="Z59" s="15">
        <f t="shared" si="23"/>
        <v>6.7567567567567544E-2</v>
      </c>
      <c r="AA59" s="15">
        <f t="shared" si="23"/>
        <v>0.34545454545454568</v>
      </c>
      <c r="AB59" s="15">
        <f t="shared" si="23"/>
        <v>0.18705035971223016</v>
      </c>
      <c r="AC59" s="15">
        <f t="shared" si="24"/>
        <v>-0.25668449197860976</v>
      </c>
      <c r="AD59" s="15">
        <f t="shared" si="25"/>
        <v>-0.12820512820512819</v>
      </c>
      <c r="AE59" s="15">
        <f t="shared" si="26"/>
        <v>2.6315789473684292E-2</v>
      </c>
      <c r="AF59" s="15">
        <f t="shared" si="27"/>
        <v>3.7220843672456372E-2</v>
      </c>
      <c r="AG59" s="15">
        <f t="shared" si="28"/>
        <v>0.37074829931972797</v>
      </c>
      <c r="AH59" s="15">
        <f t="shared" si="29"/>
        <v>-0.24421593830334198</v>
      </c>
      <c r="AI59" s="15">
        <f t="shared" si="30"/>
        <v>0.31864406779661003</v>
      </c>
      <c r="AJ59" s="15">
        <f t="shared" si="31"/>
        <v>0.75595238095238115</v>
      </c>
      <c r="AK59" s="5">
        <f t="shared" si="17"/>
        <v>-0.25668449197860976</v>
      </c>
    </row>
    <row r="60" spans="1:37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67">
        <v>1.07</v>
      </c>
      <c r="G60" s="79">
        <v>0.996</v>
      </c>
      <c r="H60" s="79">
        <v>0.88800000000000001</v>
      </c>
      <c r="I60" s="61">
        <v>0.89300000000000002</v>
      </c>
      <c r="J60" s="61">
        <v>0.99</v>
      </c>
      <c r="K60" s="61">
        <v>0.77</v>
      </c>
      <c r="L60" s="61">
        <v>0.76</v>
      </c>
      <c r="M60" s="61">
        <v>0.66</v>
      </c>
      <c r="N60" s="61">
        <v>0.65</v>
      </c>
      <c r="O60" s="61">
        <v>0.59</v>
      </c>
      <c r="P60" s="61">
        <v>0.55000000000000004</v>
      </c>
      <c r="Q60" s="61">
        <v>0.67</v>
      </c>
      <c r="R60" s="62">
        <v>0.46</v>
      </c>
      <c r="S60" s="13">
        <f t="shared" si="15"/>
        <v>0.76515384615384618</v>
      </c>
      <c r="T60" s="4">
        <f t="shared" ca="1" si="18"/>
        <v>0</v>
      </c>
      <c r="U60" s="4">
        <f t="shared" ca="1" si="19"/>
        <v>254</v>
      </c>
      <c r="V60" s="4">
        <f t="shared" ca="1" si="20"/>
        <v>106</v>
      </c>
      <c r="W60" s="13">
        <f t="shared" ca="1" si="21"/>
        <v>0.96420000000000006</v>
      </c>
      <c r="X60" s="5">
        <f t="shared" ca="1" si="22"/>
        <v>0.26013873529707454</v>
      </c>
      <c r="Y60" s="15">
        <f t="shared" si="16"/>
        <v>7.4297188755020116E-2</v>
      </c>
      <c r="Z60" s="15">
        <f t="shared" si="23"/>
        <v>0.12162162162162171</v>
      </c>
      <c r="AA60" s="15">
        <f t="shared" si="23"/>
        <v>-5.5991041433370858E-3</v>
      </c>
      <c r="AB60" s="15">
        <f t="shared" si="23"/>
        <v>-9.7979797979797945E-2</v>
      </c>
      <c r="AC60" s="15">
        <f t="shared" si="24"/>
        <v>0.28571428571428559</v>
      </c>
      <c r="AD60" s="15">
        <f t="shared" si="25"/>
        <v>1.3157894736842035E-2</v>
      </c>
      <c r="AE60" s="15">
        <f t="shared" si="26"/>
        <v>0.15151515151515138</v>
      </c>
      <c r="AF60" s="15">
        <f t="shared" si="27"/>
        <v>1.538461538461533E-2</v>
      </c>
      <c r="AG60" s="15">
        <f t="shared" si="28"/>
        <v>0.10169491525423746</v>
      </c>
      <c r="AH60" s="15">
        <f t="shared" si="29"/>
        <v>7.2727272727272529E-2</v>
      </c>
      <c r="AI60" s="15">
        <f t="shared" si="30"/>
        <v>-0.17910447761194026</v>
      </c>
      <c r="AJ60" s="15">
        <f t="shared" si="31"/>
        <v>0.45652173913043481</v>
      </c>
      <c r="AK60" s="5">
        <f t="shared" si="17"/>
        <v>-0.17910447761194026</v>
      </c>
    </row>
    <row r="61" spans="1:37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67">
        <v>2.5299999999999998</v>
      </c>
      <c r="G61" s="79">
        <v>2.33</v>
      </c>
      <c r="H61" s="79">
        <v>2.3199999999999998</v>
      </c>
      <c r="I61" s="61">
        <v>2.09</v>
      </c>
      <c r="J61" s="61">
        <v>2.04</v>
      </c>
      <c r="K61" s="61">
        <v>2.64</v>
      </c>
      <c r="L61" s="61">
        <v>1.52</v>
      </c>
      <c r="M61" s="61">
        <v>1.22</v>
      </c>
      <c r="N61" s="61">
        <v>1.25</v>
      </c>
      <c r="O61" s="61">
        <v>1.34</v>
      </c>
      <c r="P61" s="61">
        <v>1.1000000000000001</v>
      </c>
      <c r="Q61" s="61"/>
      <c r="R61" s="62"/>
      <c r="S61" s="13">
        <f t="shared" si="15"/>
        <v>1.8527272727272726</v>
      </c>
      <c r="T61" s="4">
        <f t="shared" ca="1" si="18"/>
        <v>0</v>
      </c>
      <c r="U61" s="4">
        <f t="shared" ca="1" si="19"/>
        <v>343</v>
      </c>
      <c r="V61" s="4">
        <f t="shared" ca="1" si="20"/>
        <v>17</v>
      </c>
      <c r="W61" s="13">
        <f t="shared" ca="1" si="21"/>
        <v>2.3295277777777779</v>
      </c>
      <c r="X61" s="5">
        <f t="shared" ca="1" si="22"/>
        <v>0.25735061607240239</v>
      </c>
      <c r="Y61" s="15">
        <f t="shared" si="16"/>
        <v>8.5836909871244593E-2</v>
      </c>
      <c r="Z61" s="15">
        <f t="shared" si="23"/>
        <v>4.3103448275862988E-3</v>
      </c>
      <c r="AA61" s="15">
        <f t="shared" si="23"/>
        <v>0.11004784688995217</v>
      </c>
      <c r="AB61" s="15">
        <f t="shared" si="23"/>
        <v>2.450980392156854E-2</v>
      </c>
      <c r="AC61" s="15">
        <f t="shared" si="24"/>
        <v>-0.22727272727272729</v>
      </c>
      <c r="AD61" s="15">
        <f t="shared" si="25"/>
        <v>0.73684210526315796</v>
      </c>
      <c r="AE61" s="15">
        <f t="shared" si="26"/>
        <v>0.24590163934426235</v>
      </c>
      <c r="AF61" s="15">
        <f t="shared" si="27"/>
        <v>-2.4000000000000021E-2</v>
      </c>
      <c r="AG61" s="15">
        <f t="shared" si="28"/>
        <v>-6.7164179104477695E-2</v>
      </c>
      <c r="AH61" s="15">
        <f t="shared" si="29"/>
        <v>0.21818181818181825</v>
      </c>
      <c r="AI61" s="15">
        <f t="shared" si="30"/>
        <v>99.999989999999997</v>
      </c>
      <c r="AJ61" s="15">
        <f t="shared" si="31"/>
        <v>99.999989999999997</v>
      </c>
      <c r="AK61" s="5">
        <f t="shared" si="17"/>
        <v>-0.22727272727272729</v>
      </c>
    </row>
    <row r="62" spans="1:37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67">
        <v>0.81799999999999995</v>
      </c>
      <c r="G62" s="79">
        <v>0.73299999999999998</v>
      </c>
      <c r="H62" s="79">
        <v>0.78800000000000003</v>
      </c>
      <c r="I62" s="61">
        <v>0.56999999999999995</v>
      </c>
      <c r="J62" s="61">
        <v>1.1100000000000001</v>
      </c>
      <c r="K62" s="61">
        <v>0.92</v>
      </c>
      <c r="L62" s="61">
        <v>1.03</v>
      </c>
      <c r="M62" s="61">
        <v>0.32</v>
      </c>
      <c r="N62" s="61">
        <v>1.08</v>
      </c>
      <c r="O62" s="61">
        <v>0.88</v>
      </c>
      <c r="P62" s="61">
        <v>0.94</v>
      </c>
      <c r="Q62" s="61">
        <v>0.95</v>
      </c>
      <c r="R62" s="62">
        <v>0.82</v>
      </c>
      <c r="S62" s="13">
        <f t="shared" si="15"/>
        <v>0.84299999999999997</v>
      </c>
      <c r="T62" s="4">
        <f t="shared" ca="1" si="18"/>
        <v>0</v>
      </c>
      <c r="U62" s="4">
        <f t="shared" ca="1" si="19"/>
        <v>73</v>
      </c>
      <c r="V62" s="4">
        <f t="shared" ca="1" si="20"/>
        <v>287</v>
      </c>
      <c r="W62" s="13">
        <f t="shared" ca="1" si="21"/>
        <v>0.77684722222222224</v>
      </c>
      <c r="X62" s="5">
        <f t="shared" ca="1" si="22"/>
        <v>-7.8473045999736368E-2</v>
      </c>
      <c r="Y62" s="15">
        <f t="shared" si="16"/>
        <v>0.1159618008185539</v>
      </c>
      <c r="Z62" s="15">
        <f t="shared" si="23"/>
        <v>-6.9796954314720883E-2</v>
      </c>
      <c r="AA62" s="15">
        <f t="shared" si="23"/>
        <v>0.38245614035087727</v>
      </c>
      <c r="AB62" s="15">
        <f t="shared" si="23"/>
        <v>-0.48648648648648662</v>
      </c>
      <c r="AC62" s="15">
        <f t="shared" si="24"/>
        <v>0.20652173913043481</v>
      </c>
      <c r="AD62" s="15">
        <f t="shared" si="25"/>
        <v>-0.10679611650485432</v>
      </c>
      <c r="AE62" s="15">
        <f t="shared" si="26"/>
        <v>2.21875</v>
      </c>
      <c r="AF62" s="15">
        <f t="shared" si="27"/>
        <v>-0.70370370370370372</v>
      </c>
      <c r="AG62" s="15">
        <f t="shared" si="28"/>
        <v>0.22727272727272729</v>
      </c>
      <c r="AH62" s="15">
        <f t="shared" si="29"/>
        <v>-6.3829787234042534E-2</v>
      </c>
      <c r="AI62" s="15">
        <f t="shared" si="30"/>
        <v>-1.0526315789473717E-2</v>
      </c>
      <c r="AJ62" s="15">
        <f t="shared" si="31"/>
        <v>0.15853658536585358</v>
      </c>
      <c r="AK62" s="5">
        <f t="shared" si="17"/>
        <v>-0.70370370370370372</v>
      </c>
    </row>
    <row r="63" spans="1:37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67">
        <v>2.7600000000000002</v>
      </c>
      <c r="G63" s="79">
        <v>2.57</v>
      </c>
      <c r="H63" s="79">
        <v>2.41</v>
      </c>
      <c r="I63" s="66">
        <v>4.41</v>
      </c>
      <c r="J63" s="61">
        <v>2.39</v>
      </c>
      <c r="K63" s="61">
        <v>2.5</v>
      </c>
      <c r="L63" s="61">
        <v>2.37</v>
      </c>
      <c r="M63" s="61">
        <v>2.14</v>
      </c>
      <c r="N63" s="61">
        <v>1.95</v>
      </c>
      <c r="O63" s="61">
        <v>1.55</v>
      </c>
      <c r="P63" s="61">
        <v>1.28</v>
      </c>
      <c r="Q63" s="61"/>
      <c r="R63" s="62"/>
      <c r="S63" s="13">
        <f t="shared" si="15"/>
        <v>2.393636363636364</v>
      </c>
      <c r="T63" s="4">
        <f t="shared" ca="1" si="18"/>
        <v>0</v>
      </c>
      <c r="U63" s="4">
        <f t="shared" ca="1" si="19"/>
        <v>73</v>
      </c>
      <c r="V63" s="4">
        <f t="shared" ca="1" si="20"/>
        <v>287</v>
      </c>
      <c r="W63" s="13">
        <f t="shared" ca="1" si="21"/>
        <v>2.4424444444444444</v>
      </c>
      <c r="X63" s="5">
        <f t="shared" ca="1" si="22"/>
        <v>2.0390766763725088E-2</v>
      </c>
      <c r="Y63" s="15">
        <f t="shared" si="16"/>
        <v>7.3929961089494345E-2</v>
      </c>
      <c r="Z63" s="15">
        <f t="shared" si="23"/>
        <v>6.6390041493775698E-2</v>
      </c>
      <c r="AA63" s="15">
        <f t="shared" si="23"/>
        <v>-0.45351473922902497</v>
      </c>
      <c r="AB63" s="15">
        <f t="shared" si="23"/>
        <v>0.84518828451882833</v>
      </c>
      <c r="AC63" s="15">
        <f t="shared" si="24"/>
        <v>-4.3999999999999928E-2</v>
      </c>
      <c r="AD63" s="15">
        <f t="shared" si="25"/>
        <v>5.4852320675105481E-2</v>
      </c>
      <c r="AE63" s="15">
        <f t="shared" si="26"/>
        <v>0.10747663551401865</v>
      </c>
      <c r="AF63" s="15">
        <f t="shared" si="27"/>
        <v>9.7435897435897534E-2</v>
      </c>
      <c r="AG63" s="15">
        <f t="shared" si="28"/>
        <v>0.25806451612903225</v>
      </c>
      <c r="AH63" s="15">
        <f t="shared" si="29"/>
        <v>0.2109375</v>
      </c>
      <c r="AI63" s="15">
        <f t="shared" si="30"/>
        <v>99.999989999999997</v>
      </c>
      <c r="AJ63" s="15">
        <f t="shared" si="31"/>
        <v>99.999989999999997</v>
      </c>
      <c r="AK63" s="5">
        <f t="shared" si="17"/>
        <v>-0.45351473922902497</v>
      </c>
    </row>
    <row r="64" spans="1:37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67">
        <v>3.23</v>
      </c>
      <c r="G64" s="79">
        <v>3.02</v>
      </c>
      <c r="H64" s="79">
        <v>2.8</v>
      </c>
      <c r="I64" s="61">
        <v>2.56</v>
      </c>
      <c r="J64" s="61">
        <v>2.2599999999999998</v>
      </c>
      <c r="K64" s="61">
        <v>2.06</v>
      </c>
      <c r="L64" s="61">
        <v>1.64</v>
      </c>
      <c r="M64" s="61">
        <v>1.87</v>
      </c>
      <c r="N64" s="61">
        <v>1.54</v>
      </c>
      <c r="O64" s="63">
        <v>1.48</v>
      </c>
      <c r="P64" s="63">
        <v>1.48</v>
      </c>
      <c r="Q64" s="63">
        <v>1.51</v>
      </c>
      <c r="R64" s="64">
        <v>1.22</v>
      </c>
      <c r="S64" s="13">
        <f t="shared" si="15"/>
        <v>2.0515384615384615</v>
      </c>
      <c r="T64" s="4">
        <f t="shared" ca="1" si="18"/>
        <v>0</v>
      </c>
      <c r="U64" s="4">
        <f t="shared" ca="1" si="19"/>
        <v>73</v>
      </c>
      <c r="V64" s="4">
        <f t="shared" ca="1" si="20"/>
        <v>287</v>
      </c>
      <c r="W64" s="13">
        <f t="shared" ca="1" si="21"/>
        <v>2.844611111111111</v>
      </c>
      <c r="X64" s="5">
        <f t="shared" ca="1" si="22"/>
        <v>0.38657459484231138</v>
      </c>
      <c r="Y64" s="15">
        <f t="shared" si="16"/>
        <v>6.9536423841059625E-2</v>
      </c>
      <c r="Z64" s="15">
        <f t="shared" si="23"/>
        <v>7.8571428571428736E-2</v>
      </c>
      <c r="AA64" s="15">
        <f t="shared" si="23"/>
        <v>9.375E-2</v>
      </c>
      <c r="AB64" s="15">
        <f t="shared" si="23"/>
        <v>0.13274336283185861</v>
      </c>
      <c r="AC64" s="15">
        <f t="shared" si="24"/>
        <v>9.7087378640776656E-2</v>
      </c>
      <c r="AD64" s="15">
        <f t="shared" si="25"/>
        <v>0.25609756097560976</v>
      </c>
      <c r="AE64" s="15">
        <f t="shared" si="26"/>
        <v>-0.12299465240641716</v>
      </c>
      <c r="AF64" s="15">
        <f t="shared" si="27"/>
        <v>0.21428571428571441</v>
      </c>
      <c r="AG64" s="15">
        <f t="shared" si="28"/>
        <v>4.0540540540540571E-2</v>
      </c>
      <c r="AH64" s="15">
        <f t="shared" si="29"/>
        <v>0</v>
      </c>
      <c r="AI64" s="15">
        <f t="shared" si="30"/>
        <v>-1.9867549668874163E-2</v>
      </c>
      <c r="AJ64" s="15">
        <f t="shared" si="31"/>
        <v>0.23770491803278682</v>
      </c>
      <c r="AK64" s="5">
        <f t="shared" si="17"/>
        <v>-0.12299465240641716</v>
      </c>
    </row>
    <row r="65" spans="1:37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67">
        <v>6.92</v>
      </c>
      <c r="G65" s="79">
        <v>5.54</v>
      </c>
      <c r="H65" s="79">
        <v>4.9400000000000004</v>
      </c>
      <c r="I65" s="61">
        <v>5.2</v>
      </c>
      <c r="J65" s="61">
        <v>6.13</v>
      </c>
      <c r="K65" s="61">
        <v>2.04</v>
      </c>
      <c r="L65" s="61">
        <v>9.44</v>
      </c>
      <c r="M65" s="61">
        <v>11.6</v>
      </c>
      <c r="N65" s="61">
        <v>-90.48</v>
      </c>
      <c r="O65" s="61">
        <v>-756.8</v>
      </c>
      <c r="P65" s="61">
        <v>47.8</v>
      </c>
      <c r="Q65" s="61">
        <v>107.2</v>
      </c>
      <c r="R65" s="62">
        <v>79.8</v>
      </c>
      <c r="S65" s="13">
        <f t="shared" si="15"/>
        <v>-43.128461538461536</v>
      </c>
      <c r="T65" s="4">
        <f t="shared" ca="1" si="18"/>
        <v>0</v>
      </c>
      <c r="U65" s="4">
        <f t="shared" ca="1" si="19"/>
        <v>73</v>
      </c>
      <c r="V65" s="4">
        <f t="shared" ca="1" si="20"/>
        <v>287</v>
      </c>
      <c r="W65" s="13">
        <f t="shared" ca="1" si="21"/>
        <v>5.0616666666666674</v>
      </c>
      <c r="X65" s="5">
        <f t="shared" ca="1" si="22"/>
        <v>1.1173625602701529</v>
      </c>
      <c r="Y65" s="15">
        <f t="shared" si="16"/>
        <v>0.24909747292418771</v>
      </c>
      <c r="Z65" s="15">
        <f t="shared" si="23"/>
        <v>0.12145748987854232</v>
      </c>
      <c r="AA65" s="15">
        <f t="shared" si="23"/>
        <v>-4.9999999999999933E-2</v>
      </c>
      <c r="AB65" s="15">
        <f t="shared" si="23"/>
        <v>-0.15171288743882538</v>
      </c>
      <c r="AC65" s="15">
        <f t="shared" si="24"/>
        <v>2.0049019607843137</v>
      </c>
      <c r="AD65" s="15">
        <f t="shared" si="25"/>
        <v>-0.78389830508474578</v>
      </c>
      <c r="AE65" s="15">
        <f t="shared" si="26"/>
        <v>-0.18620689655172418</v>
      </c>
      <c r="AF65" s="15">
        <f t="shared" si="27"/>
        <v>1.1282051282051282</v>
      </c>
      <c r="AG65" s="15">
        <f t="shared" si="28"/>
        <v>0.88044397463002111</v>
      </c>
      <c r="AH65" s="15">
        <f t="shared" si="29"/>
        <v>-16.8326359832636</v>
      </c>
      <c r="AI65" s="15">
        <f t="shared" si="30"/>
        <v>-0.55410447761194037</v>
      </c>
      <c r="AJ65" s="15">
        <f t="shared" si="31"/>
        <v>0.34335839598997508</v>
      </c>
      <c r="AK65" s="5">
        <f t="shared" si="17"/>
        <v>-16.8326359832636</v>
      </c>
    </row>
    <row r="66" spans="1:37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67">
        <v>26.1</v>
      </c>
      <c r="G66" s="79">
        <v>23.1</v>
      </c>
      <c r="H66" s="79">
        <v>20.100000000000001</v>
      </c>
      <c r="I66" s="61">
        <v>19.25</v>
      </c>
      <c r="J66" s="61">
        <v>16.87</v>
      </c>
      <c r="K66" s="61">
        <v>13.79</v>
      </c>
      <c r="L66" s="61">
        <v>12.37</v>
      </c>
      <c r="M66" s="61">
        <v>10.55</v>
      </c>
      <c r="N66" s="61">
        <v>6.11</v>
      </c>
      <c r="O66" s="61">
        <v>5.78</v>
      </c>
      <c r="P66" s="61">
        <v>6.22</v>
      </c>
      <c r="Q66" s="61">
        <v>5.29</v>
      </c>
      <c r="R66" s="62">
        <v>4</v>
      </c>
      <c r="S66" s="13">
        <f t="shared" si="15"/>
        <v>13.040769230769232</v>
      </c>
      <c r="T66" s="4">
        <f t="shared" ca="1" si="18"/>
        <v>0</v>
      </c>
      <c r="U66" s="4">
        <f t="shared" ca="1" si="19"/>
        <v>73</v>
      </c>
      <c r="V66" s="4">
        <f t="shared" ca="1" si="20"/>
        <v>287</v>
      </c>
      <c r="W66" s="13">
        <f t="shared" ca="1" si="21"/>
        <v>20.708333333333336</v>
      </c>
      <c r="X66" s="5">
        <f t="shared" ca="1" si="22"/>
        <v>0.58796869777227245</v>
      </c>
      <c r="Y66" s="15">
        <f t="shared" si="16"/>
        <v>0.12987012987012991</v>
      </c>
      <c r="Z66" s="15">
        <f t="shared" si="23"/>
        <v>0.14925373134328357</v>
      </c>
      <c r="AA66" s="15">
        <f t="shared" si="23"/>
        <v>4.4155844155844282E-2</v>
      </c>
      <c r="AB66" s="15">
        <f t="shared" si="23"/>
        <v>0.1410788381742738</v>
      </c>
      <c r="AC66" s="15">
        <f t="shared" si="24"/>
        <v>0.22335025380710682</v>
      </c>
      <c r="AD66" s="15">
        <f t="shared" si="25"/>
        <v>0.11479385610347626</v>
      </c>
      <c r="AE66" s="15">
        <f t="shared" si="26"/>
        <v>0.17251184834123201</v>
      </c>
      <c r="AF66" s="15">
        <f t="shared" si="27"/>
        <v>0.72667757774140762</v>
      </c>
      <c r="AG66" s="15">
        <f t="shared" si="28"/>
        <v>5.709342560553643E-2</v>
      </c>
      <c r="AH66" s="15">
        <f t="shared" si="29"/>
        <v>-7.0739549839228255E-2</v>
      </c>
      <c r="AI66" s="15">
        <f t="shared" si="30"/>
        <v>0.17580340264650274</v>
      </c>
      <c r="AJ66" s="15">
        <f t="shared" si="31"/>
        <v>0.32250000000000001</v>
      </c>
      <c r="AK66" s="5">
        <f t="shared" si="17"/>
        <v>-7.0739549839228255E-2</v>
      </c>
    </row>
    <row r="67" spans="1:37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67">
        <v>3.22</v>
      </c>
      <c r="G67" s="79">
        <v>3.02</v>
      </c>
      <c r="H67" s="79">
        <v>2.71</v>
      </c>
      <c r="I67" s="61">
        <v>2.83</v>
      </c>
      <c r="J67" s="61">
        <v>2.79</v>
      </c>
      <c r="K67" s="61">
        <v>2.35</v>
      </c>
      <c r="L67" s="61">
        <v>2.7</v>
      </c>
      <c r="M67" s="61">
        <v>2.2400000000000002</v>
      </c>
      <c r="N67" s="61">
        <v>1.9</v>
      </c>
      <c r="O67" s="61">
        <v>1.86</v>
      </c>
      <c r="P67" s="61">
        <v>1.59</v>
      </c>
      <c r="Q67" s="61">
        <v>1.45</v>
      </c>
      <c r="R67" s="62">
        <v>1.54</v>
      </c>
      <c r="S67" s="13">
        <f t="shared" si="15"/>
        <v>2.3230769230769228</v>
      </c>
      <c r="T67" s="4">
        <f t="shared" ca="1" si="18"/>
        <v>0</v>
      </c>
      <c r="U67" s="4">
        <f t="shared" ca="1" si="19"/>
        <v>283</v>
      </c>
      <c r="V67" s="4">
        <f t="shared" ca="1" si="20"/>
        <v>77</v>
      </c>
      <c r="W67" s="13">
        <f t="shared" ca="1" si="21"/>
        <v>2.9536944444444444</v>
      </c>
      <c r="X67" s="5">
        <f t="shared" ca="1" si="22"/>
        <v>0.27145787343635042</v>
      </c>
      <c r="Y67" s="15">
        <f t="shared" si="16"/>
        <v>6.6225165562914023E-2</v>
      </c>
      <c r="Z67" s="15">
        <f t="shared" si="23"/>
        <v>0.11439114391143912</v>
      </c>
      <c r="AA67" s="15">
        <f t="shared" si="23"/>
        <v>-4.2402826855123754E-2</v>
      </c>
      <c r="AB67" s="15">
        <f t="shared" si="23"/>
        <v>1.4336917562723928E-2</v>
      </c>
      <c r="AC67" s="15">
        <f t="shared" si="24"/>
        <v>0.18723404255319154</v>
      </c>
      <c r="AD67" s="15">
        <f t="shared" si="25"/>
        <v>-0.12962962962962965</v>
      </c>
      <c r="AE67" s="15">
        <f t="shared" si="26"/>
        <v>0.20535714285714279</v>
      </c>
      <c r="AF67" s="15">
        <f t="shared" si="27"/>
        <v>0.17894736842105274</v>
      </c>
      <c r="AG67" s="15">
        <f t="shared" si="28"/>
        <v>2.1505376344086002E-2</v>
      </c>
      <c r="AH67" s="15">
        <f t="shared" si="29"/>
        <v>0.16981132075471694</v>
      </c>
      <c r="AI67" s="15">
        <f t="shared" si="30"/>
        <v>9.6551724137931227E-2</v>
      </c>
      <c r="AJ67" s="15">
        <f t="shared" si="31"/>
        <v>-5.8441558441558517E-2</v>
      </c>
      <c r="AK67" s="5">
        <f t="shared" si="17"/>
        <v>-0.12962962962962965</v>
      </c>
    </row>
    <row r="68" spans="1:37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67">
        <v>6.61</v>
      </c>
      <c r="G68" s="79">
        <v>6.18</v>
      </c>
      <c r="H68" s="79">
        <v>5.7</v>
      </c>
      <c r="I68" s="63">
        <v>5.51</v>
      </c>
      <c r="J68" s="61">
        <v>5.53</v>
      </c>
      <c r="K68" s="61">
        <v>4.42</v>
      </c>
      <c r="L68" s="61">
        <v>3.99</v>
      </c>
      <c r="M68" s="61">
        <v>4.45</v>
      </c>
      <c r="N68" s="61">
        <v>4.5199999999999996</v>
      </c>
      <c r="O68" s="61">
        <v>4.04</v>
      </c>
      <c r="P68" s="61">
        <v>4.09</v>
      </c>
      <c r="Q68" s="61">
        <v>3.25</v>
      </c>
      <c r="R68" s="62">
        <v>3.28</v>
      </c>
      <c r="S68" s="13">
        <f t="shared" si="15"/>
        <v>4.7361538461538464</v>
      </c>
      <c r="T68" s="4">
        <f t="shared" ref="T68" ca="1" si="32">IF(DAYS360(TODAY(),DATE(E68+2,D68,C68))&gt;=720,0,360-U68)</f>
        <v>0</v>
      </c>
      <c r="U68" s="4">
        <f t="shared" ref="U68" ca="1" si="33">IF(DAYS360(TODAY(),DATE(E68+1,D68,C68))&lt;=360,DAYS360(TODAY(),DATE(E68+1,D68,C68)),360-V68)</f>
        <v>73</v>
      </c>
      <c r="V68" s="4">
        <f t="shared" ca="1" si="20"/>
        <v>287</v>
      </c>
      <c r="W68" s="13">
        <f t="shared" ref="W68" ca="1" si="34">(F68/360*T68)+(G68/360*U68)+(H68/360*V68)</f>
        <v>5.7973333333333343</v>
      </c>
      <c r="X68" s="5">
        <f t="shared" ref="X68" ca="1" si="35">IF(W68&lt;0,IF(W68&lt;0,((W68/S68)-1)*-1,(W68/S68)-1),IF(S68&lt;0,ABS((W68/S68)-1),(W68/S68)-1))</f>
        <v>0.22405933625683527</v>
      </c>
      <c r="Y68" s="15">
        <f t="shared" si="16"/>
        <v>6.9579288025890085E-2</v>
      </c>
      <c r="Z68" s="15">
        <f t="shared" si="23"/>
        <v>8.4210526315789291E-2</v>
      </c>
      <c r="AA68" s="15">
        <f t="shared" si="23"/>
        <v>3.4482758620689724E-2</v>
      </c>
      <c r="AB68" s="15">
        <f t="shared" si="23"/>
        <v>-3.6166365280290158E-3</v>
      </c>
      <c r="AC68" s="15">
        <f t="shared" si="24"/>
        <v>0.25113122171945701</v>
      </c>
      <c r="AD68" s="15">
        <f t="shared" si="25"/>
        <v>0.10776942355889707</v>
      </c>
      <c r="AE68" s="15">
        <f t="shared" si="26"/>
        <v>-0.10337078651685394</v>
      </c>
      <c r="AF68" s="15">
        <f t="shared" si="27"/>
        <v>-1.5486725663716672E-2</v>
      </c>
      <c r="AG68" s="15">
        <f t="shared" si="28"/>
        <v>0.1188118811881187</v>
      </c>
      <c r="AH68" s="15">
        <f t="shared" si="29"/>
        <v>-1.2224938875305624E-2</v>
      </c>
      <c r="AI68" s="15">
        <f t="shared" si="30"/>
        <v>0.25846153846153852</v>
      </c>
      <c r="AJ68" s="15">
        <f t="shared" si="31"/>
        <v>-9.1463414634145312E-3</v>
      </c>
      <c r="AK68" s="5">
        <f t="shared" si="17"/>
        <v>-0.10337078651685394</v>
      </c>
    </row>
  </sheetData>
  <autoFilter ref="A3:AK3">
    <sortState ref="A4:AC68">
      <sortCondition ref="B3"/>
    </sortState>
  </autoFilter>
  <mergeCells count="3">
    <mergeCell ref="C2:E2"/>
    <mergeCell ref="T1:V1"/>
    <mergeCell ref="Y1:AJ1"/>
  </mergeCells>
  <pageMargins left="0.7" right="0.7" top="0.78740157499999996" bottom="0.78740157499999996" header="0.3" footer="0.3"/>
  <ignoredErrors>
    <ignoredError sqref="S4:S68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0.42578125" bestFit="1" customWidth="1"/>
    <col min="4" max="4" width="13.7109375" customWidth="1"/>
    <col min="5" max="5" width="11.140625" bestFit="1" customWidth="1"/>
    <col min="6" max="6" width="15.140625" customWidth="1"/>
    <col min="7" max="7" width="14.7109375" bestFit="1" customWidth="1"/>
    <col min="8" max="8" width="15.140625" customWidth="1"/>
    <col min="9" max="9" width="14.42578125" customWidth="1"/>
    <col min="10" max="18" width="14.85546875" customWidth="1"/>
    <col min="19" max="19" width="15.42578125" bestFit="1" customWidth="1"/>
    <col min="20" max="20" width="18" customWidth="1"/>
    <col min="21" max="21" width="15.140625" customWidth="1"/>
    <col min="22" max="22" width="14.7109375" bestFit="1" customWidth="1"/>
    <col min="23" max="23" width="15.140625" customWidth="1"/>
    <col min="24" max="24" width="24.85546875" customWidth="1"/>
    <col min="25" max="25" width="33.42578125" customWidth="1"/>
    <col min="26" max="26" width="15.140625" customWidth="1"/>
    <col min="27" max="27" width="14.7109375" bestFit="1" customWidth="1"/>
    <col min="28" max="28" width="15.140625" customWidth="1"/>
    <col min="29" max="29" width="14.42578125" customWidth="1"/>
    <col min="30" max="37" width="14.85546875" customWidth="1"/>
    <col min="38" max="38" width="15.85546875" bestFit="1" customWidth="1"/>
    <col min="39" max="39" width="39.42578125" customWidth="1"/>
  </cols>
  <sheetData>
    <row r="1" spans="1:39" x14ac:dyDescent="0.25">
      <c r="A1" s="1"/>
      <c r="B1" s="1"/>
      <c r="C1" s="1"/>
      <c r="D1" s="1"/>
      <c r="E1" s="1"/>
      <c r="F1" s="76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8"/>
      <c r="T1" s="1"/>
      <c r="U1" s="98" t="s">
        <v>144</v>
      </c>
      <c r="V1" s="98"/>
      <c r="W1" s="98"/>
      <c r="X1" s="1"/>
      <c r="Y1" s="1"/>
      <c r="Z1" s="98" t="s">
        <v>152</v>
      </c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</row>
    <row r="2" spans="1:39" x14ac:dyDescent="0.25">
      <c r="A2" s="1"/>
      <c r="B2" s="1"/>
      <c r="C2" s="98" t="s">
        <v>198</v>
      </c>
      <c r="D2" s="98"/>
      <c r="E2" s="98"/>
      <c r="F2" s="59">
        <v>2017</v>
      </c>
      <c r="G2" s="1">
        <v>2016</v>
      </c>
      <c r="H2" s="1">
        <v>2015</v>
      </c>
      <c r="I2" s="38">
        <v>2014</v>
      </c>
      <c r="J2" s="38">
        <v>2013</v>
      </c>
      <c r="K2" s="38">
        <v>2012</v>
      </c>
      <c r="L2" s="38">
        <v>2011</v>
      </c>
      <c r="M2" s="38">
        <v>2010</v>
      </c>
      <c r="N2" s="38">
        <v>2009</v>
      </c>
      <c r="O2" s="38">
        <v>2008</v>
      </c>
      <c r="P2" s="38">
        <v>2007</v>
      </c>
      <c r="Q2" s="38">
        <v>2006</v>
      </c>
      <c r="R2" s="38">
        <v>2005</v>
      </c>
      <c r="S2" s="60">
        <v>2004</v>
      </c>
      <c r="T2" s="1"/>
      <c r="U2" s="1">
        <f>F2</f>
        <v>2017</v>
      </c>
      <c r="V2" s="1">
        <f>G2</f>
        <v>2016</v>
      </c>
      <c r="W2" s="1">
        <f>H2</f>
        <v>2015</v>
      </c>
      <c r="X2" s="1"/>
      <c r="Y2" s="1"/>
      <c r="Z2" s="1">
        <f t="shared" ref="Z2:AL2" si="0">F2</f>
        <v>2017</v>
      </c>
      <c r="AA2" s="1">
        <f t="shared" si="0"/>
        <v>2016</v>
      </c>
      <c r="AB2" s="1">
        <f t="shared" si="0"/>
        <v>2015</v>
      </c>
      <c r="AC2" s="1">
        <f t="shared" si="0"/>
        <v>2014</v>
      </c>
      <c r="AD2" s="1">
        <f t="shared" si="0"/>
        <v>2013</v>
      </c>
      <c r="AE2" s="1">
        <f t="shared" si="0"/>
        <v>2012</v>
      </c>
      <c r="AF2" s="1">
        <f t="shared" si="0"/>
        <v>2011</v>
      </c>
      <c r="AG2" s="1">
        <f t="shared" si="0"/>
        <v>2010</v>
      </c>
      <c r="AH2" s="1">
        <f t="shared" si="0"/>
        <v>2009</v>
      </c>
      <c r="AI2" s="1">
        <f t="shared" si="0"/>
        <v>2008</v>
      </c>
      <c r="AJ2" s="1">
        <f t="shared" si="0"/>
        <v>2007</v>
      </c>
      <c r="AK2" s="1">
        <f t="shared" si="0"/>
        <v>2006</v>
      </c>
      <c r="AL2" s="1">
        <f t="shared" si="0"/>
        <v>2005</v>
      </c>
    </row>
    <row r="3" spans="1:39" x14ac:dyDescent="0.25">
      <c r="A3" s="1" t="s">
        <v>0</v>
      </c>
      <c r="B3" s="1" t="s">
        <v>1</v>
      </c>
      <c r="C3" s="1" t="s">
        <v>199</v>
      </c>
      <c r="D3" s="1" t="s">
        <v>200</v>
      </c>
      <c r="E3" s="1" t="s">
        <v>169</v>
      </c>
      <c r="F3" s="59" t="s">
        <v>201</v>
      </c>
      <c r="G3" s="1" t="s">
        <v>141</v>
      </c>
      <c r="H3" s="1" t="s">
        <v>142</v>
      </c>
      <c r="I3" s="38" t="s">
        <v>131</v>
      </c>
      <c r="J3" s="38" t="s">
        <v>132</v>
      </c>
      <c r="K3" s="38" t="s">
        <v>133</v>
      </c>
      <c r="L3" s="38" t="s">
        <v>134</v>
      </c>
      <c r="M3" s="38" t="s">
        <v>135</v>
      </c>
      <c r="N3" s="38" t="s">
        <v>136</v>
      </c>
      <c r="O3" s="38" t="s">
        <v>137</v>
      </c>
      <c r="P3" s="38" t="s">
        <v>138</v>
      </c>
      <c r="Q3" s="38" t="s">
        <v>139</v>
      </c>
      <c r="R3" s="38" t="s">
        <v>140</v>
      </c>
      <c r="S3" s="60" t="s">
        <v>214</v>
      </c>
      <c r="T3" s="1" t="s">
        <v>150</v>
      </c>
      <c r="U3" s="1" t="s">
        <v>201</v>
      </c>
      <c r="V3" s="1" t="s">
        <v>141</v>
      </c>
      <c r="W3" s="1" t="s">
        <v>142</v>
      </c>
      <c r="X3" s="1" t="s">
        <v>192</v>
      </c>
      <c r="Y3" s="1" t="s">
        <v>151</v>
      </c>
      <c r="Z3" s="38" t="s">
        <v>201</v>
      </c>
      <c r="AA3" s="1" t="s">
        <v>141</v>
      </c>
      <c r="AB3" s="1" t="s">
        <v>142</v>
      </c>
      <c r="AC3" s="1" t="s">
        <v>131</v>
      </c>
      <c r="AD3" s="1" t="s">
        <v>132</v>
      </c>
      <c r="AE3" s="1" t="s">
        <v>133</v>
      </c>
      <c r="AF3" s="1" t="s">
        <v>134</v>
      </c>
      <c r="AG3" s="1" t="s">
        <v>135</v>
      </c>
      <c r="AH3" s="1" t="s">
        <v>136</v>
      </c>
      <c r="AI3" s="1" t="s">
        <v>137</v>
      </c>
      <c r="AJ3" s="1" t="s">
        <v>138</v>
      </c>
      <c r="AK3" s="1" t="s">
        <v>139</v>
      </c>
      <c r="AL3" s="1" t="s">
        <v>140</v>
      </c>
      <c r="AM3" s="1" t="s">
        <v>153</v>
      </c>
    </row>
    <row r="4" spans="1:39" x14ac:dyDescent="0.25">
      <c r="A4" t="s">
        <v>106</v>
      </c>
      <c r="B4" t="s">
        <v>197</v>
      </c>
      <c r="C4" s="58">
        <v>31</v>
      </c>
      <c r="D4" s="58">
        <v>12</v>
      </c>
      <c r="E4" s="58">
        <v>2015</v>
      </c>
      <c r="F4" s="67">
        <v>14</v>
      </c>
      <c r="G4" s="79">
        <v>12.7</v>
      </c>
      <c r="H4" s="79">
        <v>12</v>
      </c>
      <c r="I4" s="61">
        <v>11.12</v>
      </c>
      <c r="J4" s="61">
        <v>11.25</v>
      </c>
      <c r="K4" s="61">
        <v>10.38</v>
      </c>
      <c r="L4" s="61">
        <v>8.82</v>
      </c>
      <c r="M4" s="61">
        <v>7.64</v>
      </c>
      <c r="N4" s="61">
        <v>5.61</v>
      </c>
      <c r="O4" s="61">
        <v>5.27</v>
      </c>
      <c r="P4" s="61">
        <v>4.76</v>
      </c>
      <c r="Q4" s="61">
        <v>2.64</v>
      </c>
      <c r="R4" s="61">
        <v>0</v>
      </c>
      <c r="S4" s="62">
        <v>0</v>
      </c>
      <c r="T4" s="13">
        <f>AVERAGE(F4:S4)</f>
        <v>7.5850000000000009</v>
      </c>
      <c r="U4" s="4">
        <f t="shared" ref="U4:U67" ca="1" si="1">IF(DAYS360(TODAY(),DATE(E4+2,D4,C4))&gt;=720,0,360-V4)</f>
        <v>0</v>
      </c>
      <c r="V4" s="4">
        <f t="shared" ref="V4:V67" ca="1" si="2">IF(DAYS360(TODAY(),DATE(E4+1,D4,C4))&lt;=360,DAYS360(TODAY(),DATE(E4+1,D4,C4)),360-W4)</f>
        <v>73</v>
      </c>
      <c r="W4" s="4">
        <f t="shared" ref="W4:W67" ca="1" si="3">IF(DATE(E4,D4,C4)&lt;=TODAY(),0,DAYS360(TODAY(),DATE(E4,D4,C4)))</f>
        <v>287</v>
      </c>
      <c r="X4" s="13">
        <f t="shared" ref="X4:X67" ca="1" si="4">(F4/360*U4)+(G4/360*V4)+(H4/360*W4)</f>
        <v>12.141944444444444</v>
      </c>
      <c r="Y4" s="5">
        <f t="shared" ref="Y4:Y67" ca="1" si="5">IF(X4&lt;0,IF(X4&lt;0,((X4/T4)-1)*-1,(X4/T4)-1),IF(T4&lt;0,ABS((X4/T4)-1),(X4/T4)-1))</f>
        <v>0.60078371053980795</v>
      </c>
      <c r="Z4" s="15">
        <f t="shared" ref="Z4:AL4" si="6">IF(F4&lt;&gt;"",IF(G4&lt;&gt;"",IF(G4=0,1,(F4/G4)-1),""),"")</f>
        <v>0.10236220472440949</v>
      </c>
      <c r="AA4" s="15">
        <f t="shared" si="6"/>
        <v>5.8333333333333348E-2</v>
      </c>
      <c r="AB4" s="15">
        <f t="shared" si="6"/>
        <v>7.9136690647482189E-2</v>
      </c>
      <c r="AC4" s="15">
        <f t="shared" si="6"/>
        <v>-1.1555555555555652E-2</v>
      </c>
      <c r="AD4" s="15">
        <f t="shared" si="6"/>
        <v>8.381502890173409E-2</v>
      </c>
      <c r="AE4" s="15">
        <f t="shared" si="6"/>
        <v>0.1768707482993197</v>
      </c>
      <c r="AF4" s="15">
        <f t="shared" si="6"/>
        <v>0.1544502617801049</v>
      </c>
      <c r="AG4" s="15">
        <f t="shared" si="6"/>
        <v>0.3618538324420677</v>
      </c>
      <c r="AH4" s="15">
        <f t="shared" si="6"/>
        <v>6.4516129032258229E-2</v>
      </c>
      <c r="AI4" s="15">
        <f t="shared" si="6"/>
        <v>0.10714285714285721</v>
      </c>
      <c r="AJ4" s="15">
        <f t="shared" si="6"/>
        <v>0.80303030303030276</v>
      </c>
      <c r="AK4" s="15">
        <f t="shared" si="6"/>
        <v>1</v>
      </c>
      <c r="AL4" s="15">
        <f t="shared" si="6"/>
        <v>1</v>
      </c>
      <c r="AM4" s="5">
        <f>MIN(Z4:AL4)</f>
        <v>-1.1555555555555652E-2</v>
      </c>
    </row>
    <row r="5" spans="1:39" x14ac:dyDescent="0.25">
      <c r="A5" t="s">
        <v>2</v>
      </c>
      <c r="B5" t="s">
        <v>3</v>
      </c>
      <c r="C5" s="58">
        <v>31</v>
      </c>
      <c r="D5" s="58">
        <v>12</v>
      </c>
      <c r="E5" s="58">
        <v>2015</v>
      </c>
      <c r="F5" s="67">
        <v>3.42</v>
      </c>
      <c r="G5" s="79">
        <v>3.01</v>
      </c>
      <c r="H5" s="79">
        <v>2.82</v>
      </c>
      <c r="I5" s="61">
        <v>2.63</v>
      </c>
      <c r="J5" s="61">
        <v>2.77</v>
      </c>
      <c r="K5" s="61">
        <v>2.4700000000000002</v>
      </c>
      <c r="L5" s="61">
        <v>2.42</v>
      </c>
      <c r="M5" s="61">
        <v>2.34</v>
      </c>
      <c r="N5" s="61">
        <v>2.02</v>
      </c>
      <c r="O5" s="61">
        <v>1.89</v>
      </c>
      <c r="P5" s="61">
        <v>1.42</v>
      </c>
      <c r="Q5" s="61">
        <v>1.1100000000000001</v>
      </c>
      <c r="R5" s="61">
        <v>0.88</v>
      </c>
      <c r="S5" s="62">
        <v>0.92</v>
      </c>
      <c r="T5" s="13">
        <f t="shared" ref="T5:T68" si="7">AVERAGE(F5:S5)</f>
        <v>2.1514285714285717</v>
      </c>
      <c r="U5" s="4">
        <f t="shared" ca="1" si="1"/>
        <v>0</v>
      </c>
      <c r="V5" s="4">
        <f t="shared" ca="1" si="2"/>
        <v>73</v>
      </c>
      <c r="W5" s="4">
        <f t="shared" ca="1" si="3"/>
        <v>287</v>
      </c>
      <c r="X5" s="13">
        <f t="shared" ca="1" si="4"/>
        <v>2.8585277777777778</v>
      </c>
      <c r="Y5" s="5">
        <f t="shared" ca="1" si="5"/>
        <v>0.32866496975062698</v>
      </c>
      <c r="Z5" s="15">
        <f t="shared" ref="Z5:AC68" si="8">IF(F5&lt;&gt;"",IF(G5&lt;&gt;"",IF(G5=0,1,(F5/G5)-1),""),"")</f>
        <v>0.13621262458471772</v>
      </c>
      <c r="AA5" s="15">
        <f t="shared" si="8"/>
        <v>6.7375886524822626E-2</v>
      </c>
      <c r="AB5" s="15">
        <f t="shared" si="8"/>
        <v>7.2243346007604625E-2</v>
      </c>
      <c r="AC5" s="15">
        <f t="shared" si="8"/>
        <v>-5.0541516245487417E-2</v>
      </c>
      <c r="AD5" s="15">
        <f t="shared" ref="AD5:AD36" si="9">IF(J5&lt;&gt;"",IF(K5&lt;&gt;"",IF(K5=0,1,(J5/K5)-1),""),"")</f>
        <v>0.12145748987854232</v>
      </c>
      <c r="AE5" s="15">
        <f t="shared" ref="AE5:AE36" si="10">IF(K5&lt;&gt;"",IF(L5&lt;&gt;"",IF(L5=0,1,(K5/L5)-1),""),"")</f>
        <v>2.0661157024793431E-2</v>
      </c>
      <c r="AF5" s="15">
        <f t="shared" ref="AF5:AF36" si="11">IF(L5&lt;&gt;"",IF(M5&lt;&gt;"",IF(M5=0,1,(L5/M5)-1),""),"")</f>
        <v>3.4188034188034289E-2</v>
      </c>
      <c r="AG5" s="15">
        <f t="shared" ref="AG5:AG36" si="12">IF(M5&lt;&gt;"",IF(N5&lt;&gt;"",IF(N5=0,1,(M5/N5)-1),""),"")</f>
        <v>0.15841584158415833</v>
      </c>
      <c r="AH5" s="15">
        <f t="shared" ref="AH5:AH36" si="13">IF(N5&lt;&gt;"",IF(O5&lt;&gt;"",IF(O5=0,1,(N5/O5)-1),""),"")</f>
        <v>6.8783068783068835E-2</v>
      </c>
      <c r="AI5" s="15">
        <f t="shared" ref="AI5:AI36" si="14">IF(O5&lt;&gt;"",IF(P5&lt;&gt;"",IF(P5=0,1,(O5/P5)-1),""),"")</f>
        <v>0.33098591549295775</v>
      </c>
      <c r="AJ5" s="15">
        <f t="shared" ref="AJ5:AJ36" si="15">IF(P5&lt;&gt;"",IF(Q5&lt;&gt;"",IF(Q5=0,1,(P5/Q5)-1),""),"")</f>
        <v>0.27927927927927909</v>
      </c>
      <c r="AK5" s="15">
        <f t="shared" ref="AK5:AK36" si="16">IF(Q5&lt;&gt;"",IF(R5&lt;&gt;"",IF(R5=0,1,(Q5/R5)-1),""),"")</f>
        <v>0.26136363636363646</v>
      </c>
      <c r="AL5" s="15">
        <f t="shared" ref="AL5:AL36" si="17">IF(R5&lt;&gt;"",IF(S5&lt;&gt;"",IF(S5=0,1,(R5/S5)-1),""),"")</f>
        <v>-4.3478260869565299E-2</v>
      </c>
      <c r="AM5" s="5">
        <f t="shared" ref="AM5:AM68" si="18">MIN(Z5:AL5)</f>
        <v>-5.0541516245487417E-2</v>
      </c>
    </row>
    <row r="6" spans="1:39" x14ac:dyDescent="0.25">
      <c r="A6" t="s">
        <v>4</v>
      </c>
      <c r="B6" t="s">
        <v>5</v>
      </c>
      <c r="C6" s="58">
        <v>31</v>
      </c>
      <c r="D6" s="58">
        <v>12</v>
      </c>
      <c r="E6" s="58">
        <v>2015</v>
      </c>
      <c r="F6" s="67">
        <v>9.57</v>
      </c>
      <c r="G6" s="79">
        <v>8.8000000000000007</v>
      </c>
      <c r="H6" s="79">
        <v>8.23</v>
      </c>
      <c r="I6" s="61">
        <v>8</v>
      </c>
      <c r="J6" s="61">
        <v>7.8</v>
      </c>
      <c r="K6" s="61">
        <v>7.35</v>
      </c>
      <c r="L6" s="61">
        <v>6.8</v>
      </c>
      <c r="M6" s="61">
        <v>6.6</v>
      </c>
      <c r="N6" s="61">
        <v>6</v>
      </c>
      <c r="O6" s="61">
        <v>5</v>
      </c>
      <c r="P6" s="61">
        <v>4.5999999999999996</v>
      </c>
      <c r="Q6" s="61">
        <v>3.4</v>
      </c>
      <c r="R6" s="61">
        <v>2.5</v>
      </c>
      <c r="S6" s="62">
        <v>2</v>
      </c>
      <c r="T6" s="13">
        <f t="shared" si="7"/>
        <v>6.1892857142857149</v>
      </c>
      <c r="U6" s="4">
        <f t="shared" ca="1" si="1"/>
        <v>0</v>
      </c>
      <c r="V6" s="4">
        <f t="shared" ca="1" si="2"/>
        <v>73</v>
      </c>
      <c r="W6" s="4">
        <f t="shared" ca="1" si="3"/>
        <v>287</v>
      </c>
      <c r="X6" s="13">
        <f t="shared" ca="1" si="4"/>
        <v>8.3455833333333338</v>
      </c>
      <c r="Y6" s="5">
        <f t="shared" ca="1" si="5"/>
        <v>0.34839199846124247</v>
      </c>
      <c r="Z6" s="15">
        <f t="shared" si="8"/>
        <v>8.7499999999999911E-2</v>
      </c>
      <c r="AA6" s="15">
        <f t="shared" si="8"/>
        <v>6.925880923450789E-2</v>
      </c>
      <c r="AB6" s="15">
        <f t="shared" si="8"/>
        <v>2.8750000000000053E-2</v>
      </c>
      <c r="AC6" s="15">
        <f t="shared" si="8"/>
        <v>2.5641025641025772E-2</v>
      </c>
      <c r="AD6" s="15">
        <f t="shared" si="9"/>
        <v>6.1224489795918435E-2</v>
      </c>
      <c r="AE6" s="15">
        <f t="shared" si="10"/>
        <v>8.0882352941176405E-2</v>
      </c>
      <c r="AF6" s="15">
        <f t="shared" si="11"/>
        <v>3.0303030303030276E-2</v>
      </c>
      <c r="AG6" s="15">
        <f t="shared" si="12"/>
        <v>9.9999999999999867E-2</v>
      </c>
      <c r="AH6" s="15">
        <f t="shared" si="13"/>
        <v>0.19999999999999996</v>
      </c>
      <c r="AI6" s="15">
        <f t="shared" si="14"/>
        <v>8.6956521739130599E-2</v>
      </c>
      <c r="AJ6" s="15">
        <f t="shared" si="15"/>
        <v>0.35294117647058809</v>
      </c>
      <c r="AK6" s="15">
        <f t="shared" si="16"/>
        <v>0.35999999999999988</v>
      </c>
      <c r="AL6" s="15">
        <f t="shared" si="17"/>
        <v>0.25</v>
      </c>
      <c r="AM6" s="5">
        <f t="shared" si="18"/>
        <v>2.5641025641025772E-2</v>
      </c>
    </row>
    <row r="7" spans="1:39" x14ac:dyDescent="0.25">
      <c r="A7" t="s">
        <v>6</v>
      </c>
      <c r="B7" t="s">
        <v>7</v>
      </c>
      <c r="C7" s="58">
        <v>31</v>
      </c>
      <c r="D7" s="58">
        <v>12</v>
      </c>
      <c r="E7" s="58">
        <v>2015</v>
      </c>
      <c r="F7" s="67">
        <v>2.46</v>
      </c>
      <c r="G7" s="79">
        <v>2.36</v>
      </c>
      <c r="H7" s="79">
        <v>2.27</v>
      </c>
      <c r="I7" s="61">
        <v>2.2000000000000002</v>
      </c>
      <c r="J7" s="61">
        <v>2.15</v>
      </c>
      <c r="K7" s="61">
        <v>2.0499999999999998</v>
      </c>
      <c r="L7" s="61">
        <v>1.95</v>
      </c>
      <c r="M7" s="61">
        <v>1.85</v>
      </c>
      <c r="N7" s="61">
        <v>1.6</v>
      </c>
      <c r="O7" s="61">
        <v>1.4</v>
      </c>
      <c r="P7" s="61">
        <v>1.22</v>
      </c>
      <c r="Q7" s="61">
        <v>1.04</v>
      </c>
      <c r="R7" s="61">
        <v>0.9</v>
      </c>
      <c r="S7" s="62">
        <v>0.8</v>
      </c>
      <c r="T7" s="13">
        <f t="shared" si="7"/>
        <v>1.732142857142857</v>
      </c>
      <c r="U7" s="4">
        <f t="shared" ca="1" si="1"/>
        <v>0</v>
      </c>
      <c r="V7" s="4">
        <f t="shared" ca="1" si="2"/>
        <v>73</v>
      </c>
      <c r="W7" s="4">
        <f t="shared" ca="1" si="3"/>
        <v>287</v>
      </c>
      <c r="X7" s="13">
        <f t="shared" ca="1" si="4"/>
        <v>2.2882500000000001</v>
      </c>
      <c r="Y7" s="5">
        <f t="shared" ca="1" si="5"/>
        <v>0.32105154639175271</v>
      </c>
      <c r="Z7" s="15">
        <f t="shared" si="8"/>
        <v>4.2372881355932313E-2</v>
      </c>
      <c r="AA7" s="15">
        <f t="shared" si="8"/>
        <v>3.9647577092510877E-2</v>
      </c>
      <c r="AB7" s="15">
        <f t="shared" si="8"/>
        <v>3.1818181818181746E-2</v>
      </c>
      <c r="AC7" s="15">
        <f t="shared" si="8"/>
        <v>2.3255813953488413E-2</v>
      </c>
      <c r="AD7" s="15">
        <f t="shared" si="9"/>
        <v>4.8780487804878092E-2</v>
      </c>
      <c r="AE7" s="15">
        <f t="shared" si="10"/>
        <v>5.1282051282051322E-2</v>
      </c>
      <c r="AF7" s="15">
        <f t="shared" si="11"/>
        <v>5.4054054054053946E-2</v>
      </c>
      <c r="AG7" s="15">
        <f t="shared" si="12"/>
        <v>0.15625</v>
      </c>
      <c r="AH7" s="15">
        <f t="shared" si="13"/>
        <v>0.14285714285714302</v>
      </c>
      <c r="AI7" s="15">
        <f t="shared" si="14"/>
        <v>0.14754098360655732</v>
      </c>
      <c r="AJ7" s="15">
        <f t="shared" si="15"/>
        <v>0.17307692307692291</v>
      </c>
      <c r="AK7" s="15">
        <f t="shared" si="16"/>
        <v>0.15555555555555567</v>
      </c>
      <c r="AL7" s="15">
        <f t="shared" si="17"/>
        <v>0.125</v>
      </c>
      <c r="AM7" s="5">
        <f t="shared" si="18"/>
        <v>2.3255813953488413E-2</v>
      </c>
    </row>
    <row r="8" spans="1:39" x14ac:dyDescent="0.25">
      <c r="A8" t="s">
        <v>8</v>
      </c>
      <c r="B8" t="s">
        <v>9</v>
      </c>
      <c r="C8" s="58">
        <v>31</v>
      </c>
      <c r="D8" s="58">
        <v>12</v>
      </c>
      <c r="E8" s="58">
        <v>2015</v>
      </c>
      <c r="F8" s="67">
        <v>1.28</v>
      </c>
      <c r="G8" s="79">
        <v>1.06</v>
      </c>
      <c r="H8" s="79">
        <v>0.82</v>
      </c>
      <c r="I8" s="61">
        <v>0.75</v>
      </c>
      <c r="J8" s="61">
        <v>0.75</v>
      </c>
      <c r="K8" s="61">
        <v>0.75</v>
      </c>
      <c r="L8" s="61">
        <v>0.75</v>
      </c>
      <c r="M8" s="61">
        <v>0.75</v>
      </c>
      <c r="N8" s="61">
        <v>0.75</v>
      </c>
      <c r="O8" s="61">
        <v>0.5</v>
      </c>
      <c r="P8" s="61">
        <v>4.5</v>
      </c>
      <c r="Q8" s="61">
        <v>4</v>
      </c>
      <c r="R8" s="61">
        <v>2.5</v>
      </c>
      <c r="S8" s="62">
        <v>1.7</v>
      </c>
      <c r="T8" s="13">
        <f t="shared" si="7"/>
        <v>1.49</v>
      </c>
      <c r="U8" s="4">
        <f t="shared" ca="1" si="1"/>
        <v>0</v>
      </c>
      <c r="V8" s="4">
        <f t="shared" ca="1" si="2"/>
        <v>73</v>
      </c>
      <c r="W8" s="4">
        <f t="shared" ca="1" si="3"/>
        <v>287</v>
      </c>
      <c r="X8" s="13">
        <f t="shared" ca="1" si="4"/>
        <v>0.86866666666666648</v>
      </c>
      <c r="Y8" s="5">
        <f t="shared" ca="1" si="5"/>
        <v>-0.41700223713646545</v>
      </c>
      <c r="Z8" s="15">
        <f t="shared" si="8"/>
        <v>0.20754716981132071</v>
      </c>
      <c r="AA8" s="15">
        <f t="shared" si="8"/>
        <v>0.29268292682926833</v>
      </c>
      <c r="AB8" s="15">
        <f t="shared" si="8"/>
        <v>9.3333333333333268E-2</v>
      </c>
      <c r="AC8" s="15">
        <f t="shared" si="8"/>
        <v>0</v>
      </c>
      <c r="AD8" s="15">
        <f t="shared" si="9"/>
        <v>0</v>
      </c>
      <c r="AE8" s="15">
        <f t="shared" si="10"/>
        <v>0</v>
      </c>
      <c r="AF8" s="15">
        <f t="shared" si="11"/>
        <v>0</v>
      </c>
      <c r="AG8" s="15">
        <f t="shared" si="12"/>
        <v>0</v>
      </c>
      <c r="AH8" s="15">
        <f t="shared" si="13"/>
        <v>0.5</v>
      </c>
      <c r="AI8" s="15">
        <f t="shared" si="14"/>
        <v>-0.88888888888888884</v>
      </c>
      <c r="AJ8" s="15">
        <f t="shared" si="15"/>
        <v>0.125</v>
      </c>
      <c r="AK8" s="15">
        <f t="shared" si="16"/>
        <v>0.60000000000000009</v>
      </c>
      <c r="AL8" s="15">
        <f t="shared" si="17"/>
        <v>0.47058823529411775</v>
      </c>
      <c r="AM8" s="5">
        <f t="shared" si="18"/>
        <v>-0.88888888888888884</v>
      </c>
    </row>
    <row r="9" spans="1:39" x14ac:dyDescent="0.25">
      <c r="A9" t="s">
        <v>10</v>
      </c>
      <c r="B9" t="s">
        <v>11</v>
      </c>
      <c r="C9" s="58">
        <v>31</v>
      </c>
      <c r="D9" s="58">
        <v>12</v>
      </c>
      <c r="E9" s="58">
        <v>2015</v>
      </c>
      <c r="F9" s="67">
        <v>0.84</v>
      </c>
      <c r="G9" s="79">
        <v>0.81</v>
      </c>
      <c r="H9" s="79">
        <v>0.76</v>
      </c>
      <c r="I9" s="61">
        <v>0.7</v>
      </c>
      <c r="J9" s="61">
        <v>0.7</v>
      </c>
      <c r="K9" s="61">
        <v>0.7</v>
      </c>
      <c r="L9" s="61">
        <v>0.7</v>
      </c>
      <c r="M9" s="61">
        <v>0.7</v>
      </c>
      <c r="N9" s="61">
        <v>0.7</v>
      </c>
      <c r="O9" s="61">
        <v>0.9</v>
      </c>
      <c r="P9" s="61">
        <v>0.7</v>
      </c>
      <c r="Q9" s="61">
        <v>0.6</v>
      </c>
      <c r="R9" s="61">
        <v>0.56999999999999995</v>
      </c>
      <c r="S9" s="62">
        <v>0.53</v>
      </c>
      <c r="T9" s="13">
        <f t="shared" si="7"/>
        <v>0.70785714285714285</v>
      </c>
      <c r="U9" s="4">
        <f t="shared" ca="1" si="1"/>
        <v>0</v>
      </c>
      <c r="V9" s="4">
        <f t="shared" ca="1" si="2"/>
        <v>73</v>
      </c>
      <c r="W9" s="4">
        <f t="shared" ca="1" si="3"/>
        <v>287</v>
      </c>
      <c r="X9" s="13">
        <f t="shared" ca="1" si="4"/>
        <v>0.77013888888888893</v>
      </c>
      <c r="Y9" s="5">
        <f t="shared" ca="1" si="5"/>
        <v>8.7986321336472662E-2</v>
      </c>
      <c r="Z9" s="15">
        <f t="shared" si="8"/>
        <v>3.7037037037036979E-2</v>
      </c>
      <c r="AA9" s="15">
        <f t="shared" si="8"/>
        <v>6.578947368421062E-2</v>
      </c>
      <c r="AB9" s="15">
        <f t="shared" si="8"/>
        <v>8.5714285714285854E-2</v>
      </c>
      <c r="AC9" s="15">
        <f t="shared" si="8"/>
        <v>0</v>
      </c>
      <c r="AD9" s="15">
        <f t="shared" si="9"/>
        <v>0</v>
      </c>
      <c r="AE9" s="15">
        <f t="shared" si="10"/>
        <v>0</v>
      </c>
      <c r="AF9" s="15">
        <f t="shared" si="11"/>
        <v>0</v>
      </c>
      <c r="AG9" s="15">
        <f t="shared" si="12"/>
        <v>0</v>
      </c>
      <c r="AH9" s="15">
        <f t="shared" si="13"/>
        <v>-0.22222222222222232</v>
      </c>
      <c r="AI9" s="15">
        <f t="shared" si="14"/>
        <v>0.28571428571428581</v>
      </c>
      <c r="AJ9" s="15">
        <f t="shared" si="15"/>
        <v>0.16666666666666674</v>
      </c>
      <c r="AK9" s="15">
        <f t="shared" si="16"/>
        <v>5.2631578947368363E-2</v>
      </c>
      <c r="AL9" s="15">
        <f t="shared" si="17"/>
        <v>7.5471698113207308E-2</v>
      </c>
      <c r="AM9" s="5">
        <f t="shared" si="18"/>
        <v>-0.22222222222222232</v>
      </c>
    </row>
    <row r="10" spans="1:39" x14ac:dyDescent="0.25">
      <c r="A10" t="s">
        <v>12</v>
      </c>
      <c r="B10" t="s">
        <v>13</v>
      </c>
      <c r="C10" s="58">
        <v>31</v>
      </c>
      <c r="D10" s="58">
        <v>12</v>
      </c>
      <c r="E10" s="58">
        <v>2015</v>
      </c>
      <c r="F10" s="67">
        <v>1.08</v>
      </c>
      <c r="G10" s="79">
        <v>1.06</v>
      </c>
      <c r="H10" s="79">
        <v>0.95</v>
      </c>
      <c r="I10" s="61">
        <v>0.85</v>
      </c>
      <c r="J10" s="61">
        <v>0.8</v>
      </c>
      <c r="K10" s="61">
        <v>0.7</v>
      </c>
      <c r="L10" s="61">
        <v>0.7</v>
      </c>
      <c r="M10" s="61">
        <v>0.65</v>
      </c>
      <c r="N10" s="61">
        <v>0.6</v>
      </c>
      <c r="O10" s="61">
        <v>0.6</v>
      </c>
      <c r="P10" s="61">
        <v>0.9</v>
      </c>
      <c r="Q10" s="61">
        <v>0.75</v>
      </c>
      <c r="R10" s="61">
        <v>0.7</v>
      </c>
      <c r="S10" s="62">
        <v>0.5</v>
      </c>
      <c r="T10" s="13">
        <f t="shared" si="7"/>
        <v>0.77428571428571424</v>
      </c>
      <c r="U10" s="4">
        <f t="shared" ca="1" si="1"/>
        <v>0</v>
      </c>
      <c r="V10" s="4">
        <f t="shared" ca="1" si="2"/>
        <v>73</v>
      </c>
      <c r="W10" s="4">
        <f t="shared" ca="1" si="3"/>
        <v>287</v>
      </c>
      <c r="X10" s="13">
        <f t="shared" ca="1" si="4"/>
        <v>0.97230555555555553</v>
      </c>
      <c r="Y10" s="5">
        <f t="shared" ca="1" si="5"/>
        <v>0.25574518245182465</v>
      </c>
      <c r="Z10" s="15">
        <f t="shared" si="8"/>
        <v>1.8867924528301883E-2</v>
      </c>
      <c r="AA10" s="15">
        <f t="shared" si="8"/>
        <v>0.11578947368421066</v>
      </c>
      <c r="AB10" s="15">
        <f t="shared" si="8"/>
        <v>0.11764705882352944</v>
      </c>
      <c r="AC10" s="15">
        <f t="shared" si="8"/>
        <v>6.25E-2</v>
      </c>
      <c r="AD10" s="15">
        <f t="shared" si="9"/>
        <v>0.14285714285714302</v>
      </c>
      <c r="AE10" s="15">
        <f t="shared" si="10"/>
        <v>0</v>
      </c>
      <c r="AF10" s="15">
        <f t="shared" si="11"/>
        <v>7.6923076923076872E-2</v>
      </c>
      <c r="AG10" s="15">
        <f t="shared" si="12"/>
        <v>8.3333333333333481E-2</v>
      </c>
      <c r="AH10" s="15">
        <f t="shared" si="13"/>
        <v>0</v>
      </c>
      <c r="AI10" s="15">
        <f t="shared" si="14"/>
        <v>-0.33333333333333337</v>
      </c>
      <c r="AJ10" s="15">
        <f t="shared" si="15"/>
        <v>0.19999999999999996</v>
      </c>
      <c r="AK10" s="15">
        <f t="shared" si="16"/>
        <v>7.1428571428571397E-2</v>
      </c>
      <c r="AL10" s="15">
        <f t="shared" si="17"/>
        <v>0.39999999999999991</v>
      </c>
      <c r="AM10" s="5">
        <f t="shared" si="18"/>
        <v>-0.33333333333333337</v>
      </c>
    </row>
    <row r="11" spans="1:39" x14ac:dyDescent="0.25">
      <c r="A11" t="s">
        <v>14</v>
      </c>
      <c r="B11" t="s">
        <v>15</v>
      </c>
      <c r="C11" s="58">
        <v>31</v>
      </c>
      <c r="D11" s="58">
        <v>12</v>
      </c>
      <c r="E11" s="58">
        <v>2015</v>
      </c>
      <c r="F11" s="67">
        <v>0.61</v>
      </c>
      <c r="G11" s="79">
        <v>0.57999999999999996</v>
      </c>
      <c r="H11" s="79">
        <v>0.53</v>
      </c>
      <c r="I11" s="61">
        <v>0.5</v>
      </c>
      <c r="J11" s="61">
        <v>0.5</v>
      </c>
      <c r="K11" s="61">
        <v>0.7</v>
      </c>
      <c r="L11" s="61">
        <v>0.7</v>
      </c>
      <c r="M11" s="61">
        <v>0.7</v>
      </c>
      <c r="N11" s="61">
        <v>0.78</v>
      </c>
      <c r="O11" s="61">
        <v>0.78</v>
      </c>
      <c r="P11" s="61">
        <v>0.78</v>
      </c>
      <c r="Q11" s="61">
        <v>0.72</v>
      </c>
      <c r="R11" s="61">
        <v>0.72</v>
      </c>
      <c r="S11" s="62">
        <v>0.62</v>
      </c>
      <c r="T11" s="13">
        <f t="shared" si="7"/>
        <v>0.65857142857142859</v>
      </c>
      <c r="U11" s="4">
        <f t="shared" ca="1" si="1"/>
        <v>0</v>
      </c>
      <c r="V11" s="4">
        <f t="shared" ca="1" si="2"/>
        <v>73</v>
      </c>
      <c r="W11" s="4">
        <f t="shared" ca="1" si="3"/>
        <v>287</v>
      </c>
      <c r="X11" s="13">
        <f t="shared" ca="1" si="4"/>
        <v>0.54013888888888884</v>
      </c>
      <c r="Y11" s="5">
        <f t="shared" ca="1" si="5"/>
        <v>-0.17983248975656796</v>
      </c>
      <c r="Z11" s="15">
        <f t="shared" si="8"/>
        <v>5.1724137931034475E-2</v>
      </c>
      <c r="AA11" s="15">
        <f t="shared" si="8"/>
        <v>9.4339622641509413E-2</v>
      </c>
      <c r="AB11" s="15">
        <f t="shared" si="8"/>
        <v>6.0000000000000053E-2</v>
      </c>
      <c r="AC11" s="15">
        <f t="shared" si="8"/>
        <v>0</v>
      </c>
      <c r="AD11" s="15">
        <f t="shared" si="9"/>
        <v>-0.2857142857142857</v>
      </c>
      <c r="AE11" s="15">
        <f t="shared" si="10"/>
        <v>0</v>
      </c>
      <c r="AF11" s="15">
        <f t="shared" si="11"/>
        <v>0</v>
      </c>
      <c r="AG11" s="15">
        <f t="shared" si="12"/>
        <v>-0.10256410256410264</v>
      </c>
      <c r="AH11" s="15">
        <f t="shared" si="13"/>
        <v>0</v>
      </c>
      <c r="AI11" s="15">
        <f t="shared" si="14"/>
        <v>0</v>
      </c>
      <c r="AJ11" s="15">
        <f t="shared" si="15"/>
        <v>8.3333333333333481E-2</v>
      </c>
      <c r="AK11" s="15">
        <f t="shared" si="16"/>
        <v>0</v>
      </c>
      <c r="AL11" s="15">
        <f t="shared" si="17"/>
        <v>0.16129032258064502</v>
      </c>
      <c r="AM11" s="5">
        <f t="shared" si="18"/>
        <v>-0.2857142857142857</v>
      </c>
    </row>
    <row r="12" spans="1:39" x14ac:dyDescent="0.25">
      <c r="A12" t="s">
        <v>16</v>
      </c>
      <c r="B12" t="s">
        <v>17</v>
      </c>
      <c r="C12" s="58">
        <v>31</v>
      </c>
      <c r="D12" s="58">
        <v>12</v>
      </c>
      <c r="E12" s="58">
        <v>2015</v>
      </c>
      <c r="F12" s="67">
        <v>1.21</v>
      </c>
      <c r="G12" s="79">
        <v>1.19</v>
      </c>
      <c r="H12" s="79">
        <v>1.1000000000000001</v>
      </c>
      <c r="I12" s="66">
        <v>1.02</v>
      </c>
      <c r="J12" s="61">
        <v>1</v>
      </c>
      <c r="K12" s="61">
        <v>0.85</v>
      </c>
      <c r="L12" s="61">
        <v>1.1000000000000001</v>
      </c>
      <c r="M12" s="61">
        <v>0.6</v>
      </c>
      <c r="N12" s="61">
        <v>0.5</v>
      </c>
      <c r="O12" s="61">
        <v>0.5</v>
      </c>
      <c r="P12" s="61">
        <v>0.5</v>
      </c>
      <c r="Q12" s="61">
        <v>0.46</v>
      </c>
      <c r="R12" s="61">
        <v>0.36</v>
      </c>
      <c r="S12" s="62">
        <v>0.28000000000000003</v>
      </c>
      <c r="T12" s="13">
        <f t="shared" si="7"/>
        <v>0.76214285714285701</v>
      </c>
      <c r="U12" s="4">
        <f t="shared" ca="1" si="1"/>
        <v>0</v>
      </c>
      <c r="V12" s="4">
        <f t="shared" ca="1" si="2"/>
        <v>73</v>
      </c>
      <c r="W12" s="4">
        <f t="shared" ca="1" si="3"/>
        <v>287</v>
      </c>
      <c r="X12" s="13">
        <f t="shared" ca="1" si="4"/>
        <v>1.1182500000000002</v>
      </c>
      <c r="Y12" s="5">
        <f t="shared" ca="1" si="5"/>
        <v>0.46724461105904447</v>
      </c>
      <c r="Z12" s="15">
        <f t="shared" si="8"/>
        <v>1.6806722689075571E-2</v>
      </c>
      <c r="AA12" s="15">
        <f t="shared" si="8"/>
        <v>8.181818181818179E-2</v>
      </c>
      <c r="AB12" s="15">
        <f t="shared" si="8"/>
        <v>7.8431372549019773E-2</v>
      </c>
      <c r="AC12" s="15">
        <f t="shared" si="8"/>
        <v>2.0000000000000018E-2</v>
      </c>
      <c r="AD12" s="15">
        <f t="shared" si="9"/>
        <v>0.17647058823529416</v>
      </c>
      <c r="AE12" s="15">
        <f t="shared" si="10"/>
        <v>-0.2272727272727274</v>
      </c>
      <c r="AF12" s="15">
        <f t="shared" si="11"/>
        <v>0.83333333333333348</v>
      </c>
      <c r="AG12" s="15">
        <f t="shared" si="12"/>
        <v>0.19999999999999996</v>
      </c>
      <c r="AH12" s="15">
        <f t="shared" si="13"/>
        <v>0</v>
      </c>
      <c r="AI12" s="15">
        <f t="shared" si="14"/>
        <v>0</v>
      </c>
      <c r="AJ12" s="15">
        <f t="shared" si="15"/>
        <v>8.6956521739130377E-2</v>
      </c>
      <c r="AK12" s="15">
        <f t="shared" si="16"/>
        <v>0.2777777777777779</v>
      </c>
      <c r="AL12" s="15">
        <f t="shared" si="17"/>
        <v>0.28571428571428559</v>
      </c>
      <c r="AM12" s="5">
        <f t="shared" si="18"/>
        <v>-0.2272727272727274</v>
      </c>
    </row>
    <row r="13" spans="1:39" x14ac:dyDescent="0.25">
      <c r="A13" t="s">
        <v>18</v>
      </c>
      <c r="B13" t="s">
        <v>19</v>
      </c>
      <c r="C13" s="58">
        <v>30</v>
      </c>
      <c r="D13" s="58">
        <v>9</v>
      </c>
      <c r="E13" s="58">
        <v>2015</v>
      </c>
      <c r="F13" s="67">
        <v>4.0199999999999996</v>
      </c>
      <c r="G13" s="79">
        <v>3.69</v>
      </c>
      <c r="H13" s="79">
        <v>3.51</v>
      </c>
      <c r="I13" s="61">
        <v>3.3</v>
      </c>
      <c r="J13" s="61">
        <v>3</v>
      </c>
      <c r="K13" s="61">
        <v>3</v>
      </c>
      <c r="L13" s="61">
        <v>3</v>
      </c>
      <c r="M13" s="61">
        <v>2.7</v>
      </c>
      <c r="N13" s="61">
        <v>1.6</v>
      </c>
      <c r="O13" s="61">
        <v>1.6</v>
      </c>
      <c r="P13" s="61">
        <v>1.6</v>
      </c>
      <c r="Q13" s="61">
        <v>1.45</v>
      </c>
      <c r="R13" s="61">
        <v>1.35</v>
      </c>
      <c r="S13" s="62">
        <v>1.25</v>
      </c>
      <c r="T13" s="13">
        <f t="shared" si="7"/>
        <v>2.5050000000000003</v>
      </c>
      <c r="U13" s="4">
        <f t="shared" ca="1" si="1"/>
        <v>0</v>
      </c>
      <c r="V13" s="4">
        <f t="shared" ca="1" si="2"/>
        <v>164</v>
      </c>
      <c r="W13" s="4">
        <f t="shared" ca="1" si="3"/>
        <v>196</v>
      </c>
      <c r="X13" s="13">
        <f t="shared" ca="1" si="4"/>
        <v>3.5920000000000001</v>
      </c>
      <c r="Y13" s="5">
        <f t="shared" ca="1" si="5"/>
        <v>0.43393213572854283</v>
      </c>
      <c r="Z13" s="15">
        <f t="shared" si="8"/>
        <v>8.9430894308943021E-2</v>
      </c>
      <c r="AA13" s="15">
        <f t="shared" si="8"/>
        <v>5.1282051282051322E-2</v>
      </c>
      <c r="AB13" s="15">
        <f t="shared" si="8"/>
        <v>6.3636363636363713E-2</v>
      </c>
      <c r="AC13" s="15">
        <f t="shared" si="8"/>
        <v>9.9999999999999867E-2</v>
      </c>
      <c r="AD13" s="15">
        <f t="shared" si="9"/>
        <v>0</v>
      </c>
      <c r="AE13" s="15">
        <f t="shared" si="10"/>
        <v>0</v>
      </c>
      <c r="AF13" s="15">
        <f t="shared" si="11"/>
        <v>0.11111111111111094</v>
      </c>
      <c r="AG13" s="15">
        <f t="shared" si="12"/>
        <v>0.6875</v>
      </c>
      <c r="AH13" s="15">
        <f t="shared" si="13"/>
        <v>0</v>
      </c>
      <c r="AI13" s="15">
        <f t="shared" si="14"/>
        <v>0</v>
      </c>
      <c r="AJ13" s="15">
        <f t="shared" si="15"/>
        <v>0.10344827586206895</v>
      </c>
      <c r="AK13" s="15">
        <f t="shared" si="16"/>
        <v>7.4074074074073959E-2</v>
      </c>
      <c r="AL13" s="15">
        <f t="shared" si="17"/>
        <v>8.0000000000000071E-2</v>
      </c>
      <c r="AM13" s="5">
        <f t="shared" si="18"/>
        <v>0</v>
      </c>
    </row>
    <row r="14" spans="1:39" x14ac:dyDescent="0.25">
      <c r="A14" t="s">
        <v>20</v>
      </c>
      <c r="B14" t="s">
        <v>21</v>
      </c>
      <c r="C14" s="58">
        <v>31</v>
      </c>
      <c r="D14" s="58">
        <v>12</v>
      </c>
      <c r="E14" s="58">
        <v>2015</v>
      </c>
      <c r="F14" s="67">
        <v>6.67</v>
      </c>
      <c r="G14" s="79">
        <v>7.03</v>
      </c>
      <c r="H14" s="79">
        <v>6.99</v>
      </c>
      <c r="I14" s="61">
        <v>6.85</v>
      </c>
      <c r="J14" s="61">
        <v>5.3</v>
      </c>
      <c r="K14" s="61">
        <v>4.5</v>
      </c>
      <c r="L14" s="61">
        <v>4.5</v>
      </c>
      <c r="M14" s="61">
        <v>4.5</v>
      </c>
      <c r="N14" s="61">
        <v>4.0999999999999996</v>
      </c>
      <c r="O14" s="61">
        <v>3.5</v>
      </c>
      <c r="P14" s="61">
        <v>5.5</v>
      </c>
      <c r="Q14" s="61">
        <v>3.8</v>
      </c>
      <c r="R14" s="61">
        <v>2</v>
      </c>
      <c r="S14" s="62">
        <v>1.75</v>
      </c>
      <c r="T14" s="13">
        <f t="shared" si="7"/>
        <v>4.7849999999999993</v>
      </c>
      <c r="U14" s="4">
        <f t="shared" ca="1" si="1"/>
        <v>0</v>
      </c>
      <c r="V14" s="4">
        <f t="shared" ca="1" si="2"/>
        <v>73</v>
      </c>
      <c r="W14" s="4">
        <f t="shared" ca="1" si="3"/>
        <v>287</v>
      </c>
      <c r="X14" s="13">
        <f t="shared" ca="1" si="4"/>
        <v>6.9981111111111121</v>
      </c>
      <c r="Y14" s="5">
        <f t="shared" ca="1" si="5"/>
        <v>0.46251015906188364</v>
      </c>
      <c r="Z14" s="15">
        <f t="shared" si="8"/>
        <v>-5.1209103840682779E-2</v>
      </c>
      <c r="AA14" s="15">
        <f t="shared" si="8"/>
        <v>5.7224606580830173E-3</v>
      </c>
      <c r="AB14" s="15">
        <f t="shared" si="8"/>
        <v>2.0437956204379715E-2</v>
      </c>
      <c r="AC14" s="15">
        <f t="shared" si="8"/>
        <v>0.29245283018867929</v>
      </c>
      <c r="AD14" s="15">
        <f t="shared" si="9"/>
        <v>0.17777777777777781</v>
      </c>
      <c r="AE14" s="15">
        <f t="shared" si="10"/>
        <v>0</v>
      </c>
      <c r="AF14" s="15">
        <f t="shared" si="11"/>
        <v>0</v>
      </c>
      <c r="AG14" s="15">
        <f t="shared" si="12"/>
        <v>9.7560975609756184E-2</v>
      </c>
      <c r="AH14" s="15">
        <f t="shared" si="13"/>
        <v>0.17142857142857126</v>
      </c>
      <c r="AI14" s="15">
        <f t="shared" si="14"/>
        <v>-0.36363636363636365</v>
      </c>
      <c r="AJ14" s="15">
        <f t="shared" si="15"/>
        <v>0.44736842105263164</v>
      </c>
      <c r="AK14" s="15">
        <f t="shared" si="16"/>
        <v>0.89999999999999991</v>
      </c>
      <c r="AL14" s="15">
        <f t="shared" si="17"/>
        <v>0.14285714285714279</v>
      </c>
      <c r="AM14" s="5">
        <f t="shared" si="18"/>
        <v>-0.36363636363636365</v>
      </c>
    </row>
    <row r="15" spans="1:39" x14ac:dyDescent="0.25">
      <c r="A15" t="s">
        <v>22</v>
      </c>
      <c r="B15" t="s">
        <v>23</v>
      </c>
      <c r="C15" s="58">
        <v>31</v>
      </c>
      <c r="D15" s="58">
        <v>12</v>
      </c>
      <c r="E15" s="58">
        <v>2015</v>
      </c>
      <c r="F15" s="67">
        <v>7.08</v>
      </c>
      <c r="G15" s="79">
        <v>8.11</v>
      </c>
      <c r="H15" s="79">
        <v>7.86</v>
      </c>
      <c r="I15" s="61">
        <v>7.75</v>
      </c>
      <c r="J15" s="61">
        <v>7.25</v>
      </c>
      <c r="K15" s="61">
        <v>7</v>
      </c>
      <c r="L15" s="61">
        <v>6.25</v>
      </c>
      <c r="M15" s="61">
        <v>6.25</v>
      </c>
      <c r="N15" s="61">
        <v>5.75</v>
      </c>
      <c r="O15" s="61">
        <v>5.5</v>
      </c>
      <c r="P15" s="61">
        <v>5.5</v>
      </c>
      <c r="Q15" s="61">
        <v>4.5</v>
      </c>
      <c r="R15" s="61">
        <v>3.1</v>
      </c>
      <c r="S15" s="62">
        <v>2</v>
      </c>
      <c r="T15" s="13">
        <f t="shared" si="7"/>
        <v>5.992857142857142</v>
      </c>
      <c r="U15" s="4">
        <f t="shared" ca="1" si="1"/>
        <v>0</v>
      </c>
      <c r="V15" s="4">
        <f t="shared" ca="1" si="2"/>
        <v>73</v>
      </c>
      <c r="W15" s="4">
        <f t="shared" ca="1" si="3"/>
        <v>287</v>
      </c>
      <c r="X15" s="13">
        <f t="shared" ca="1" si="4"/>
        <v>7.9106944444444443</v>
      </c>
      <c r="Y15" s="5">
        <f t="shared" ca="1" si="5"/>
        <v>0.32002052708250583</v>
      </c>
      <c r="Z15" s="15">
        <f t="shared" si="8"/>
        <v>-0.12700369913686804</v>
      </c>
      <c r="AA15" s="15">
        <f t="shared" si="8"/>
        <v>3.1806615776081237E-2</v>
      </c>
      <c r="AB15" s="15">
        <f t="shared" si="8"/>
        <v>1.4193548387096744E-2</v>
      </c>
      <c r="AC15" s="15">
        <f t="shared" si="8"/>
        <v>6.8965517241379226E-2</v>
      </c>
      <c r="AD15" s="15">
        <f t="shared" si="9"/>
        <v>3.5714285714285809E-2</v>
      </c>
      <c r="AE15" s="15">
        <f t="shared" si="10"/>
        <v>0.12000000000000011</v>
      </c>
      <c r="AF15" s="15">
        <f t="shared" si="11"/>
        <v>0</v>
      </c>
      <c r="AG15" s="15">
        <f t="shared" si="12"/>
        <v>8.6956521739130377E-2</v>
      </c>
      <c r="AH15" s="15">
        <f t="shared" si="13"/>
        <v>4.5454545454545414E-2</v>
      </c>
      <c r="AI15" s="15">
        <f t="shared" si="14"/>
        <v>0</v>
      </c>
      <c r="AJ15" s="15">
        <f t="shared" si="15"/>
        <v>0.22222222222222232</v>
      </c>
      <c r="AK15" s="15">
        <f t="shared" si="16"/>
        <v>0.45161290322580649</v>
      </c>
      <c r="AL15" s="15">
        <f t="shared" si="17"/>
        <v>0.55000000000000004</v>
      </c>
      <c r="AM15" s="5">
        <f t="shared" si="18"/>
        <v>-0.12700369913686804</v>
      </c>
    </row>
    <row r="16" spans="1:39" x14ac:dyDescent="0.25">
      <c r="A16" t="s">
        <v>24</v>
      </c>
      <c r="B16" t="s">
        <v>25</v>
      </c>
      <c r="C16" s="58">
        <v>31</v>
      </c>
      <c r="D16" s="58">
        <v>12</v>
      </c>
      <c r="E16" s="58">
        <v>2015</v>
      </c>
      <c r="F16" s="67">
        <v>3.2</v>
      </c>
      <c r="G16" s="79">
        <v>3.07</v>
      </c>
      <c r="H16" s="79">
        <v>2.91</v>
      </c>
      <c r="I16" s="61">
        <v>2.8</v>
      </c>
      <c r="J16" s="61">
        <v>2.7</v>
      </c>
      <c r="K16" s="61">
        <v>2.6</v>
      </c>
      <c r="L16" s="61">
        <v>2.5</v>
      </c>
      <c r="M16" s="61">
        <v>2.2000000000000002</v>
      </c>
      <c r="N16" s="61">
        <v>1.7</v>
      </c>
      <c r="O16" s="61">
        <v>1.95</v>
      </c>
      <c r="P16" s="61">
        <v>1.95</v>
      </c>
      <c r="Q16" s="61">
        <v>1.5</v>
      </c>
      <c r="R16" s="61">
        <v>1</v>
      </c>
      <c r="S16" s="62">
        <v>0.85</v>
      </c>
      <c r="T16" s="13">
        <f t="shared" si="7"/>
        <v>2.2092857142857141</v>
      </c>
      <c r="U16" s="4">
        <f t="shared" ca="1" si="1"/>
        <v>0</v>
      </c>
      <c r="V16" s="4">
        <f t="shared" ca="1" si="2"/>
        <v>73</v>
      </c>
      <c r="W16" s="4">
        <f t="shared" ca="1" si="3"/>
        <v>287</v>
      </c>
      <c r="X16" s="13">
        <f t="shared" ca="1" si="4"/>
        <v>2.942444444444444</v>
      </c>
      <c r="Y16" s="5">
        <f t="shared" ca="1" si="5"/>
        <v>0.33185328878830322</v>
      </c>
      <c r="Z16" s="15">
        <f t="shared" si="8"/>
        <v>4.2345276872964188E-2</v>
      </c>
      <c r="AA16" s="15">
        <f t="shared" si="8"/>
        <v>5.4982817869415612E-2</v>
      </c>
      <c r="AB16" s="15">
        <f t="shared" si="8"/>
        <v>3.9285714285714368E-2</v>
      </c>
      <c r="AC16" s="15">
        <f t="shared" si="8"/>
        <v>3.7037037037036979E-2</v>
      </c>
      <c r="AD16" s="15">
        <f t="shared" si="9"/>
        <v>3.8461538461538547E-2</v>
      </c>
      <c r="AE16" s="15">
        <f t="shared" si="10"/>
        <v>4.0000000000000036E-2</v>
      </c>
      <c r="AF16" s="15">
        <f t="shared" si="11"/>
        <v>0.13636363636363624</v>
      </c>
      <c r="AG16" s="15">
        <f t="shared" si="12"/>
        <v>0.29411764705882359</v>
      </c>
      <c r="AH16" s="15">
        <f t="shared" si="13"/>
        <v>-0.12820512820512819</v>
      </c>
      <c r="AI16" s="15">
        <f t="shared" si="14"/>
        <v>0</v>
      </c>
      <c r="AJ16" s="15">
        <f t="shared" si="15"/>
        <v>0.30000000000000004</v>
      </c>
      <c r="AK16" s="15">
        <f t="shared" si="16"/>
        <v>0.5</v>
      </c>
      <c r="AL16" s="15">
        <f t="shared" si="17"/>
        <v>0.17647058823529416</v>
      </c>
      <c r="AM16" s="5">
        <f t="shared" si="18"/>
        <v>-0.12820512820512819</v>
      </c>
    </row>
    <row r="17" spans="1:39" x14ac:dyDescent="0.25">
      <c r="A17" t="s">
        <v>26</v>
      </c>
      <c r="B17" t="s">
        <v>27</v>
      </c>
      <c r="C17" s="58">
        <v>31</v>
      </c>
      <c r="D17" s="58">
        <v>12</v>
      </c>
      <c r="E17" s="58">
        <v>2015</v>
      </c>
      <c r="F17" s="67">
        <v>3.06</v>
      </c>
      <c r="G17" s="79">
        <v>2.76</v>
      </c>
      <c r="H17" s="79">
        <v>2.4900000000000002</v>
      </c>
      <c r="I17" s="61">
        <v>2.25</v>
      </c>
      <c r="J17" s="61">
        <v>2.1</v>
      </c>
      <c r="K17" s="61">
        <v>1.9</v>
      </c>
      <c r="L17" s="61">
        <v>1.65</v>
      </c>
      <c r="M17" s="61">
        <v>1.5</v>
      </c>
      <c r="N17" s="61">
        <v>1.4</v>
      </c>
      <c r="O17" s="61">
        <v>1.4</v>
      </c>
      <c r="P17" s="61">
        <v>1.35</v>
      </c>
      <c r="Q17" s="61">
        <v>1</v>
      </c>
      <c r="R17" s="61">
        <v>0.95</v>
      </c>
      <c r="S17" s="62">
        <v>0.55000000000000004</v>
      </c>
      <c r="T17" s="13">
        <f t="shared" si="7"/>
        <v>1.74</v>
      </c>
      <c r="U17" s="4">
        <f t="shared" ca="1" si="1"/>
        <v>0</v>
      </c>
      <c r="V17" s="4">
        <f t="shared" ca="1" si="2"/>
        <v>73</v>
      </c>
      <c r="W17" s="4">
        <f t="shared" ca="1" si="3"/>
        <v>287</v>
      </c>
      <c r="X17" s="13">
        <f t="shared" ca="1" si="4"/>
        <v>2.5447500000000001</v>
      </c>
      <c r="Y17" s="5">
        <f t="shared" ca="1" si="5"/>
        <v>0.46250000000000013</v>
      </c>
      <c r="Z17" s="15">
        <f t="shared" si="8"/>
        <v>0.10869565217391308</v>
      </c>
      <c r="AA17" s="15">
        <f t="shared" si="8"/>
        <v>0.10843373493975883</v>
      </c>
      <c r="AB17" s="15">
        <f t="shared" si="8"/>
        <v>0.10666666666666669</v>
      </c>
      <c r="AC17" s="15">
        <f t="shared" si="8"/>
        <v>7.1428571428571397E-2</v>
      </c>
      <c r="AD17" s="15">
        <f t="shared" si="9"/>
        <v>0.10526315789473695</v>
      </c>
      <c r="AE17" s="15">
        <f t="shared" si="10"/>
        <v>0.1515151515151516</v>
      </c>
      <c r="AF17" s="15">
        <f t="shared" si="11"/>
        <v>9.9999999999999867E-2</v>
      </c>
      <c r="AG17" s="15">
        <f t="shared" si="12"/>
        <v>7.1428571428571397E-2</v>
      </c>
      <c r="AH17" s="15">
        <f t="shared" si="13"/>
        <v>0</v>
      </c>
      <c r="AI17" s="15">
        <f t="shared" si="14"/>
        <v>3.7037037037036979E-2</v>
      </c>
      <c r="AJ17" s="15">
        <f t="shared" si="15"/>
        <v>0.35000000000000009</v>
      </c>
      <c r="AK17" s="15">
        <f t="shared" si="16"/>
        <v>5.2631578947368363E-2</v>
      </c>
      <c r="AL17" s="15">
        <f t="shared" si="17"/>
        <v>0.72727272727272707</v>
      </c>
      <c r="AM17" s="5">
        <f t="shared" si="18"/>
        <v>0</v>
      </c>
    </row>
    <row r="18" spans="1:39" x14ac:dyDescent="0.25">
      <c r="A18" t="s">
        <v>28</v>
      </c>
      <c r="B18" t="s">
        <v>29</v>
      </c>
      <c r="C18" s="58">
        <v>31</v>
      </c>
      <c r="D18" s="58">
        <v>12</v>
      </c>
      <c r="E18" s="58">
        <v>2015</v>
      </c>
      <c r="F18" s="67">
        <v>0.26</v>
      </c>
      <c r="G18" s="79">
        <v>0.25</v>
      </c>
      <c r="H18" s="79">
        <v>0.22</v>
      </c>
      <c r="I18" s="61">
        <v>0.4</v>
      </c>
      <c r="J18" s="61">
        <v>0.6</v>
      </c>
      <c r="K18" s="61">
        <v>0.6</v>
      </c>
      <c r="L18" s="61">
        <v>0.78</v>
      </c>
      <c r="M18" s="61">
        <v>0.6</v>
      </c>
      <c r="N18" s="61">
        <v>0.6</v>
      </c>
      <c r="O18" s="61">
        <v>0.65</v>
      </c>
      <c r="P18" s="61">
        <v>0.65</v>
      </c>
      <c r="Q18" s="61">
        <v>0.52</v>
      </c>
      <c r="R18" s="61">
        <v>0.42</v>
      </c>
      <c r="S18" s="62">
        <v>0.33</v>
      </c>
      <c r="T18" s="13">
        <f t="shared" si="7"/>
        <v>0.49142857142857149</v>
      </c>
      <c r="U18" s="4">
        <f t="shared" ca="1" si="1"/>
        <v>0</v>
      </c>
      <c r="V18" s="4">
        <f t="shared" ca="1" si="2"/>
        <v>73</v>
      </c>
      <c r="W18" s="4">
        <f t="shared" ca="1" si="3"/>
        <v>287</v>
      </c>
      <c r="X18" s="13">
        <f t="shared" ca="1" si="4"/>
        <v>0.2260833333333333</v>
      </c>
      <c r="Y18" s="5">
        <f t="shared" ca="1" si="5"/>
        <v>-0.5399467054263567</v>
      </c>
      <c r="Z18" s="15">
        <f t="shared" si="8"/>
        <v>4.0000000000000036E-2</v>
      </c>
      <c r="AA18" s="15">
        <f t="shared" si="8"/>
        <v>0.13636363636363646</v>
      </c>
      <c r="AB18" s="15">
        <f t="shared" si="8"/>
        <v>-0.45000000000000007</v>
      </c>
      <c r="AC18" s="15">
        <f t="shared" si="8"/>
        <v>-0.33333333333333326</v>
      </c>
      <c r="AD18" s="15">
        <f t="shared" si="9"/>
        <v>0</v>
      </c>
      <c r="AE18" s="15">
        <f t="shared" si="10"/>
        <v>-0.23076923076923084</v>
      </c>
      <c r="AF18" s="15">
        <f t="shared" si="11"/>
        <v>0.30000000000000004</v>
      </c>
      <c r="AG18" s="15">
        <f t="shared" si="12"/>
        <v>0</v>
      </c>
      <c r="AH18" s="15">
        <f t="shared" si="13"/>
        <v>-7.6923076923076983E-2</v>
      </c>
      <c r="AI18" s="15">
        <f t="shared" si="14"/>
        <v>0</v>
      </c>
      <c r="AJ18" s="15">
        <f t="shared" si="15"/>
        <v>0.25</v>
      </c>
      <c r="AK18" s="15">
        <f t="shared" si="16"/>
        <v>0.23809523809523814</v>
      </c>
      <c r="AL18" s="15">
        <f t="shared" si="17"/>
        <v>0.27272727272727271</v>
      </c>
      <c r="AM18" s="5">
        <f t="shared" si="18"/>
        <v>-0.45000000000000007</v>
      </c>
    </row>
    <row r="19" spans="1:39" x14ac:dyDescent="0.25">
      <c r="A19" t="s">
        <v>30</v>
      </c>
      <c r="B19" t="s">
        <v>31</v>
      </c>
      <c r="C19" s="58">
        <v>31</v>
      </c>
      <c r="D19" s="58">
        <v>12</v>
      </c>
      <c r="E19" s="58">
        <v>2015</v>
      </c>
      <c r="F19" s="67">
        <v>0.75</v>
      </c>
      <c r="G19" s="79">
        <v>0.69</v>
      </c>
      <c r="H19" s="79">
        <v>0.71</v>
      </c>
      <c r="I19" s="61">
        <v>0.4</v>
      </c>
      <c r="J19" s="61">
        <v>0.75</v>
      </c>
      <c r="K19" s="61">
        <v>0.82</v>
      </c>
      <c r="L19" s="61">
        <v>1.52</v>
      </c>
      <c r="M19" s="61">
        <v>1.3</v>
      </c>
      <c r="N19" s="61">
        <v>1</v>
      </c>
      <c r="O19" s="61">
        <v>0.9</v>
      </c>
      <c r="P19" s="61">
        <v>0.65</v>
      </c>
      <c r="Q19" s="61">
        <v>0.55000000000000004</v>
      </c>
      <c r="R19" s="61">
        <v>0.5</v>
      </c>
      <c r="S19" s="62">
        <v>0.4</v>
      </c>
      <c r="T19" s="13">
        <f t="shared" si="7"/>
        <v>0.78142857142857147</v>
      </c>
      <c r="U19" s="4">
        <f t="shared" ca="1" si="1"/>
        <v>0</v>
      </c>
      <c r="V19" s="4">
        <f t="shared" ca="1" si="2"/>
        <v>73</v>
      </c>
      <c r="W19" s="4">
        <f t="shared" ca="1" si="3"/>
        <v>287</v>
      </c>
      <c r="X19" s="13">
        <f t="shared" ca="1" si="4"/>
        <v>0.70594444444444437</v>
      </c>
      <c r="Y19" s="5">
        <f t="shared" ca="1" si="5"/>
        <v>-9.6597603087548389E-2</v>
      </c>
      <c r="Z19" s="15">
        <f t="shared" si="8"/>
        <v>8.6956521739130599E-2</v>
      </c>
      <c r="AA19" s="15">
        <f t="shared" si="8"/>
        <v>-2.8169014084507116E-2</v>
      </c>
      <c r="AB19" s="15">
        <f t="shared" si="8"/>
        <v>0.77499999999999991</v>
      </c>
      <c r="AC19" s="15">
        <f t="shared" si="8"/>
        <v>-0.46666666666666667</v>
      </c>
      <c r="AD19" s="15">
        <f t="shared" si="9"/>
        <v>-8.536585365853655E-2</v>
      </c>
      <c r="AE19" s="15">
        <f t="shared" si="10"/>
        <v>-0.46052631578947367</v>
      </c>
      <c r="AF19" s="15">
        <f t="shared" si="11"/>
        <v>0.1692307692307693</v>
      </c>
      <c r="AG19" s="15">
        <f t="shared" si="12"/>
        <v>0.30000000000000004</v>
      </c>
      <c r="AH19" s="15">
        <f t="shared" si="13"/>
        <v>0.11111111111111116</v>
      </c>
      <c r="AI19" s="15">
        <f t="shared" si="14"/>
        <v>0.38461538461538458</v>
      </c>
      <c r="AJ19" s="15">
        <f t="shared" si="15"/>
        <v>0.18181818181818166</v>
      </c>
      <c r="AK19" s="15">
        <f t="shared" si="16"/>
        <v>0.10000000000000009</v>
      </c>
      <c r="AL19" s="15">
        <f t="shared" si="17"/>
        <v>0.25</v>
      </c>
      <c r="AM19" s="5">
        <f t="shared" si="18"/>
        <v>-0.46666666666666667</v>
      </c>
    </row>
    <row r="20" spans="1:39" x14ac:dyDescent="0.25">
      <c r="A20" t="s">
        <v>32</v>
      </c>
      <c r="B20" t="s">
        <v>33</v>
      </c>
      <c r="C20" s="58">
        <v>31</v>
      </c>
      <c r="D20" s="58">
        <v>12</v>
      </c>
      <c r="E20" s="58">
        <v>2015</v>
      </c>
      <c r="F20" s="67">
        <v>2.75</v>
      </c>
      <c r="G20" s="79">
        <v>2.7</v>
      </c>
      <c r="H20" s="79">
        <v>2.68</v>
      </c>
      <c r="I20" s="66">
        <v>2.15</v>
      </c>
      <c r="J20" s="61">
        <v>2.38</v>
      </c>
      <c r="K20" s="61">
        <v>2.34</v>
      </c>
      <c r="L20" s="61">
        <v>2.2799999999999998</v>
      </c>
      <c r="M20" s="61">
        <v>2.2799999999999998</v>
      </c>
      <c r="N20" s="61">
        <v>2.2799999999999998</v>
      </c>
      <c r="O20" s="61">
        <v>2.2799999999999998</v>
      </c>
      <c r="P20" s="61">
        <v>2.0699999999999998</v>
      </c>
      <c r="Q20" s="61">
        <v>1.87</v>
      </c>
      <c r="R20" s="61">
        <v>1.62</v>
      </c>
      <c r="S20" s="62">
        <v>1.35</v>
      </c>
      <c r="T20" s="13">
        <f t="shared" si="7"/>
        <v>2.2164285714285721</v>
      </c>
      <c r="U20" s="4">
        <f t="shared" ca="1" si="1"/>
        <v>0</v>
      </c>
      <c r="V20" s="4">
        <f t="shared" ca="1" si="2"/>
        <v>73</v>
      </c>
      <c r="W20" s="4">
        <f t="shared" ca="1" si="3"/>
        <v>287</v>
      </c>
      <c r="X20" s="13">
        <f t="shared" ca="1" si="4"/>
        <v>2.6840555555555561</v>
      </c>
      <c r="Y20" s="5">
        <f t="shared" ca="1" si="5"/>
        <v>0.21098220360224862</v>
      </c>
      <c r="Z20" s="15">
        <f t="shared" si="8"/>
        <v>1.8518518518518379E-2</v>
      </c>
      <c r="AA20" s="15">
        <f t="shared" si="8"/>
        <v>7.4626865671640896E-3</v>
      </c>
      <c r="AB20" s="15">
        <f t="shared" si="8"/>
        <v>0.24651162790697678</v>
      </c>
      <c r="AC20" s="15">
        <f t="shared" si="8"/>
        <v>-9.6638655462184864E-2</v>
      </c>
      <c r="AD20" s="15">
        <f t="shared" si="9"/>
        <v>1.7094017094017033E-2</v>
      </c>
      <c r="AE20" s="15">
        <f t="shared" si="10"/>
        <v>2.6315789473684292E-2</v>
      </c>
      <c r="AF20" s="15">
        <f t="shared" si="11"/>
        <v>0</v>
      </c>
      <c r="AG20" s="15">
        <f t="shared" si="12"/>
        <v>0</v>
      </c>
      <c r="AH20" s="15">
        <f t="shared" si="13"/>
        <v>0</v>
      </c>
      <c r="AI20" s="15">
        <f t="shared" si="14"/>
        <v>0.10144927536231885</v>
      </c>
      <c r="AJ20" s="15">
        <f t="shared" si="15"/>
        <v>0.10695187165775377</v>
      </c>
      <c r="AK20" s="15">
        <f t="shared" si="16"/>
        <v>0.15432098765432101</v>
      </c>
      <c r="AL20" s="15">
        <f t="shared" si="17"/>
        <v>0.19999999999999996</v>
      </c>
      <c r="AM20" s="5">
        <f t="shared" si="18"/>
        <v>-9.6638655462184864E-2</v>
      </c>
    </row>
    <row r="21" spans="1:39" x14ac:dyDescent="0.25">
      <c r="A21" t="s">
        <v>34</v>
      </c>
      <c r="B21" t="s">
        <v>35</v>
      </c>
      <c r="C21" s="58">
        <v>31</v>
      </c>
      <c r="D21" s="58">
        <v>12</v>
      </c>
      <c r="E21" s="58">
        <v>2015</v>
      </c>
      <c r="F21" s="67">
        <v>1.86</v>
      </c>
      <c r="G21" s="79">
        <v>1.72</v>
      </c>
      <c r="H21" s="79">
        <v>1.59</v>
      </c>
      <c r="I21" s="61">
        <v>1.5</v>
      </c>
      <c r="J21" s="61">
        <v>1.45</v>
      </c>
      <c r="K21" s="61">
        <v>1.45</v>
      </c>
      <c r="L21" s="61">
        <v>1.39</v>
      </c>
      <c r="M21" s="61">
        <v>1.3</v>
      </c>
      <c r="N21" s="61">
        <v>1.2</v>
      </c>
      <c r="O21" s="61">
        <v>1.2</v>
      </c>
      <c r="P21" s="61">
        <v>1.1000000000000001</v>
      </c>
      <c r="Q21" s="61">
        <v>1</v>
      </c>
      <c r="R21" s="61">
        <v>0.85</v>
      </c>
      <c r="S21" s="62">
        <v>0.68</v>
      </c>
      <c r="T21" s="13">
        <f t="shared" si="7"/>
        <v>1.3064285714285713</v>
      </c>
      <c r="U21" s="4">
        <f t="shared" ca="1" si="1"/>
        <v>0</v>
      </c>
      <c r="V21" s="4">
        <f t="shared" ca="1" si="2"/>
        <v>73</v>
      </c>
      <c r="W21" s="4">
        <f t="shared" ca="1" si="3"/>
        <v>287</v>
      </c>
      <c r="X21" s="13">
        <f t="shared" ca="1" si="4"/>
        <v>1.6163611111111109</v>
      </c>
      <c r="Y21" s="5">
        <f t="shared" ca="1" si="5"/>
        <v>0.23723649839013428</v>
      </c>
      <c r="Z21" s="15">
        <f t="shared" si="8"/>
        <v>8.1395348837209447E-2</v>
      </c>
      <c r="AA21" s="15">
        <f t="shared" si="8"/>
        <v>8.1761006289308158E-2</v>
      </c>
      <c r="AB21" s="15">
        <f t="shared" si="8"/>
        <v>6.0000000000000053E-2</v>
      </c>
      <c r="AC21" s="15">
        <f t="shared" si="8"/>
        <v>3.4482758620689724E-2</v>
      </c>
      <c r="AD21" s="15">
        <f t="shared" si="9"/>
        <v>0</v>
      </c>
      <c r="AE21" s="15">
        <f t="shared" si="10"/>
        <v>4.3165467625899234E-2</v>
      </c>
      <c r="AF21" s="15">
        <f t="shared" si="11"/>
        <v>6.9230769230769207E-2</v>
      </c>
      <c r="AG21" s="15">
        <f t="shared" si="12"/>
        <v>8.3333333333333481E-2</v>
      </c>
      <c r="AH21" s="15">
        <f t="shared" si="13"/>
        <v>0</v>
      </c>
      <c r="AI21" s="15">
        <f t="shared" si="14"/>
        <v>9.0909090909090828E-2</v>
      </c>
      <c r="AJ21" s="15">
        <f t="shared" si="15"/>
        <v>0.10000000000000009</v>
      </c>
      <c r="AK21" s="15">
        <f t="shared" si="16"/>
        <v>0.17647058823529416</v>
      </c>
      <c r="AL21" s="15">
        <f t="shared" si="17"/>
        <v>0.24999999999999978</v>
      </c>
      <c r="AM21" s="5">
        <f t="shared" si="18"/>
        <v>0</v>
      </c>
    </row>
    <row r="22" spans="1:39" x14ac:dyDescent="0.25">
      <c r="A22" t="s">
        <v>36</v>
      </c>
      <c r="B22" t="s">
        <v>37</v>
      </c>
      <c r="C22" s="58">
        <v>30</v>
      </c>
      <c r="D22" s="58">
        <v>6</v>
      </c>
      <c r="E22" s="58">
        <v>2015</v>
      </c>
      <c r="F22" s="67">
        <v>1.32</v>
      </c>
      <c r="G22" s="79">
        <v>1.29</v>
      </c>
      <c r="H22" s="79">
        <v>1.26</v>
      </c>
      <c r="I22" s="61">
        <v>1.18</v>
      </c>
      <c r="J22" s="61">
        <v>1.1599999999999999</v>
      </c>
      <c r="K22" s="61">
        <v>1.1200000000000001</v>
      </c>
      <c r="L22" s="61">
        <v>1.01</v>
      </c>
      <c r="M22" s="61">
        <v>0.87</v>
      </c>
      <c r="N22" s="61">
        <v>0.82</v>
      </c>
      <c r="O22" s="61">
        <v>0.56000000000000005</v>
      </c>
      <c r="P22" s="61">
        <v>0.39</v>
      </c>
      <c r="Q22" s="61">
        <v>0.32</v>
      </c>
      <c r="R22" s="61">
        <v>0.23</v>
      </c>
      <c r="S22" s="62"/>
      <c r="T22" s="13">
        <f t="shared" si="7"/>
        <v>0.88692307692307704</v>
      </c>
      <c r="U22" s="4">
        <f t="shared" ca="1" si="1"/>
        <v>0</v>
      </c>
      <c r="V22" s="4">
        <f t="shared" ca="1" si="2"/>
        <v>254</v>
      </c>
      <c r="W22" s="4">
        <f t="shared" ca="1" si="3"/>
        <v>106</v>
      </c>
      <c r="X22" s="13">
        <f t="shared" ca="1" si="4"/>
        <v>1.2811666666666666</v>
      </c>
      <c r="Y22" s="5">
        <f t="shared" ca="1" si="5"/>
        <v>0.44450708297195685</v>
      </c>
      <c r="Z22" s="15">
        <f t="shared" si="8"/>
        <v>2.3255813953488413E-2</v>
      </c>
      <c r="AA22" s="15">
        <f t="shared" si="8"/>
        <v>2.3809523809523725E-2</v>
      </c>
      <c r="AB22" s="15">
        <f t="shared" si="8"/>
        <v>6.7796610169491567E-2</v>
      </c>
      <c r="AC22" s="15">
        <f t="shared" si="8"/>
        <v>1.7241379310344751E-2</v>
      </c>
      <c r="AD22" s="15">
        <f t="shared" si="9"/>
        <v>3.5714285714285587E-2</v>
      </c>
      <c r="AE22" s="15">
        <f t="shared" si="10"/>
        <v>0.10891089108910901</v>
      </c>
      <c r="AF22" s="15">
        <f t="shared" si="11"/>
        <v>0.16091954022988508</v>
      </c>
      <c r="AG22" s="15">
        <f t="shared" si="12"/>
        <v>6.0975609756097615E-2</v>
      </c>
      <c r="AH22" s="15">
        <f t="shared" si="13"/>
        <v>0.46428571428571397</v>
      </c>
      <c r="AI22" s="15">
        <f t="shared" si="14"/>
        <v>0.4358974358974359</v>
      </c>
      <c r="AJ22" s="15">
        <f t="shared" si="15"/>
        <v>0.21875</v>
      </c>
      <c r="AK22" s="15">
        <f t="shared" si="16"/>
        <v>0.39130434782608692</v>
      </c>
      <c r="AL22" s="15" t="str">
        <f t="shared" si="17"/>
        <v/>
      </c>
      <c r="AM22" s="5">
        <f t="shared" si="18"/>
        <v>1.7241379310344751E-2</v>
      </c>
    </row>
    <row r="23" spans="1:39" x14ac:dyDescent="0.25">
      <c r="A23" t="s">
        <v>38</v>
      </c>
      <c r="B23" t="s">
        <v>39</v>
      </c>
      <c r="C23" s="58">
        <v>31</v>
      </c>
      <c r="D23" s="58">
        <v>12</v>
      </c>
      <c r="E23" s="58">
        <v>2015</v>
      </c>
      <c r="F23" s="67">
        <v>1.74</v>
      </c>
      <c r="G23" s="79">
        <v>1.75</v>
      </c>
      <c r="H23" s="79">
        <v>1.53</v>
      </c>
      <c r="I23" s="66">
        <v>1.44</v>
      </c>
      <c r="J23" s="61">
        <v>1.42</v>
      </c>
      <c r="K23" s="61">
        <v>1.35</v>
      </c>
      <c r="L23" s="61">
        <v>1.27</v>
      </c>
      <c r="M23" s="61">
        <v>1.1399999999999999</v>
      </c>
      <c r="N23" s="61">
        <v>1</v>
      </c>
      <c r="O23" s="61">
        <v>0.84</v>
      </c>
      <c r="P23" s="61">
        <v>0.66</v>
      </c>
      <c r="Q23" s="61"/>
      <c r="R23" s="61"/>
      <c r="S23" s="62"/>
      <c r="T23" s="13">
        <f t="shared" si="7"/>
        <v>1.2854545454545454</v>
      </c>
      <c r="U23" s="4">
        <f t="shared" ca="1" si="1"/>
        <v>0</v>
      </c>
      <c r="V23" s="4">
        <f t="shared" ca="1" si="2"/>
        <v>73</v>
      </c>
      <c r="W23" s="4">
        <f t="shared" ca="1" si="3"/>
        <v>287</v>
      </c>
      <c r="X23" s="13">
        <f t="shared" ca="1" si="4"/>
        <v>1.5746111111111112</v>
      </c>
      <c r="Y23" s="5">
        <f t="shared" ca="1" si="5"/>
        <v>0.22494499449945016</v>
      </c>
      <c r="Z23" s="15">
        <f t="shared" si="8"/>
        <v>-5.7142857142856718E-3</v>
      </c>
      <c r="AA23" s="15">
        <f t="shared" si="8"/>
        <v>0.14379084967320255</v>
      </c>
      <c r="AB23" s="15">
        <f t="shared" si="8"/>
        <v>6.25E-2</v>
      </c>
      <c r="AC23" s="15">
        <f t="shared" si="8"/>
        <v>1.4084507042253502E-2</v>
      </c>
      <c r="AD23" s="15">
        <f t="shared" si="9"/>
        <v>5.1851851851851816E-2</v>
      </c>
      <c r="AE23" s="15">
        <f t="shared" si="10"/>
        <v>6.2992125984252079E-2</v>
      </c>
      <c r="AF23" s="15">
        <f t="shared" si="11"/>
        <v>0.11403508771929838</v>
      </c>
      <c r="AG23" s="15">
        <f t="shared" si="12"/>
        <v>0.1399999999999999</v>
      </c>
      <c r="AH23" s="15">
        <f t="shared" si="13"/>
        <v>0.19047619047619047</v>
      </c>
      <c r="AI23" s="15">
        <f t="shared" si="14"/>
        <v>0.27272727272727271</v>
      </c>
      <c r="AJ23" s="15" t="str">
        <f t="shared" si="15"/>
        <v/>
      </c>
      <c r="AK23" s="15" t="str">
        <f t="shared" si="16"/>
        <v/>
      </c>
      <c r="AL23" s="15" t="str">
        <f t="shared" si="17"/>
        <v/>
      </c>
      <c r="AM23" s="5">
        <f t="shared" si="18"/>
        <v>-5.7142857142856718E-3</v>
      </c>
    </row>
    <row r="24" spans="1:39" x14ac:dyDescent="0.25">
      <c r="A24" t="s">
        <v>40</v>
      </c>
      <c r="B24" t="s">
        <v>41</v>
      </c>
      <c r="C24" s="58">
        <v>30</v>
      </c>
      <c r="D24" s="58">
        <v>9</v>
      </c>
      <c r="E24" s="58">
        <v>2015</v>
      </c>
      <c r="F24" s="67">
        <v>1.69</v>
      </c>
      <c r="G24" s="79">
        <v>1.54</v>
      </c>
      <c r="H24" s="79">
        <v>1.41</v>
      </c>
      <c r="I24" s="61">
        <v>1.28</v>
      </c>
      <c r="J24" s="61">
        <v>1.1599999999999999</v>
      </c>
      <c r="K24" s="61">
        <v>1.06</v>
      </c>
      <c r="L24" s="61">
        <v>0.95</v>
      </c>
      <c r="M24" s="61">
        <v>0.84</v>
      </c>
      <c r="N24" s="61">
        <v>0.73</v>
      </c>
      <c r="O24" s="61">
        <v>0.63</v>
      </c>
      <c r="P24" s="61">
        <v>0.6</v>
      </c>
      <c r="Q24" s="61"/>
      <c r="R24" s="61"/>
      <c r="S24" s="62"/>
      <c r="T24" s="13">
        <f t="shared" si="7"/>
        <v>1.080909090909091</v>
      </c>
      <c r="U24" s="4">
        <f t="shared" ca="1" si="1"/>
        <v>0</v>
      </c>
      <c r="V24" s="4">
        <f t="shared" ca="1" si="2"/>
        <v>164</v>
      </c>
      <c r="W24" s="4">
        <f t="shared" ca="1" si="3"/>
        <v>196</v>
      </c>
      <c r="X24" s="13">
        <f t="shared" ca="1" si="4"/>
        <v>1.4692222222222222</v>
      </c>
      <c r="Y24" s="5">
        <f t="shared" ca="1" si="5"/>
        <v>0.35924679936454518</v>
      </c>
      <c r="Z24" s="15">
        <f t="shared" si="8"/>
        <v>9.740259740259738E-2</v>
      </c>
      <c r="AA24" s="15">
        <f t="shared" si="8"/>
        <v>9.219858156028371E-2</v>
      </c>
      <c r="AB24" s="15">
        <f t="shared" si="8"/>
        <v>0.1015625</v>
      </c>
      <c r="AC24" s="15">
        <f t="shared" si="8"/>
        <v>0.10344827586206917</v>
      </c>
      <c r="AD24" s="15">
        <f t="shared" si="9"/>
        <v>9.4339622641509413E-2</v>
      </c>
      <c r="AE24" s="15">
        <f t="shared" si="10"/>
        <v>0.11578947368421066</v>
      </c>
      <c r="AF24" s="15">
        <f t="shared" si="11"/>
        <v>0.13095238095238093</v>
      </c>
      <c r="AG24" s="15">
        <f t="shared" si="12"/>
        <v>0.15068493150684925</v>
      </c>
      <c r="AH24" s="15">
        <f t="shared" si="13"/>
        <v>0.15873015873015861</v>
      </c>
      <c r="AI24" s="15">
        <f t="shared" si="14"/>
        <v>5.0000000000000044E-2</v>
      </c>
      <c r="AJ24" s="15" t="str">
        <f t="shared" si="15"/>
        <v/>
      </c>
      <c r="AK24" s="15" t="str">
        <f t="shared" si="16"/>
        <v/>
      </c>
      <c r="AL24" s="15" t="str">
        <f t="shared" si="17"/>
        <v/>
      </c>
      <c r="AM24" s="5">
        <f t="shared" si="18"/>
        <v>5.0000000000000044E-2</v>
      </c>
    </row>
    <row r="25" spans="1:39" x14ac:dyDescent="0.25">
      <c r="A25" t="s">
        <v>42</v>
      </c>
      <c r="B25" t="s">
        <v>43</v>
      </c>
      <c r="C25" s="58">
        <v>31</v>
      </c>
      <c r="D25" s="58">
        <v>12</v>
      </c>
      <c r="E25" s="58">
        <v>2015</v>
      </c>
      <c r="F25" s="67">
        <v>0.59</v>
      </c>
      <c r="G25" s="79">
        <v>0.56000000000000005</v>
      </c>
      <c r="H25" s="79">
        <v>0.53</v>
      </c>
      <c r="I25" s="61">
        <v>0.5</v>
      </c>
      <c r="J25" s="61">
        <v>0.49</v>
      </c>
      <c r="K25" s="61">
        <v>0.45</v>
      </c>
      <c r="L25" s="61">
        <v>0.41</v>
      </c>
      <c r="M25" s="61">
        <v>0.36</v>
      </c>
      <c r="N25" s="61">
        <v>0.32</v>
      </c>
      <c r="O25" s="61">
        <v>0.93</v>
      </c>
      <c r="P25" s="61">
        <v>0.87</v>
      </c>
      <c r="Q25" s="61">
        <v>0.76</v>
      </c>
      <c r="R25" s="61">
        <v>0.69</v>
      </c>
      <c r="S25" s="62">
        <v>0.66</v>
      </c>
      <c r="T25" s="13">
        <f t="shared" si="7"/>
        <v>0.57999999999999996</v>
      </c>
      <c r="U25" s="4">
        <f t="shared" ca="1" si="1"/>
        <v>0</v>
      </c>
      <c r="V25" s="4">
        <f t="shared" ca="1" si="2"/>
        <v>73</v>
      </c>
      <c r="W25" s="4">
        <f t="shared" ca="1" si="3"/>
        <v>287</v>
      </c>
      <c r="X25" s="13">
        <f t="shared" ca="1" si="4"/>
        <v>0.53608333333333336</v>
      </c>
      <c r="Y25" s="5">
        <f t="shared" ca="1" si="5"/>
        <v>-7.5718390804597635E-2</v>
      </c>
      <c r="Z25" s="15">
        <f t="shared" si="8"/>
        <v>5.3571428571428381E-2</v>
      </c>
      <c r="AA25" s="15">
        <f t="shared" si="8"/>
        <v>5.6603773584905648E-2</v>
      </c>
      <c r="AB25" s="15">
        <f t="shared" si="8"/>
        <v>6.0000000000000053E-2</v>
      </c>
      <c r="AC25" s="15">
        <f t="shared" si="8"/>
        <v>2.0408163265306145E-2</v>
      </c>
      <c r="AD25" s="15">
        <f t="shared" si="9"/>
        <v>8.8888888888888795E-2</v>
      </c>
      <c r="AE25" s="15">
        <f t="shared" si="10"/>
        <v>9.7560975609756184E-2</v>
      </c>
      <c r="AF25" s="15">
        <f t="shared" si="11"/>
        <v>0.13888888888888884</v>
      </c>
      <c r="AG25" s="15">
        <f t="shared" si="12"/>
        <v>0.125</v>
      </c>
      <c r="AH25" s="15">
        <f t="shared" si="13"/>
        <v>-0.65591397849462374</v>
      </c>
      <c r="AI25" s="15">
        <f t="shared" si="14"/>
        <v>6.8965517241379448E-2</v>
      </c>
      <c r="AJ25" s="15">
        <f t="shared" si="15"/>
        <v>0.14473684210526305</v>
      </c>
      <c r="AK25" s="15">
        <f t="shared" si="16"/>
        <v>0.10144927536231885</v>
      </c>
      <c r="AL25" s="15">
        <f t="shared" si="17"/>
        <v>4.5454545454545414E-2</v>
      </c>
      <c r="AM25" s="5">
        <f t="shared" si="18"/>
        <v>-0.65591397849462374</v>
      </c>
    </row>
    <row r="26" spans="1:39" x14ac:dyDescent="0.25">
      <c r="A26" t="s">
        <v>44</v>
      </c>
      <c r="B26" t="s">
        <v>45</v>
      </c>
      <c r="C26" s="58">
        <v>31</v>
      </c>
      <c r="D26" s="58">
        <v>12</v>
      </c>
      <c r="E26" s="58">
        <v>2015</v>
      </c>
      <c r="F26" s="67">
        <v>2.66</v>
      </c>
      <c r="G26" s="79">
        <v>2.48</v>
      </c>
      <c r="H26" s="79">
        <v>2.3199999999999998</v>
      </c>
      <c r="I26" s="66">
        <v>2.15</v>
      </c>
      <c r="J26" s="61">
        <v>2.87</v>
      </c>
      <c r="K26" s="61">
        <v>2.58</v>
      </c>
      <c r="L26" s="61">
        <v>2.08</v>
      </c>
      <c r="M26" s="61">
        <v>1.53</v>
      </c>
      <c r="N26" s="61">
        <v>1.01</v>
      </c>
      <c r="O26" s="61">
        <v>1.36</v>
      </c>
      <c r="P26" s="61">
        <v>1.36</v>
      </c>
      <c r="Q26" s="61">
        <v>1.04</v>
      </c>
      <c r="R26" s="61">
        <v>0.8</v>
      </c>
      <c r="S26" s="62">
        <v>0.77</v>
      </c>
      <c r="T26" s="13">
        <f t="shared" si="7"/>
        <v>1.7864285714285715</v>
      </c>
      <c r="U26" s="4">
        <f t="shared" ca="1" si="1"/>
        <v>0</v>
      </c>
      <c r="V26" s="4">
        <f t="shared" ca="1" si="2"/>
        <v>73</v>
      </c>
      <c r="W26" s="4">
        <f t="shared" ca="1" si="3"/>
        <v>287</v>
      </c>
      <c r="X26" s="13">
        <f t="shared" ca="1" si="4"/>
        <v>2.3524444444444441</v>
      </c>
      <c r="Y26" s="5">
        <f t="shared" ca="1" si="5"/>
        <v>0.31684215202807753</v>
      </c>
      <c r="Z26" s="15">
        <f t="shared" si="8"/>
        <v>7.258064516129048E-2</v>
      </c>
      <c r="AA26" s="15">
        <f t="shared" si="8"/>
        <v>6.8965517241379448E-2</v>
      </c>
      <c r="AB26" s="15">
        <f t="shared" si="8"/>
        <v>7.9069767441860339E-2</v>
      </c>
      <c r="AC26" s="15">
        <f t="shared" si="8"/>
        <v>-0.25087108013937287</v>
      </c>
      <c r="AD26" s="15">
        <f t="shared" si="9"/>
        <v>0.11240310077519378</v>
      </c>
      <c r="AE26" s="15">
        <f t="shared" si="10"/>
        <v>0.24038461538461542</v>
      </c>
      <c r="AF26" s="15">
        <f t="shared" si="11"/>
        <v>0.35947712418300659</v>
      </c>
      <c r="AG26" s="15">
        <f t="shared" si="12"/>
        <v>0.51485148514851486</v>
      </c>
      <c r="AH26" s="15">
        <f t="shared" si="13"/>
        <v>-0.25735294117647067</v>
      </c>
      <c r="AI26" s="15">
        <f t="shared" si="14"/>
        <v>0</v>
      </c>
      <c r="AJ26" s="15">
        <f t="shared" si="15"/>
        <v>0.30769230769230771</v>
      </c>
      <c r="AK26" s="15">
        <f t="shared" si="16"/>
        <v>0.30000000000000004</v>
      </c>
      <c r="AL26" s="15">
        <f t="shared" si="17"/>
        <v>3.8961038961039085E-2</v>
      </c>
      <c r="AM26" s="5">
        <f t="shared" si="18"/>
        <v>-0.25735294117647067</v>
      </c>
    </row>
    <row r="27" spans="1:39" x14ac:dyDescent="0.25">
      <c r="A27" t="s">
        <v>46</v>
      </c>
      <c r="B27" t="s">
        <v>47</v>
      </c>
      <c r="C27" s="58">
        <v>31</v>
      </c>
      <c r="D27" s="58">
        <v>12</v>
      </c>
      <c r="E27" s="58">
        <v>2015</v>
      </c>
      <c r="F27" s="67">
        <v>0.43</v>
      </c>
      <c r="G27" s="79">
        <v>0.41</v>
      </c>
      <c r="H27" s="79">
        <v>0.4</v>
      </c>
      <c r="I27" s="61">
        <v>0.23</v>
      </c>
      <c r="J27" s="61">
        <v>0.22</v>
      </c>
      <c r="K27" s="61">
        <v>0.33</v>
      </c>
      <c r="L27" s="61">
        <v>0.28000000000000003</v>
      </c>
      <c r="M27" s="61">
        <v>0.14000000000000001</v>
      </c>
      <c r="N27" s="61">
        <v>0.56000000000000005</v>
      </c>
      <c r="O27" s="61">
        <v>0.55000000000000004</v>
      </c>
      <c r="P27" s="61">
        <v>0.42</v>
      </c>
      <c r="Q27" s="61">
        <v>0.38</v>
      </c>
      <c r="R27" s="61">
        <v>0.35</v>
      </c>
      <c r="S27" s="62">
        <v>0.28000000000000003</v>
      </c>
      <c r="T27" s="13">
        <f t="shared" si="7"/>
        <v>0.35571428571428571</v>
      </c>
      <c r="U27" s="4">
        <f t="shared" ca="1" si="1"/>
        <v>0</v>
      </c>
      <c r="V27" s="4">
        <f t="shared" ca="1" si="2"/>
        <v>73</v>
      </c>
      <c r="W27" s="4">
        <f t="shared" ca="1" si="3"/>
        <v>287</v>
      </c>
      <c r="X27" s="13">
        <f t="shared" ca="1" si="4"/>
        <v>0.40202777777777776</v>
      </c>
      <c r="Y27" s="5">
        <f t="shared" ca="1" si="5"/>
        <v>0.13019857206604191</v>
      </c>
      <c r="Z27" s="15">
        <f t="shared" si="8"/>
        <v>4.8780487804878092E-2</v>
      </c>
      <c r="AA27" s="15">
        <f t="shared" si="8"/>
        <v>2.4999999999999911E-2</v>
      </c>
      <c r="AB27" s="15">
        <f t="shared" si="8"/>
        <v>0.73913043478260865</v>
      </c>
      <c r="AC27" s="15">
        <f t="shared" si="8"/>
        <v>4.5454545454545414E-2</v>
      </c>
      <c r="AD27" s="15">
        <f t="shared" si="9"/>
        <v>-0.33333333333333337</v>
      </c>
      <c r="AE27" s="15">
        <f t="shared" si="10"/>
        <v>0.1785714285714286</v>
      </c>
      <c r="AF27" s="15">
        <f t="shared" si="11"/>
        <v>1</v>
      </c>
      <c r="AG27" s="15">
        <f t="shared" si="12"/>
        <v>-0.75</v>
      </c>
      <c r="AH27" s="15">
        <f t="shared" si="13"/>
        <v>1.8181818181818299E-2</v>
      </c>
      <c r="AI27" s="15">
        <f t="shared" si="14"/>
        <v>0.30952380952380976</v>
      </c>
      <c r="AJ27" s="15">
        <f t="shared" si="15"/>
        <v>0.10526315789473673</v>
      </c>
      <c r="AK27" s="15">
        <f t="shared" si="16"/>
        <v>8.5714285714285854E-2</v>
      </c>
      <c r="AL27" s="15">
        <f t="shared" si="17"/>
        <v>0.24999999999999978</v>
      </c>
      <c r="AM27" s="5">
        <f t="shared" si="18"/>
        <v>-0.75</v>
      </c>
    </row>
    <row r="28" spans="1:39" x14ac:dyDescent="0.25">
      <c r="A28" t="s">
        <v>48</v>
      </c>
      <c r="B28" t="s">
        <v>49</v>
      </c>
      <c r="C28" s="58">
        <v>31</v>
      </c>
      <c r="D28" s="58">
        <v>12</v>
      </c>
      <c r="E28" s="58">
        <v>2015</v>
      </c>
      <c r="F28" s="67">
        <v>1.88</v>
      </c>
      <c r="G28" s="79">
        <v>2</v>
      </c>
      <c r="H28" s="79">
        <v>1.98</v>
      </c>
      <c r="I28" s="66">
        <v>1.88</v>
      </c>
      <c r="J28" s="61">
        <v>1.8</v>
      </c>
      <c r="K28" s="61">
        <v>1.72</v>
      </c>
      <c r="L28" s="61">
        <v>1.68</v>
      </c>
      <c r="M28" s="61">
        <v>1.68</v>
      </c>
      <c r="N28" s="61">
        <v>1.66</v>
      </c>
      <c r="O28" s="61">
        <v>1.6</v>
      </c>
      <c r="P28" s="61">
        <v>1.44</v>
      </c>
      <c r="Q28" s="61">
        <v>1.27</v>
      </c>
      <c r="R28" s="61">
        <v>1.1299999999999999</v>
      </c>
      <c r="S28" s="62"/>
      <c r="T28" s="13">
        <f t="shared" si="7"/>
        <v>1.6707692307692308</v>
      </c>
      <c r="U28" s="4">
        <f t="shared" ca="1" si="1"/>
        <v>0</v>
      </c>
      <c r="V28" s="4">
        <f t="shared" ca="1" si="2"/>
        <v>73</v>
      </c>
      <c r="W28" s="4">
        <f t="shared" ca="1" si="3"/>
        <v>287</v>
      </c>
      <c r="X28" s="13">
        <f t="shared" ca="1" si="4"/>
        <v>1.9840555555555555</v>
      </c>
      <c r="Y28" s="5">
        <f t="shared" ca="1" si="5"/>
        <v>0.18751023122570087</v>
      </c>
      <c r="Z28" s="15">
        <f t="shared" si="8"/>
        <v>-6.0000000000000053E-2</v>
      </c>
      <c r="AA28" s="15">
        <f t="shared" si="8"/>
        <v>1.0101010101010166E-2</v>
      </c>
      <c r="AB28" s="15">
        <f t="shared" si="8"/>
        <v>5.319148936170226E-2</v>
      </c>
      <c r="AC28" s="15">
        <f t="shared" si="8"/>
        <v>4.4444444444444287E-2</v>
      </c>
      <c r="AD28" s="15">
        <f t="shared" si="9"/>
        <v>4.6511627906976827E-2</v>
      </c>
      <c r="AE28" s="15">
        <f t="shared" si="10"/>
        <v>2.3809523809523725E-2</v>
      </c>
      <c r="AF28" s="15">
        <f t="shared" si="11"/>
        <v>0</v>
      </c>
      <c r="AG28" s="15">
        <f t="shared" si="12"/>
        <v>1.2048192771084265E-2</v>
      </c>
      <c r="AH28" s="15">
        <f t="shared" si="13"/>
        <v>3.7499999999999867E-2</v>
      </c>
      <c r="AI28" s="15">
        <f t="shared" si="14"/>
        <v>0.11111111111111116</v>
      </c>
      <c r="AJ28" s="15">
        <f t="shared" si="15"/>
        <v>0.13385826771653542</v>
      </c>
      <c r="AK28" s="15">
        <f t="shared" si="16"/>
        <v>0.12389380530973471</v>
      </c>
      <c r="AL28" s="15" t="str">
        <f t="shared" si="17"/>
        <v/>
      </c>
      <c r="AM28" s="5">
        <f t="shared" si="18"/>
        <v>-6.0000000000000053E-2</v>
      </c>
    </row>
    <row r="29" spans="1:39" x14ac:dyDescent="0.25">
      <c r="A29" t="s">
        <v>50</v>
      </c>
      <c r="B29" t="s">
        <v>51</v>
      </c>
      <c r="C29" s="58">
        <v>31</v>
      </c>
      <c r="D29" s="58">
        <v>3</v>
      </c>
      <c r="E29" s="58">
        <v>2015</v>
      </c>
      <c r="F29" s="67">
        <v>0.11599999999999999</v>
      </c>
      <c r="G29" s="79">
        <v>0.115</v>
      </c>
      <c r="H29" s="79">
        <v>0.113</v>
      </c>
      <c r="I29" s="61">
        <v>0.11</v>
      </c>
      <c r="J29" s="61">
        <v>0.1</v>
      </c>
      <c r="K29" s="61">
        <v>9.5000000000000001E-2</v>
      </c>
      <c r="L29" s="61">
        <v>8.8999999999999996E-2</v>
      </c>
      <c r="M29" s="61">
        <v>8.3000000000000004E-2</v>
      </c>
      <c r="N29" s="61">
        <v>5.6000000000000001E-2</v>
      </c>
      <c r="O29" s="61">
        <v>7.4999999999999997E-2</v>
      </c>
      <c r="P29" s="61">
        <v>6.8000000000000005E-2</v>
      </c>
      <c r="Q29" s="61">
        <v>6.0999999999999999E-2</v>
      </c>
      <c r="R29" s="61">
        <v>0.04</v>
      </c>
      <c r="S29" s="62">
        <v>0.02</v>
      </c>
      <c r="T29" s="13">
        <f t="shared" si="7"/>
        <v>8.1499999999999989E-2</v>
      </c>
      <c r="U29" s="4">
        <f t="shared" ca="1" si="1"/>
        <v>0</v>
      </c>
      <c r="V29" s="4">
        <f t="shared" ca="1" si="2"/>
        <v>343</v>
      </c>
      <c r="W29" s="4">
        <f t="shared" ca="1" si="3"/>
        <v>17</v>
      </c>
      <c r="X29" s="13">
        <f t="shared" ca="1" si="4"/>
        <v>0.11490555555555557</v>
      </c>
      <c r="Y29" s="5">
        <f t="shared" ca="1" si="5"/>
        <v>0.40988411724608076</v>
      </c>
      <c r="Z29" s="15">
        <f t="shared" si="8"/>
        <v>8.6956521739129933E-3</v>
      </c>
      <c r="AA29" s="15">
        <f t="shared" si="8"/>
        <v>1.7699115044247815E-2</v>
      </c>
      <c r="AB29" s="15">
        <f t="shared" si="8"/>
        <v>2.7272727272727337E-2</v>
      </c>
      <c r="AC29" s="15">
        <f t="shared" si="8"/>
        <v>9.9999999999999867E-2</v>
      </c>
      <c r="AD29" s="15">
        <f t="shared" si="9"/>
        <v>5.2631578947368363E-2</v>
      </c>
      <c r="AE29" s="15">
        <f t="shared" si="10"/>
        <v>6.7415730337078816E-2</v>
      </c>
      <c r="AF29" s="15">
        <f t="shared" si="11"/>
        <v>7.2289156626505813E-2</v>
      </c>
      <c r="AG29" s="15">
        <f t="shared" si="12"/>
        <v>0.48214285714285721</v>
      </c>
      <c r="AH29" s="15">
        <f t="shared" si="13"/>
        <v>-0.2533333333333333</v>
      </c>
      <c r="AI29" s="15">
        <f t="shared" si="14"/>
        <v>0.10294117647058809</v>
      </c>
      <c r="AJ29" s="15">
        <f t="shared" si="15"/>
        <v>0.11475409836065587</v>
      </c>
      <c r="AK29" s="15">
        <f t="shared" si="16"/>
        <v>0.52499999999999991</v>
      </c>
      <c r="AL29" s="15">
        <f t="shared" si="17"/>
        <v>1</v>
      </c>
      <c r="AM29" s="5">
        <f t="shared" si="18"/>
        <v>-0.2533333333333333</v>
      </c>
    </row>
    <row r="30" spans="1:39" x14ac:dyDescent="0.25">
      <c r="A30" t="s">
        <v>52</v>
      </c>
      <c r="B30" t="s">
        <v>53</v>
      </c>
      <c r="C30" s="58">
        <v>31</v>
      </c>
      <c r="D30" s="58">
        <v>12</v>
      </c>
      <c r="E30" s="58">
        <v>2015</v>
      </c>
      <c r="F30" s="67">
        <v>1.37</v>
      </c>
      <c r="G30" s="79">
        <v>1.26</v>
      </c>
      <c r="H30" s="79">
        <v>1.18</v>
      </c>
      <c r="I30" s="61">
        <v>1.1200000000000001</v>
      </c>
      <c r="J30" s="61">
        <v>1.05</v>
      </c>
      <c r="K30" s="61">
        <v>0.97</v>
      </c>
      <c r="L30" s="61">
        <v>0.9</v>
      </c>
      <c r="M30" s="61">
        <v>0.83</v>
      </c>
      <c r="N30" s="61">
        <v>0.46</v>
      </c>
      <c r="O30" s="61">
        <v>0.77</v>
      </c>
      <c r="P30" s="61">
        <v>0.75</v>
      </c>
      <c r="Q30" s="61">
        <v>0.96</v>
      </c>
      <c r="R30" s="61">
        <v>0.66</v>
      </c>
      <c r="S30" s="62">
        <v>0.63</v>
      </c>
      <c r="T30" s="13">
        <f t="shared" si="7"/>
        <v>0.92214285714285726</v>
      </c>
      <c r="U30" s="4">
        <f t="shared" ca="1" si="1"/>
        <v>0</v>
      </c>
      <c r="V30" s="4">
        <f t="shared" ca="1" si="2"/>
        <v>73</v>
      </c>
      <c r="W30" s="4">
        <f t="shared" ca="1" si="3"/>
        <v>287</v>
      </c>
      <c r="X30" s="13">
        <f t="shared" ca="1" si="4"/>
        <v>1.1962222222222221</v>
      </c>
      <c r="Y30" s="5">
        <f t="shared" ca="1" si="5"/>
        <v>0.2972200705740593</v>
      </c>
      <c r="Z30" s="15">
        <f t="shared" si="8"/>
        <v>8.7301587301587436E-2</v>
      </c>
      <c r="AA30" s="15">
        <f t="shared" si="8"/>
        <v>6.7796610169491567E-2</v>
      </c>
      <c r="AB30" s="15">
        <f t="shared" si="8"/>
        <v>5.3571428571428381E-2</v>
      </c>
      <c r="AC30" s="15">
        <f t="shared" si="8"/>
        <v>6.6666666666666652E-2</v>
      </c>
      <c r="AD30" s="15">
        <f t="shared" si="9"/>
        <v>8.2474226804123862E-2</v>
      </c>
      <c r="AE30" s="15">
        <f t="shared" si="10"/>
        <v>7.7777777777777724E-2</v>
      </c>
      <c r="AF30" s="15">
        <f t="shared" si="11"/>
        <v>8.4337349397590522E-2</v>
      </c>
      <c r="AG30" s="15">
        <f t="shared" si="12"/>
        <v>0.80434782608695632</v>
      </c>
      <c r="AH30" s="15">
        <f t="shared" si="13"/>
        <v>-0.40259740259740262</v>
      </c>
      <c r="AI30" s="15">
        <f t="shared" si="14"/>
        <v>2.6666666666666616E-2</v>
      </c>
      <c r="AJ30" s="15">
        <f t="shared" si="15"/>
        <v>-0.21875</v>
      </c>
      <c r="AK30" s="15">
        <f t="shared" si="16"/>
        <v>0.45454545454545436</v>
      </c>
      <c r="AL30" s="15">
        <f t="shared" si="17"/>
        <v>4.7619047619047672E-2</v>
      </c>
      <c r="AM30" s="5">
        <f t="shared" si="18"/>
        <v>-0.40259740259740262</v>
      </c>
    </row>
    <row r="31" spans="1:39" x14ac:dyDescent="0.25">
      <c r="A31" t="s">
        <v>54</v>
      </c>
      <c r="B31" t="s">
        <v>55</v>
      </c>
      <c r="C31" s="58">
        <v>31</v>
      </c>
      <c r="D31" s="58">
        <v>12</v>
      </c>
      <c r="E31" s="58">
        <v>2015</v>
      </c>
      <c r="F31" s="67">
        <v>1.96</v>
      </c>
      <c r="G31" s="79">
        <v>1.93</v>
      </c>
      <c r="H31" s="79">
        <v>1.89</v>
      </c>
      <c r="I31" s="61">
        <v>1.85</v>
      </c>
      <c r="J31" s="61">
        <v>1.81</v>
      </c>
      <c r="K31" s="61">
        <v>1.77</v>
      </c>
      <c r="L31" s="61">
        <v>1.72</v>
      </c>
      <c r="M31" s="61">
        <v>1.68</v>
      </c>
      <c r="N31" s="61">
        <v>1.65</v>
      </c>
      <c r="O31" s="61">
        <v>1.61</v>
      </c>
      <c r="P31" s="61">
        <v>1.47</v>
      </c>
      <c r="Q31" s="61">
        <v>1.35</v>
      </c>
      <c r="R31" s="61">
        <v>1.3</v>
      </c>
      <c r="S31" s="62">
        <v>1.26</v>
      </c>
      <c r="T31" s="13">
        <f t="shared" si="7"/>
        <v>1.6607142857142858</v>
      </c>
      <c r="U31" s="4">
        <f t="shared" ca="1" si="1"/>
        <v>0</v>
      </c>
      <c r="V31" s="4">
        <f t="shared" ca="1" si="2"/>
        <v>73</v>
      </c>
      <c r="W31" s="4">
        <f t="shared" ca="1" si="3"/>
        <v>287</v>
      </c>
      <c r="X31" s="13">
        <f t="shared" ca="1" si="4"/>
        <v>1.8981111111111109</v>
      </c>
      <c r="Y31" s="5">
        <f t="shared" ca="1" si="5"/>
        <v>0.14294862604540004</v>
      </c>
      <c r="Z31" s="15">
        <f t="shared" si="8"/>
        <v>1.5544041450777257E-2</v>
      </c>
      <c r="AA31" s="15">
        <f t="shared" si="8"/>
        <v>2.1164021164021163E-2</v>
      </c>
      <c r="AB31" s="15">
        <f t="shared" si="8"/>
        <v>2.1621621621621623E-2</v>
      </c>
      <c r="AC31" s="15">
        <f t="shared" si="8"/>
        <v>2.2099447513812098E-2</v>
      </c>
      <c r="AD31" s="15">
        <f t="shared" si="9"/>
        <v>2.2598870056497189E-2</v>
      </c>
      <c r="AE31" s="15">
        <f t="shared" si="10"/>
        <v>2.9069767441860517E-2</v>
      </c>
      <c r="AF31" s="15">
        <f t="shared" si="11"/>
        <v>2.3809523809523725E-2</v>
      </c>
      <c r="AG31" s="15">
        <f t="shared" si="12"/>
        <v>1.8181818181818299E-2</v>
      </c>
      <c r="AH31" s="15">
        <f t="shared" si="13"/>
        <v>2.4844720496894235E-2</v>
      </c>
      <c r="AI31" s="15">
        <f t="shared" si="14"/>
        <v>9.5238095238095344E-2</v>
      </c>
      <c r="AJ31" s="15">
        <f t="shared" si="15"/>
        <v>8.8888888888888795E-2</v>
      </c>
      <c r="AK31" s="15">
        <f t="shared" si="16"/>
        <v>3.8461538461538547E-2</v>
      </c>
      <c r="AL31" s="15">
        <f t="shared" si="17"/>
        <v>3.1746031746031855E-2</v>
      </c>
      <c r="AM31" s="5">
        <f t="shared" si="18"/>
        <v>1.5544041450777257E-2</v>
      </c>
    </row>
    <row r="32" spans="1:39" x14ac:dyDescent="0.25">
      <c r="A32" t="s">
        <v>56</v>
      </c>
      <c r="B32" t="s">
        <v>57</v>
      </c>
      <c r="C32" s="58">
        <v>31</v>
      </c>
      <c r="D32" s="58">
        <v>12</v>
      </c>
      <c r="E32" s="58">
        <v>2015</v>
      </c>
      <c r="F32" s="67">
        <v>4.68</v>
      </c>
      <c r="G32" s="79">
        <v>4.5199999999999996</v>
      </c>
      <c r="H32" s="79">
        <v>4.3600000000000003</v>
      </c>
      <c r="I32" s="61">
        <v>4.21</v>
      </c>
      <c r="J32" s="61">
        <v>3.9</v>
      </c>
      <c r="K32" s="61">
        <v>3.51</v>
      </c>
      <c r="L32" s="61">
        <v>3.09</v>
      </c>
      <c r="M32" s="61">
        <v>2.84</v>
      </c>
      <c r="N32" s="61">
        <v>2.66</v>
      </c>
      <c r="O32" s="61">
        <v>2.5299999999999998</v>
      </c>
      <c r="P32" s="61">
        <v>2.2599999999999998</v>
      </c>
      <c r="Q32" s="61">
        <v>2.0099999999999998</v>
      </c>
      <c r="R32" s="61">
        <v>1.75</v>
      </c>
      <c r="S32" s="62">
        <v>1.53</v>
      </c>
      <c r="T32" s="13">
        <f t="shared" si="7"/>
        <v>3.1321428571428567</v>
      </c>
      <c r="U32" s="4">
        <f t="shared" ca="1" si="1"/>
        <v>0</v>
      </c>
      <c r="V32" s="4">
        <f t="shared" ca="1" si="2"/>
        <v>73</v>
      </c>
      <c r="W32" s="4">
        <f t="shared" ca="1" si="3"/>
        <v>287</v>
      </c>
      <c r="X32" s="13">
        <f t="shared" ca="1" si="4"/>
        <v>4.392444444444445</v>
      </c>
      <c r="Y32" s="5">
        <f t="shared" ca="1" si="5"/>
        <v>0.40237678956037026</v>
      </c>
      <c r="Z32" s="15">
        <f t="shared" si="8"/>
        <v>3.539823008849563E-2</v>
      </c>
      <c r="AA32" s="15">
        <f t="shared" si="8"/>
        <v>3.6697247706421798E-2</v>
      </c>
      <c r="AB32" s="15">
        <f t="shared" si="8"/>
        <v>3.5629453681710332E-2</v>
      </c>
      <c r="AC32" s="15">
        <f t="shared" si="8"/>
        <v>7.9487179487179427E-2</v>
      </c>
      <c r="AD32" s="15">
        <f t="shared" si="9"/>
        <v>0.11111111111111116</v>
      </c>
      <c r="AE32" s="15">
        <f t="shared" si="10"/>
        <v>0.13592233009708732</v>
      </c>
      <c r="AF32" s="15">
        <f t="shared" si="11"/>
        <v>8.8028169014084501E-2</v>
      </c>
      <c r="AG32" s="15">
        <f t="shared" si="12"/>
        <v>6.7669172932330657E-2</v>
      </c>
      <c r="AH32" s="15">
        <f t="shared" si="13"/>
        <v>5.1383399209486313E-2</v>
      </c>
      <c r="AI32" s="15">
        <f t="shared" si="14"/>
        <v>0.11946902654867264</v>
      </c>
      <c r="AJ32" s="15">
        <f t="shared" si="15"/>
        <v>0.12437810945273631</v>
      </c>
      <c r="AK32" s="15">
        <f t="shared" si="16"/>
        <v>0.14857142857142835</v>
      </c>
      <c r="AL32" s="15">
        <f t="shared" si="17"/>
        <v>0.14379084967320255</v>
      </c>
      <c r="AM32" s="5">
        <f t="shared" si="18"/>
        <v>3.539823008849563E-2</v>
      </c>
    </row>
    <row r="33" spans="1:39" x14ac:dyDescent="0.25">
      <c r="A33" t="s">
        <v>58</v>
      </c>
      <c r="B33" t="s">
        <v>59</v>
      </c>
      <c r="C33" s="58">
        <v>31</v>
      </c>
      <c r="D33" s="58">
        <v>12</v>
      </c>
      <c r="E33" s="58">
        <v>2015</v>
      </c>
      <c r="F33" s="67">
        <v>1.51</v>
      </c>
      <c r="G33" s="79">
        <v>1.43</v>
      </c>
      <c r="H33" s="79">
        <v>1.33</v>
      </c>
      <c r="I33" s="61">
        <v>1.22</v>
      </c>
      <c r="J33" s="61">
        <v>1.1200000000000001</v>
      </c>
      <c r="K33" s="61">
        <v>1.02</v>
      </c>
      <c r="L33" s="61">
        <v>0.94</v>
      </c>
      <c r="M33" s="61">
        <v>0.88</v>
      </c>
      <c r="N33" s="61">
        <v>0.82</v>
      </c>
      <c r="O33" s="61">
        <v>0.76</v>
      </c>
      <c r="P33" s="61">
        <v>0.68</v>
      </c>
      <c r="Q33" s="61">
        <v>0.62</v>
      </c>
      <c r="R33" s="61">
        <v>0.56000000000000005</v>
      </c>
      <c r="S33" s="62">
        <v>0.5</v>
      </c>
      <c r="T33" s="13">
        <f t="shared" si="7"/>
        <v>0.95642857142857129</v>
      </c>
      <c r="U33" s="4">
        <f t="shared" ca="1" si="1"/>
        <v>0</v>
      </c>
      <c r="V33" s="4">
        <f t="shared" ca="1" si="2"/>
        <v>73</v>
      </c>
      <c r="W33" s="4">
        <f t="shared" ca="1" si="3"/>
        <v>287</v>
      </c>
      <c r="X33" s="13">
        <f t="shared" ca="1" si="4"/>
        <v>1.3502777777777779</v>
      </c>
      <c r="Y33" s="5">
        <f t="shared" ca="1" si="5"/>
        <v>0.41179155256825184</v>
      </c>
      <c r="Z33" s="15">
        <f t="shared" si="8"/>
        <v>5.5944055944056048E-2</v>
      </c>
      <c r="AA33" s="15">
        <f t="shared" si="8"/>
        <v>7.5187969924811915E-2</v>
      </c>
      <c r="AB33" s="15">
        <f t="shared" si="8"/>
        <v>9.0163934426229497E-2</v>
      </c>
      <c r="AC33" s="15">
        <f t="shared" si="8"/>
        <v>8.9285714285714191E-2</v>
      </c>
      <c r="AD33" s="15">
        <f t="shared" si="9"/>
        <v>9.8039215686274606E-2</v>
      </c>
      <c r="AE33" s="15">
        <f t="shared" si="10"/>
        <v>8.5106382978723527E-2</v>
      </c>
      <c r="AF33" s="15">
        <f t="shared" si="11"/>
        <v>6.8181818181818121E-2</v>
      </c>
      <c r="AG33" s="15">
        <f t="shared" si="12"/>
        <v>7.3170731707317138E-2</v>
      </c>
      <c r="AH33" s="15">
        <f t="shared" si="13"/>
        <v>7.8947368421052655E-2</v>
      </c>
      <c r="AI33" s="15">
        <f t="shared" si="14"/>
        <v>0.11764705882352944</v>
      </c>
      <c r="AJ33" s="15">
        <f t="shared" si="15"/>
        <v>9.6774193548387233E-2</v>
      </c>
      <c r="AK33" s="15">
        <f t="shared" si="16"/>
        <v>0.10714285714285698</v>
      </c>
      <c r="AL33" s="15">
        <f t="shared" si="17"/>
        <v>0.12000000000000011</v>
      </c>
      <c r="AM33" s="5">
        <f t="shared" si="18"/>
        <v>5.5944055944056048E-2</v>
      </c>
    </row>
    <row r="34" spans="1:39" x14ac:dyDescent="0.25">
      <c r="A34" t="s">
        <v>60</v>
      </c>
      <c r="B34" t="s">
        <v>61</v>
      </c>
      <c r="C34" s="58">
        <v>31</v>
      </c>
      <c r="D34" s="58">
        <v>12</v>
      </c>
      <c r="E34" s="58">
        <v>2015</v>
      </c>
      <c r="F34" s="67">
        <v>1.8</v>
      </c>
      <c r="G34" s="79">
        <v>1.64</v>
      </c>
      <c r="H34" s="79">
        <v>1.53</v>
      </c>
      <c r="I34" s="61">
        <v>1.42</v>
      </c>
      <c r="J34" s="61">
        <v>1.33</v>
      </c>
      <c r="K34" s="61">
        <v>1.22</v>
      </c>
      <c r="L34" s="61">
        <v>1.1399999999999999</v>
      </c>
      <c r="M34" s="61">
        <v>1.01</v>
      </c>
      <c r="N34" s="61">
        <v>0.86</v>
      </c>
      <c r="O34" s="61">
        <v>0.78</v>
      </c>
      <c r="P34" s="61">
        <v>0.7</v>
      </c>
      <c r="Q34" s="61">
        <v>0.63</v>
      </c>
      <c r="R34" s="61">
        <v>0.56000000000000005</v>
      </c>
      <c r="S34" s="62">
        <v>0.48</v>
      </c>
      <c r="T34" s="13">
        <f t="shared" si="7"/>
        <v>1.0785714285714285</v>
      </c>
      <c r="U34" s="4">
        <f t="shared" ca="1" si="1"/>
        <v>0</v>
      </c>
      <c r="V34" s="4">
        <f t="shared" ca="1" si="2"/>
        <v>73</v>
      </c>
      <c r="W34" s="4">
        <f t="shared" ca="1" si="3"/>
        <v>287</v>
      </c>
      <c r="X34" s="13">
        <f t="shared" ca="1" si="4"/>
        <v>1.5523055555555556</v>
      </c>
      <c r="Y34" s="5">
        <f t="shared" ca="1" si="5"/>
        <v>0.43922369389256821</v>
      </c>
      <c r="Z34" s="15">
        <f t="shared" si="8"/>
        <v>9.7560975609756184E-2</v>
      </c>
      <c r="AA34" s="15">
        <f t="shared" si="8"/>
        <v>7.1895424836601274E-2</v>
      </c>
      <c r="AB34" s="15">
        <f t="shared" si="8"/>
        <v>7.7464788732394485E-2</v>
      </c>
      <c r="AC34" s="15">
        <f t="shared" si="8"/>
        <v>6.7669172932330657E-2</v>
      </c>
      <c r="AD34" s="15">
        <f t="shared" si="9"/>
        <v>9.0163934426229497E-2</v>
      </c>
      <c r="AE34" s="15">
        <f t="shared" si="10"/>
        <v>7.0175438596491224E-2</v>
      </c>
      <c r="AF34" s="15">
        <f t="shared" si="11"/>
        <v>0.12871287128712861</v>
      </c>
      <c r="AG34" s="15">
        <f t="shared" si="12"/>
        <v>0.17441860465116288</v>
      </c>
      <c r="AH34" s="15">
        <f t="shared" si="13"/>
        <v>0.10256410256410242</v>
      </c>
      <c r="AI34" s="15">
        <f t="shared" si="14"/>
        <v>0.11428571428571432</v>
      </c>
      <c r="AJ34" s="15">
        <f t="shared" si="15"/>
        <v>0.11111111111111094</v>
      </c>
      <c r="AK34" s="15">
        <f t="shared" si="16"/>
        <v>0.125</v>
      </c>
      <c r="AL34" s="15">
        <f t="shared" si="17"/>
        <v>0.16666666666666674</v>
      </c>
      <c r="AM34" s="5">
        <f t="shared" si="18"/>
        <v>6.7669172932330657E-2</v>
      </c>
    </row>
    <row r="35" spans="1:39" x14ac:dyDescent="0.25">
      <c r="A35" t="s">
        <v>62</v>
      </c>
      <c r="B35" t="s">
        <v>63</v>
      </c>
      <c r="C35" s="58">
        <v>31</v>
      </c>
      <c r="D35" s="58">
        <v>12</v>
      </c>
      <c r="E35" s="58">
        <v>2015</v>
      </c>
      <c r="F35" s="67">
        <v>1.96</v>
      </c>
      <c r="G35" s="79">
        <v>1.74</v>
      </c>
      <c r="H35" s="79">
        <v>1.63</v>
      </c>
      <c r="I35" s="61">
        <v>1.53</v>
      </c>
      <c r="J35" s="61">
        <v>1.28</v>
      </c>
      <c r="K35" s="61">
        <v>1.21</v>
      </c>
      <c r="L35" s="61">
        <v>0.9</v>
      </c>
      <c r="M35" s="61">
        <v>0.6</v>
      </c>
      <c r="N35" s="61">
        <v>0.6</v>
      </c>
      <c r="O35" s="61">
        <v>1.68</v>
      </c>
      <c r="P35" s="61">
        <v>1.59</v>
      </c>
      <c r="Q35" s="61">
        <v>1.46</v>
      </c>
      <c r="R35" s="61">
        <v>1.34</v>
      </c>
      <c r="S35" s="62">
        <v>1.34</v>
      </c>
      <c r="T35" s="13">
        <f t="shared" si="7"/>
        <v>1.3471428571428572</v>
      </c>
      <c r="U35" s="4">
        <f t="shared" ca="1" si="1"/>
        <v>0</v>
      </c>
      <c r="V35" s="4">
        <f t="shared" ca="1" si="2"/>
        <v>73</v>
      </c>
      <c r="W35" s="4">
        <f t="shared" ca="1" si="3"/>
        <v>287</v>
      </c>
      <c r="X35" s="13">
        <f t="shared" ca="1" si="4"/>
        <v>1.6523055555555555</v>
      </c>
      <c r="Y35" s="5">
        <f t="shared" ca="1" si="5"/>
        <v>0.22652586308471778</v>
      </c>
      <c r="Z35" s="15">
        <f t="shared" si="8"/>
        <v>0.12643678160919536</v>
      </c>
      <c r="AA35" s="15">
        <f t="shared" si="8"/>
        <v>6.7484662576687171E-2</v>
      </c>
      <c r="AB35" s="15">
        <f t="shared" si="8"/>
        <v>6.5359477124182996E-2</v>
      </c>
      <c r="AC35" s="15">
        <f t="shared" si="8"/>
        <v>0.1953125</v>
      </c>
      <c r="AD35" s="15">
        <f t="shared" si="9"/>
        <v>5.7851239669421517E-2</v>
      </c>
      <c r="AE35" s="15">
        <f t="shared" si="10"/>
        <v>0.34444444444444433</v>
      </c>
      <c r="AF35" s="15">
        <f t="shared" si="11"/>
        <v>0.5</v>
      </c>
      <c r="AG35" s="15">
        <f t="shared" si="12"/>
        <v>0</v>
      </c>
      <c r="AH35" s="15">
        <f t="shared" si="13"/>
        <v>-0.64285714285714279</v>
      </c>
      <c r="AI35" s="15">
        <f t="shared" si="14"/>
        <v>5.6603773584905648E-2</v>
      </c>
      <c r="AJ35" s="15">
        <f t="shared" si="15"/>
        <v>8.9041095890411093E-2</v>
      </c>
      <c r="AK35" s="15">
        <f t="shared" si="16"/>
        <v>8.9552238805969964E-2</v>
      </c>
      <c r="AL35" s="15">
        <f t="shared" si="17"/>
        <v>0</v>
      </c>
      <c r="AM35" s="5">
        <f t="shared" si="18"/>
        <v>-0.64285714285714279</v>
      </c>
    </row>
    <row r="36" spans="1:39" x14ac:dyDescent="0.25">
      <c r="A36" t="s">
        <v>64</v>
      </c>
      <c r="B36" t="s">
        <v>65</v>
      </c>
      <c r="C36" s="58">
        <v>31</v>
      </c>
      <c r="D36" s="58">
        <v>12</v>
      </c>
      <c r="E36" s="58">
        <v>2015</v>
      </c>
      <c r="F36" s="67">
        <v>3.11</v>
      </c>
      <c r="G36" s="79">
        <v>2.97</v>
      </c>
      <c r="H36" s="79">
        <v>2.84</v>
      </c>
      <c r="I36" s="61">
        <v>2.7</v>
      </c>
      <c r="J36" s="61">
        <v>2.46</v>
      </c>
      <c r="K36" s="61">
        <v>2.1800000000000002</v>
      </c>
      <c r="L36" s="61">
        <v>1.85</v>
      </c>
      <c r="M36" s="61">
        <v>1.74</v>
      </c>
      <c r="N36" s="61">
        <v>1.66</v>
      </c>
      <c r="O36" s="61">
        <v>1.55</v>
      </c>
      <c r="P36" s="61">
        <v>1.37</v>
      </c>
      <c r="Q36" s="61">
        <v>1.28</v>
      </c>
      <c r="R36" s="61">
        <v>1.1399999999999999</v>
      </c>
      <c r="S36" s="62">
        <v>1.06</v>
      </c>
      <c r="T36" s="13">
        <f t="shared" si="7"/>
        <v>1.9935714285714288</v>
      </c>
      <c r="U36" s="4">
        <f t="shared" ca="1" si="1"/>
        <v>0</v>
      </c>
      <c r="V36" s="4">
        <f t="shared" ca="1" si="2"/>
        <v>73</v>
      </c>
      <c r="W36" s="4">
        <f t="shared" ca="1" si="3"/>
        <v>287</v>
      </c>
      <c r="X36" s="13">
        <f t="shared" ca="1" si="4"/>
        <v>2.8663611111111109</v>
      </c>
      <c r="Y36" s="5">
        <f t="shared" ca="1" si="5"/>
        <v>0.43780206218400397</v>
      </c>
      <c r="Z36" s="15">
        <f t="shared" si="8"/>
        <v>4.7138047138046923E-2</v>
      </c>
      <c r="AA36" s="15">
        <f t="shared" si="8"/>
        <v>4.5774647887323994E-2</v>
      </c>
      <c r="AB36" s="15">
        <f t="shared" si="8"/>
        <v>5.1851851851851816E-2</v>
      </c>
      <c r="AC36" s="15">
        <f t="shared" si="8"/>
        <v>9.7560975609756184E-2</v>
      </c>
      <c r="AD36" s="15">
        <f t="shared" si="9"/>
        <v>0.12844036697247696</v>
      </c>
      <c r="AE36" s="15">
        <f t="shared" si="10"/>
        <v>0.17837837837837833</v>
      </c>
      <c r="AF36" s="15">
        <f t="shared" si="11"/>
        <v>6.321839080459779E-2</v>
      </c>
      <c r="AG36" s="15">
        <f t="shared" si="12"/>
        <v>4.8192771084337505E-2</v>
      </c>
      <c r="AH36" s="15">
        <f t="shared" si="13"/>
        <v>7.0967741935483719E-2</v>
      </c>
      <c r="AI36" s="15">
        <f t="shared" si="14"/>
        <v>0.13138686131386845</v>
      </c>
      <c r="AJ36" s="15">
        <f t="shared" si="15"/>
        <v>7.03125E-2</v>
      </c>
      <c r="AK36" s="15">
        <f t="shared" si="16"/>
        <v>0.12280701754385981</v>
      </c>
      <c r="AL36" s="15">
        <f t="shared" si="17"/>
        <v>7.5471698113207308E-2</v>
      </c>
      <c r="AM36" s="5">
        <f t="shared" si="18"/>
        <v>4.5774647887323994E-2</v>
      </c>
    </row>
    <row r="37" spans="1:39" x14ac:dyDescent="0.25">
      <c r="A37" t="s">
        <v>66</v>
      </c>
      <c r="B37" t="s">
        <v>67</v>
      </c>
      <c r="C37" s="58">
        <v>31</v>
      </c>
      <c r="D37" s="58">
        <v>12</v>
      </c>
      <c r="E37" s="58">
        <v>2015</v>
      </c>
      <c r="F37" s="67">
        <v>1.02</v>
      </c>
      <c r="G37" s="79">
        <v>1</v>
      </c>
      <c r="H37" s="79">
        <v>0.93</v>
      </c>
      <c r="I37" s="61">
        <v>0.89</v>
      </c>
      <c r="J37" s="61">
        <v>0.79</v>
      </c>
      <c r="K37" s="61">
        <v>0.7</v>
      </c>
      <c r="L37" s="61">
        <v>0.61</v>
      </c>
      <c r="M37" s="61">
        <v>0.46</v>
      </c>
      <c r="N37" s="61">
        <v>0.61</v>
      </c>
      <c r="O37" s="61">
        <v>1.24</v>
      </c>
      <c r="P37" s="61">
        <v>1.1499999999999999</v>
      </c>
      <c r="Q37" s="61">
        <v>1.03</v>
      </c>
      <c r="R37" s="61">
        <v>0.91</v>
      </c>
      <c r="S37" s="62">
        <v>0.82</v>
      </c>
      <c r="T37" s="13">
        <f t="shared" si="7"/>
        <v>0.86857142857142866</v>
      </c>
      <c r="U37" s="4">
        <f t="shared" ca="1" si="1"/>
        <v>0</v>
      </c>
      <c r="V37" s="4">
        <f t="shared" ca="1" si="2"/>
        <v>73</v>
      </c>
      <c r="W37" s="4">
        <f t="shared" ca="1" si="3"/>
        <v>287</v>
      </c>
      <c r="X37" s="13">
        <f t="shared" ca="1" si="4"/>
        <v>0.94419444444444434</v>
      </c>
      <c r="Y37" s="5">
        <f t="shared" ca="1" si="5"/>
        <v>8.706597222222201E-2</v>
      </c>
      <c r="Z37" s="15">
        <f t="shared" si="8"/>
        <v>2.0000000000000018E-2</v>
      </c>
      <c r="AA37" s="15">
        <f t="shared" si="8"/>
        <v>7.5268817204301008E-2</v>
      </c>
      <c r="AB37" s="15">
        <f t="shared" si="8"/>
        <v>4.4943820224719211E-2</v>
      </c>
      <c r="AC37" s="15">
        <f t="shared" si="8"/>
        <v>0.12658227848101267</v>
      </c>
      <c r="AD37" s="15">
        <f t="shared" ref="AD37:AD67" si="19">IF(J37&lt;&gt;"",IF(K37&lt;&gt;"",IF(K37=0,1,(J37/K37)-1),""),"")</f>
        <v>0.12857142857142878</v>
      </c>
      <c r="AE37" s="15">
        <f t="shared" ref="AE37:AE67" si="20">IF(K37&lt;&gt;"",IF(L37&lt;&gt;"",IF(L37=0,1,(K37/L37)-1),""),"")</f>
        <v>0.14754098360655732</v>
      </c>
      <c r="AF37" s="15">
        <f t="shared" ref="AF37:AF67" si="21">IF(L37&lt;&gt;"",IF(M37&lt;&gt;"",IF(M37=0,1,(L37/M37)-1),""),"")</f>
        <v>0.32608695652173902</v>
      </c>
      <c r="AG37" s="15">
        <f t="shared" ref="AG37:AG67" si="22">IF(M37&lt;&gt;"",IF(N37&lt;&gt;"",IF(N37=0,1,(M37/N37)-1),""),"")</f>
        <v>-0.24590163934426224</v>
      </c>
      <c r="AH37" s="15">
        <f t="shared" ref="AH37:AH67" si="23">IF(N37&lt;&gt;"",IF(O37&lt;&gt;"",IF(O37=0,1,(N37/O37)-1),""),"")</f>
        <v>-0.50806451612903225</v>
      </c>
      <c r="AI37" s="15">
        <f t="shared" ref="AI37:AI67" si="24">IF(O37&lt;&gt;"",IF(P37&lt;&gt;"",IF(P37=0,1,(O37/P37)-1),""),"")</f>
        <v>7.8260869565217384E-2</v>
      </c>
      <c r="AJ37" s="15">
        <f t="shared" ref="AJ37:AJ67" si="25">IF(P37&lt;&gt;"",IF(Q37&lt;&gt;"",IF(Q37=0,1,(P37/Q37)-1),""),"")</f>
        <v>0.11650485436893199</v>
      </c>
      <c r="AK37" s="15">
        <f t="shared" ref="AK37:AK67" si="26">IF(Q37&lt;&gt;"",IF(R37&lt;&gt;"",IF(R37=0,1,(Q37/R37)-1),""),"")</f>
        <v>0.13186813186813184</v>
      </c>
      <c r="AL37" s="15">
        <f t="shared" ref="AL37:AL67" si="27">IF(R37&lt;&gt;"",IF(S37&lt;&gt;"",IF(S37=0,1,(R37/S37)-1),""),"")</f>
        <v>0.10975609756097571</v>
      </c>
      <c r="AM37" s="5">
        <f t="shared" si="18"/>
        <v>-0.50806451612903225</v>
      </c>
    </row>
    <row r="38" spans="1:39" x14ac:dyDescent="0.25">
      <c r="A38" t="s">
        <v>68</v>
      </c>
      <c r="B38" t="s">
        <v>69</v>
      </c>
      <c r="C38" s="58">
        <v>31</v>
      </c>
      <c r="D38" s="58">
        <v>12</v>
      </c>
      <c r="E38" s="58">
        <v>2015</v>
      </c>
      <c r="F38" s="67">
        <v>3.17</v>
      </c>
      <c r="G38" s="79">
        <v>2.69</v>
      </c>
      <c r="H38" s="79">
        <v>2.4900000000000002</v>
      </c>
      <c r="I38" s="61">
        <v>2.25</v>
      </c>
      <c r="J38" s="61">
        <v>2.0499999999999998</v>
      </c>
      <c r="K38" s="61">
        <v>1.77</v>
      </c>
      <c r="L38" s="61">
        <v>1.4</v>
      </c>
      <c r="M38" s="61">
        <v>1.4</v>
      </c>
      <c r="N38" s="61">
        <v>1.05</v>
      </c>
      <c r="O38" s="61">
        <v>1.4</v>
      </c>
      <c r="P38" s="61">
        <v>1.4</v>
      </c>
      <c r="Q38" s="61">
        <v>1.3</v>
      </c>
      <c r="R38" s="61">
        <v>1</v>
      </c>
      <c r="S38" s="62">
        <v>1</v>
      </c>
      <c r="T38" s="13">
        <f t="shared" si="7"/>
        <v>1.7407142857142854</v>
      </c>
      <c r="U38" s="4">
        <f t="shared" ca="1" si="1"/>
        <v>0</v>
      </c>
      <c r="V38" s="4">
        <f t="shared" ca="1" si="2"/>
        <v>73</v>
      </c>
      <c r="W38" s="4">
        <f t="shared" ca="1" si="3"/>
        <v>287</v>
      </c>
      <c r="X38" s="13">
        <f t="shared" ca="1" si="4"/>
        <v>2.5305555555555559</v>
      </c>
      <c r="Y38" s="5">
        <f t="shared" ca="1" si="5"/>
        <v>0.45374549765194039</v>
      </c>
      <c r="Z38" s="15">
        <f t="shared" si="8"/>
        <v>0.17843866171003708</v>
      </c>
      <c r="AA38" s="15">
        <f t="shared" si="8"/>
        <v>8.0321285140562138E-2</v>
      </c>
      <c r="AB38" s="15">
        <f t="shared" si="8"/>
        <v>0.10666666666666669</v>
      </c>
      <c r="AC38" s="15">
        <f t="shared" si="8"/>
        <v>9.7560975609756184E-2</v>
      </c>
      <c r="AD38" s="15">
        <f t="shared" si="19"/>
        <v>0.1581920903954801</v>
      </c>
      <c r="AE38" s="15">
        <f t="shared" si="20"/>
        <v>0.26428571428571446</v>
      </c>
      <c r="AF38" s="15">
        <f t="shared" si="21"/>
        <v>0</v>
      </c>
      <c r="AG38" s="15">
        <f t="shared" si="22"/>
        <v>0.33333333333333326</v>
      </c>
      <c r="AH38" s="15">
        <f t="shared" si="23"/>
        <v>-0.24999999999999989</v>
      </c>
      <c r="AI38" s="15">
        <f t="shared" si="24"/>
        <v>0</v>
      </c>
      <c r="AJ38" s="15">
        <f t="shared" si="25"/>
        <v>7.6923076923076872E-2</v>
      </c>
      <c r="AK38" s="15">
        <f t="shared" si="26"/>
        <v>0.30000000000000004</v>
      </c>
      <c r="AL38" s="15">
        <f t="shared" si="27"/>
        <v>0</v>
      </c>
      <c r="AM38" s="5">
        <f t="shared" si="18"/>
        <v>-0.24999999999999989</v>
      </c>
    </row>
    <row r="39" spans="1:39" x14ac:dyDescent="0.25">
      <c r="A39" t="s">
        <v>70</v>
      </c>
      <c r="B39" t="s">
        <v>71</v>
      </c>
      <c r="C39" s="58">
        <v>31</v>
      </c>
      <c r="D39" s="58">
        <v>12</v>
      </c>
      <c r="E39" s="58">
        <v>2015</v>
      </c>
      <c r="F39" s="67">
        <v>4.7300000000000004</v>
      </c>
      <c r="G39" s="79">
        <v>4.84</v>
      </c>
      <c r="H39" s="79">
        <v>4.55</v>
      </c>
      <c r="I39" s="61">
        <v>4.25</v>
      </c>
      <c r="J39" s="61">
        <v>3.7</v>
      </c>
      <c r="K39" s="61">
        <v>3.3</v>
      </c>
      <c r="L39" s="61">
        <v>2.9</v>
      </c>
      <c r="M39" s="61">
        <v>2.5</v>
      </c>
      <c r="N39" s="61">
        <v>2.15</v>
      </c>
      <c r="O39" s="61">
        <v>1.9</v>
      </c>
      <c r="P39" s="61">
        <v>1.5</v>
      </c>
      <c r="Q39" s="61">
        <v>1.1000000000000001</v>
      </c>
      <c r="R39" s="61">
        <v>0.78</v>
      </c>
      <c r="S39" s="62">
        <v>0.7</v>
      </c>
      <c r="T39" s="13">
        <f t="shared" si="7"/>
        <v>2.7785714285714289</v>
      </c>
      <c r="U39" s="4">
        <f t="shared" ca="1" si="1"/>
        <v>0</v>
      </c>
      <c r="V39" s="4">
        <f t="shared" ca="1" si="2"/>
        <v>73</v>
      </c>
      <c r="W39" s="4">
        <f t="shared" ca="1" si="3"/>
        <v>287</v>
      </c>
      <c r="X39" s="13">
        <f t="shared" ca="1" si="4"/>
        <v>4.6088055555555556</v>
      </c>
      <c r="Y39" s="5">
        <f t="shared" ca="1" si="5"/>
        <v>0.65869608683233349</v>
      </c>
      <c r="Z39" s="15">
        <f t="shared" si="8"/>
        <v>-2.2727272727272596E-2</v>
      </c>
      <c r="AA39" s="15">
        <f t="shared" si="8"/>
        <v>6.3736263736263732E-2</v>
      </c>
      <c r="AB39" s="15">
        <f t="shared" si="8"/>
        <v>7.0588235294117618E-2</v>
      </c>
      <c r="AC39" s="15">
        <f t="shared" si="8"/>
        <v>0.14864864864864868</v>
      </c>
      <c r="AD39" s="15">
        <f t="shared" si="19"/>
        <v>0.12121212121212133</v>
      </c>
      <c r="AE39" s="15">
        <f t="shared" si="20"/>
        <v>0.13793103448275867</v>
      </c>
      <c r="AF39" s="15">
        <f t="shared" si="21"/>
        <v>0.15999999999999992</v>
      </c>
      <c r="AG39" s="15">
        <f t="shared" si="22"/>
        <v>0.16279069767441867</v>
      </c>
      <c r="AH39" s="15">
        <f t="shared" si="23"/>
        <v>0.13157894736842102</v>
      </c>
      <c r="AI39" s="15">
        <f t="shared" si="24"/>
        <v>0.26666666666666661</v>
      </c>
      <c r="AJ39" s="15">
        <f t="shared" si="25"/>
        <v>0.36363636363636354</v>
      </c>
      <c r="AK39" s="15">
        <f t="shared" si="26"/>
        <v>0.41025641025641035</v>
      </c>
      <c r="AL39" s="15">
        <f t="shared" si="27"/>
        <v>0.11428571428571432</v>
      </c>
      <c r="AM39" s="5">
        <f t="shared" si="18"/>
        <v>-2.2727272727272596E-2</v>
      </c>
    </row>
    <row r="40" spans="1:39" x14ac:dyDescent="0.25">
      <c r="A40" t="s">
        <v>72</v>
      </c>
      <c r="B40" t="s">
        <v>73</v>
      </c>
      <c r="C40" s="58">
        <v>31</v>
      </c>
      <c r="D40" s="58">
        <v>12</v>
      </c>
      <c r="E40" s="58">
        <v>2015</v>
      </c>
      <c r="F40" s="67">
        <v>2.23</v>
      </c>
      <c r="G40" s="79">
        <v>1.84</v>
      </c>
      <c r="H40" s="79">
        <v>1.68</v>
      </c>
      <c r="I40" s="61">
        <v>1.58</v>
      </c>
      <c r="J40" s="61">
        <v>1.44</v>
      </c>
      <c r="K40" s="61">
        <v>1.2</v>
      </c>
      <c r="L40" s="61">
        <v>1</v>
      </c>
      <c r="M40" s="61">
        <v>0.2</v>
      </c>
      <c r="N40" s="61">
        <v>0.2</v>
      </c>
      <c r="O40" s="61">
        <v>1.52</v>
      </c>
      <c r="P40" s="61">
        <v>1.48</v>
      </c>
      <c r="Q40" s="61">
        <v>1.36</v>
      </c>
      <c r="R40" s="61">
        <v>1.36</v>
      </c>
      <c r="S40" s="62">
        <v>1.36</v>
      </c>
      <c r="T40" s="13">
        <f t="shared" si="7"/>
        <v>1.3178571428571426</v>
      </c>
      <c r="U40" s="4">
        <f t="shared" ca="1" si="1"/>
        <v>0</v>
      </c>
      <c r="V40" s="4">
        <f t="shared" ca="1" si="2"/>
        <v>73</v>
      </c>
      <c r="W40" s="4">
        <f t="shared" ca="1" si="3"/>
        <v>287</v>
      </c>
      <c r="X40" s="13">
        <f t="shared" ca="1" si="4"/>
        <v>1.7124444444444444</v>
      </c>
      <c r="Y40" s="5">
        <f t="shared" ca="1" si="5"/>
        <v>0.29941583860283072</v>
      </c>
      <c r="Z40" s="15">
        <f t="shared" si="8"/>
        <v>0.21195652173913038</v>
      </c>
      <c r="AA40" s="15">
        <f t="shared" si="8"/>
        <v>9.5238095238095344E-2</v>
      </c>
      <c r="AB40" s="15">
        <f t="shared" si="8"/>
        <v>6.3291139240506222E-2</v>
      </c>
      <c r="AC40" s="15">
        <f t="shared" si="8"/>
        <v>9.7222222222222321E-2</v>
      </c>
      <c r="AD40" s="15">
        <f t="shared" si="19"/>
        <v>0.19999999999999996</v>
      </c>
      <c r="AE40" s="15">
        <f t="shared" si="20"/>
        <v>0.19999999999999996</v>
      </c>
      <c r="AF40" s="15">
        <f t="shared" si="21"/>
        <v>4</v>
      </c>
      <c r="AG40" s="15">
        <f t="shared" si="22"/>
        <v>0</v>
      </c>
      <c r="AH40" s="15">
        <f t="shared" si="23"/>
        <v>-0.86842105263157898</v>
      </c>
      <c r="AI40" s="15">
        <f t="shared" si="24"/>
        <v>2.7027027027026973E-2</v>
      </c>
      <c r="AJ40" s="15">
        <f t="shared" si="25"/>
        <v>8.8235294117646967E-2</v>
      </c>
      <c r="AK40" s="15">
        <f t="shared" si="26"/>
        <v>0</v>
      </c>
      <c r="AL40" s="15">
        <f t="shared" si="27"/>
        <v>0</v>
      </c>
      <c r="AM40" s="5">
        <f t="shared" si="18"/>
        <v>-0.86842105263157898</v>
      </c>
    </row>
    <row r="41" spans="1:39" x14ac:dyDescent="0.25">
      <c r="A41" t="s">
        <v>74</v>
      </c>
      <c r="B41" t="s">
        <v>75</v>
      </c>
      <c r="C41" s="58">
        <v>31</v>
      </c>
      <c r="D41" s="58">
        <v>12</v>
      </c>
      <c r="E41" s="58">
        <v>2015</v>
      </c>
      <c r="F41" s="67">
        <v>3.34</v>
      </c>
      <c r="G41" s="79">
        <v>3.08</v>
      </c>
      <c r="H41" s="79">
        <v>2.91</v>
      </c>
      <c r="I41" s="61">
        <v>2.76</v>
      </c>
      <c r="J41" s="61">
        <v>2.59</v>
      </c>
      <c r="K41" s="61">
        <v>2.4</v>
      </c>
      <c r="L41" s="61">
        <v>2.25</v>
      </c>
      <c r="M41" s="61">
        <v>2.11</v>
      </c>
      <c r="N41" s="61">
        <v>1.93</v>
      </c>
      <c r="O41" s="61">
        <v>1.79</v>
      </c>
      <c r="P41" s="61">
        <v>1.62</v>
      </c>
      <c r="Q41" s="61">
        <v>1.46</v>
      </c>
      <c r="R41" s="61">
        <v>1.27</v>
      </c>
      <c r="S41" s="62">
        <v>1.0900000000000001</v>
      </c>
      <c r="T41" s="13">
        <f t="shared" si="7"/>
        <v>2.1857142857142855</v>
      </c>
      <c r="U41" s="4">
        <f t="shared" ca="1" si="1"/>
        <v>0</v>
      </c>
      <c r="V41" s="4">
        <f t="shared" ca="1" si="2"/>
        <v>73</v>
      </c>
      <c r="W41" s="4">
        <f t="shared" ca="1" si="3"/>
        <v>287</v>
      </c>
      <c r="X41" s="13">
        <f t="shared" ca="1" si="4"/>
        <v>2.9444722222222222</v>
      </c>
      <c r="Y41" s="5">
        <f t="shared" ca="1" si="5"/>
        <v>0.34714415395787945</v>
      </c>
      <c r="Z41" s="15">
        <f t="shared" si="8"/>
        <v>8.4415584415584277E-2</v>
      </c>
      <c r="AA41" s="15">
        <f t="shared" si="8"/>
        <v>5.841924398625431E-2</v>
      </c>
      <c r="AB41" s="15">
        <f t="shared" si="8"/>
        <v>5.4347826086956763E-2</v>
      </c>
      <c r="AC41" s="15">
        <f t="shared" si="8"/>
        <v>6.5637065637065506E-2</v>
      </c>
      <c r="AD41" s="15">
        <f t="shared" si="19"/>
        <v>7.9166666666666607E-2</v>
      </c>
      <c r="AE41" s="15">
        <f t="shared" si="20"/>
        <v>6.6666666666666652E-2</v>
      </c>
      <c r="AF41" s="15">
        <f t="shared" si="21"/>
        <v>6.6350710900473953E-2</v>
      </c>
      <c r="AG41" s="15">
        <f t="shared" si="22"/>
        <v>9.32642487046631E-2</v>
      </c>
      <c r="AH41" s="15">
        <f t="shared" si="23"/>
        <v>7.8212290502793325E-2</v>
      </c>
      <c r="AI41" s="15">
        <f t="shared" si="24"/>
        <v>0.10493827160493829</v>
      </c>
      <c r="AJ41" s="15">
        <f t="shared" si="25"/>
        <v>0.1095890410958904</v>
      </c>
      <c r="AK41" s="15">
        <f t="shared" si="26"/>
        <v>0.14960629921259838</v>
      </c>
      <c r="AL41" s="15">
        <f t="shared" si="27"/>
        <v>0.16513761467889898</v>
      </c>
      <c r="AM41" s="5">
        <f t="shared" si="18"/>
        <v>5.4347826086956763E-2</v>
      </c>
    </row>
    <row r="42" spans="1:39" x14ac:dyDescent="0.25">
      <c r="A42" t="s">
        <v>76</v>
      </c>
      <c r="B42" t="s">
        <v>77</v>
      </c>
      <c r="C42" s="58">
        <v>31</v>
      </c>
      <c r="D42" s="58">
        <v>12</v>
      </c>
      <c r="E42" s="58">
        <v>2015</v>
      </c>
      <c r="F42" s="67">
        <v>2.5099999999999998</v>
      </c>
      <c r="G42" s="79">
        <v>2.36</v>
      </c>
      <c r="H42" s="79">
        <v>2.2400000000000002</v>
      </c>
      <c r="I42" s="61">
        <v>2.15</v>
      </c>
      <c r="J42" s="61">
        <v>2.0499999999999998</v>
      </c>
      <c r="K42" s="63">
        <v>1.1426592797783934</v>
      </c>
      <c r="L42" s="63">
        <v>0.8765743073047858</v>
      </c>
      <c r="M42" s="63">
        <v>1.0368715083798883</v>
      </c>
      <c r="N42" s="63">
        <v>0.985079365079365</v>
      </c>
      <c r="O42" s="63">
        <v>1.07919028340081</v>
      </c>
      <c r="P42" s="61"/>
      <c r="Q42" s="61"/>
      <c r="R42" s="61"/>
      <c r="S42" s="62"/>
      <c r="T42" s="13">
        <f t="shared" si="7"/>
        <v>1.6430374743943239</v>
      </c>
      <c r="U42" s="4">
        <f t="shared" ca="1" si="1"/>
        <v>0</v>
      </c>
      <c r="V42" s="4">
        <f t="shared" ca="1" si="2"/>
        <v>73</v>
      </c>
      <c r="W42" s="4">
        <f t="shared" ca="1" si="3"/>
        <v>287</v>
      </c>
      <c r="X42" s="13">
        <f t="shared" ca="1" si="4"/>
        <v>2.2643333333333335</v>
      </c>
      <c r="Y42" s="5">
        <f t="shared" ca="1" si="5"/>
        <v>0.37813858090366392</v>
      </c>
      <c r="Z42" s="15">
        <f t="shared" si="8"/>
        <v>6.3559322033898358E-2</v>
      </c>
      <c r="AA42" s="15">
        <f t="shared" si="8"/>
        <v>5.3571428571428381E-2</v>
      </c>
      <c r="AB42" s="15">
        <f t="shared" si="8"/>
        <v>4.1860465116279277E-2</v>
      </c>
      <c r="AC42" s="15">
        <f t="shared" si="8"/>
        <v>4.8780487804878092E-2</v>
      </c>
      <c r="AD42" s="15">
        <f t="shared" si="19"/>
        <v>0.79406060606060569</v>
      </c>
      <c r="AE42" s="15">
        <f t="shared" si="20"/>
        <v>0.30355095997707537</v>
      </c>
      <c r="AF42" s="15">
        <f t="shared" si="21"/>
        <v>-0.15459697732997491</v>
      </c>
      <c r="AG42" s="15">
        <f t="shared" si="22"/>
        <v>5.2576619850676298E-2</v>
      </c>
      <c r="AH42" s="15">
        <f t="shared" si="23"/>
        <v>-8.7205120143295733E-2</v>
      </c>
      <c r="AI42" s="15" t="str">
        <f t="shared" si="24"/>
        <v/>
      </c>
      <c r="AJ42" s="15" t="str">
        <f t="shared" si="25"/>
        <v/>
      </c>
      <c r="AK42" s="15" t="str">
        <f t="shared" si="26"/>
        <v/>
      </c>
      <c r="AL42" s="15" t="str">
        <f t="shared" si="27"/>
        <v/>
      </c>
      <c r="AM42" s="5">
        <f t="shared" si="18"/>
        <v>-0.15459697732997491</v>
      </c>
    </row>
    <row r="43" spans="1:39" x14ac:dyDescent="0.25">
      <c r="A43" t="s">
        <v>78</v>
      </c>
      <c r="B43" t="s">
        <v>79</v>
      </c>
      <c r="C43" s="58">
        <v>31</v>
      </c>
      <c r="D43" s="58">
        <v>12</v>
      </c>
      <c r="E43" s="58">
        <v>2015</v>
      </c>
      <c r="F43" s="67">
        <v>3.95</v>
      </c>
      <c r="G43" s="79">
        <v>3.69</v>
      </c>
      <c r="H43" s="79">
        <v>3.46</v>
      </c>
      <c r="I43" s="61">
        <v>3.28</v>
      </c>
      <c r="J43" s="61">
        <v>3.12</v>
      </c>
      <c r="K43" s="61">
        <v>2.87</v>
      </c>
      <c r="L43" s="61">
        <v>2.5299999999999998</v>
      </c>
      <c r="M43" s="61">
        <v>2.2599999999999998</v>
      </c>
      <c r="N43" s="61">
        <v>2.0499999999999998</v>
      </c>
      <c r="O43" s="61">
        <v>1.63</v>
      </c>
      <c r="P43" s="61">
        <v>1.5</v>
      </c>
      <c r="Q43" s="61">
        <v>1</v>
      </c>
      <c r="R43" s="61">
        <v>0.67</v>
      </c>
      <c r="S43" s="62">
        <v>0.55000000000000004</v>
      </c>
      <c r="T43" s="13">
        <f t="shared" si="7"/>
        <v>2.3257142857142861</v>
      </c>
      <c r="U43" s="4">
        <f t="shared" ca="1" si="1"/>
        <v>0</v>
      </c>
      <c r="V43" s="4">
        <f t="shared" ca="1" si="2"/>
        <v>73</v>
      </c>
      <c r="W43" s="4">
        <f t="shared" ca="1" si="3"/>
        <v>287</v>
      </c>
      <c r="X43" s="13">
        <f t="shared" ca="1" si="4"/>
        <v>3.5066388888888889</v>
      </c>
      <c r="Y43" s="5">
        <f t="shared" ca="1" si="5"/>
        <v>0.50776856401856385</v>
      </c>
      <c r="Z43" s="15">
        <f t="shared" si="8"/>
        <v>7.0460704607046232E-2</v>
      </c>
      <c r="AA43" s="15">
        <f t="shared" si="8"/>
        <v>6.6473988439306408E-2</v>
      </c>
      <c r="AB43" s="15">
        <f t="shared" si="8"/>
        <v>5.4878048780487854E-2</v>
      </c>
      <c r="AC43" s="15">
        <f t="shared" si="8"/>
        <v>5.12820512820511E-2</v>
      </c>
      <c r="AD43" s="15">
        <f t="shared" si="19"/>
        <v>8.710801393728218E-2</v>
      </c>
      <c r="AE43" s="15">
        <f t="shared" si="20"/>
        <v>0.13438735177865624</v>
      </c>
      <c r="AF43" s="15">
        <f t="shared" si="21"/>
        <v>0.11946902654867264</v>
      </c>
      <c r="AG43" s="15">
        <f t="shared" si="22"/>
        <v>0.10243902439024399</v>
      </c>
      <c r="AH43" s="15">
        <f t="shared" si="23"/>
        <v>0.25766871165644178</v>
      </c>
      <c r="AI43" s="15">
        <f t="shared" si="24"/>
        <v>8.666666666666667E-2</v>
      </c>
      <c r="AJ43" s="15">
        <f t="shared" si="25"/>
        <v>0.5</v>
      </c>
      <c r="AK43" s="15">
        <f t="shared" si="26"/>
        <v>0.49253731343283569</v>
      </c>
      <c r="AL43" s="15">
        <f t="shared" si="27"/>
        <v>0.21818181818181825</v>
      </c>
      <c r="AM43" s="5">
        <f t="shared" si="18"/>
        <v>5.12820512820511E-2</v>
      </c>
    </row>
    <row r="44" spans="1:39" x14ac:dyDescent="0.25">
      <c r="A44" t="s">
        <v>80</v>
      </c>
      <c r="B44" t="s">
        <v>81</v>
      </c>
      <c r="C44" s="58">
        <v>31</v>
      </c>
      <c r="D44" s="58">
        <v>12</v>
      </c>
      <c r="E44" s="58">
        <v>2015</v>
      </c>
      <c r="F44" s="67">
        <v>1.88</v>
      </c>
      <c r="G44" s="79">
        <v>1.84</v>
      </c>
      <c r="H44" s="79">
        <v>1.79</v>
      </c>
      <c r="I44" s="61">
        <v>1.77</v>
      </c>
      <c r="J44" s="61">
        <v>1.73</v>
      </c>
      <c r="K44" s="61">
        <v>1.68</v>
      </c>
      <c r="L44" s="61">
        <v>1.52</v>
      </c>
      <c r="M44" s="61">
        <v>1.52</v>
      </c>
      <c r="N44" s="61">
        <v>1.52</v>
      </c>
      <c r="O44" s="61">
        <v>1.52</v>
      </c>
      <c r="P44" s="61">
        <v>1.52</v>
      </c>
      <c r="Q44" s="61">
        <v>1.52</v>
      </c>
      <c r="R44" s="61">
        <v>1.52</v>
      </c>
      <c r="S44" s="62">
        <v>1.49</v>
      </c>
      <c r="T44" s="13">
        <f t="shared" si="7"/>
        <v>1.6299999999999997</v>
      </c>
      <c r="U44" s="4">
        <f t="shared" ca="1" si="1"/>
        <v>0</v>
      </c>
      <c r="V44" s="4">
        <f t="shared" ca="1" si="2"/>
        <v>73</v>
      </c>
      <c r="W44" s="4">
        <f t="shared" ca="1" si="3"/>
        <v>287</v>
      </c>
      <c r="X44" s="13">
        <f t="shared" ca="1" si="4"/>
        <v>1.800138888888889</v>
      </c>
      <c r="Y44" s="5">
        <f t="shared" ca="1" si="5"/>
        <v>0.10437968643490136</v>
      </c>
      <c r="Z44" s="15">
        <f t="shared" si="8"/>
        <v>2.1739130434782483E-2</v>
      </c>
      <c r="AA44" s="15">
        <f t="shared" si="8"/>
        <v>2.7932960893854775E-2</v>
      </c>
      <c r="AB44" s="15">
        <f t="shared" si="8"/>
        <v>1.1299435028248705E-2</v>
      </c>
      <c r="AC44" s="15">
        <f t="shared" si="8"/>
        <v>2.3121387283236983E-2</v>
      </c>
      <c r="AD44" s="15">
        <f t="shared" si="19"/>
        <v>2.9761904761904878E-2</v>
      </c>
      <c r="AE44" s="15">
        <f t="shared" si="20"/>
        <v>0.10526315789473673</v>
      </c>
      <c r="AF44" s="15">
        <f t="shared" si="21"/>
        <v>0</v>
      </c>
      <c r="AG44" s="15">
        <f t="shared" si="22"/>
        <v>0</v>
      </c>
      <c r="AH44" s="15">
        <f t="shared" si="23"/>
        <v>0</v>
      </c>
      <c r="AI44" s="15">
        <f t="shared" si="24"/>
        <v>0</v>
      </c>
      <c r="AJ44" s="15">
        <f t="shared" si="25"/>
        <v>0</v>
      </c>
      <c r="AK44" s="15">
        <f t="shared" si="26"/>
        <v>0</v>
      </c>
      <c r="AL44" s="15">
        <f t="shared" si="27"/>
        <v>2.0134228187919545E-2</v>
      </c>
      <c r="AM44" s="5">
        <f t="shared" si="18"/>
        <v>0</v>
      </c>
    </row>
    <row r="45" spans="1:39" x14ac:dyDescent="0.25">
      <c r="A45" t="s">
        <v>82</v>
      </c>
      <c r="B45" t="s">
        <v>83</v>
      </c>
      <c r="C45" s="58">
        <v>30</v>
      </c>
      <c r="D45" s="58">
        <v>6</v>
      </c>
      <c r="E45" s="58">
        <v>2015</v>
      </c>
      <c r="F45" s="67">
        <v>1.36</v>
      </c>
      <c r="G45" s="79">
        <v>1.29</v>
      </c>
      <c r="H45" s="79">
        <v>1.19</v>
      </c>
      <c r="I45" s="61">
        <v>1.1200000000000001</v>
      </c>
      <c r="J45" s="61">
        <v>0.92</v>
      </c>
      <c r="K45" s="61">
        <v>0.8</v>
      </c>
      <c r="L45" s="61">
        <v>0.64</v>
      </c>
      <c r="M45" s="61">
        <v>0.52</v>
      </c>
      <c r="N45" s="61">
        <v>0.52</v>
      </c>
      <c r="O45" s="61">
        <v>0.44</v>
      </c>
      <c r="P45" s="61">
        <v>0.4</v>
      </c>
      <c r="Q45" s="61">
        <v>0.35</v>
      </c>
      <c r="R45" s="61">
        <v>0.34</v>
      </c>
      <c r="S45" s="62">
        <v>0.16</v>
      </c>
      <c r="T45" s="13">
        <f t="shared" si="7"/>
        <v>0.71785714285714275</v>
      </c>
      <c r="U45" s="4">
        <f t="shared" ca="1" si="1"/>
        <v>0</v>
      </c>
      <c r="V45" s="4">
        <f t="shared" ca="1" si="2"/>
        <v>254</v>
      </c>
      <c r="W45" s="4">
        <f t="shared" ca="1" si="3"/>
        <v>106</v>
      </c>
      <c r="X45" s="13">
        <f t="shared" ca="1" si="4"/>
        <v>1.2605555555555554</v>
      </c>
      <c r="Y45" s="5">
        <f t="shared" ca="1" si="5"/>
        <v>0.7559977888336098</v>
      </c>
      <c r="Z45" s="15">
        <f t="shared" si="8"/>
        <v>5.4263565891472965E-2</v>
      </c>
      <c r="AA45" s="15">
        <f t="shared" si="8"/>
        <v>8.4033613445378297E-2</v>
      </c>
      <c r="AB45" s="15">
        <f t="shared" si="8"/>
        <v>6.2499999999999778E-2</v>
      </c>
      <c r="AC45" s="15">
        <f t="shared" si="8"/>
        <v>0.21739130434782616</v>
      </c>
      <c r="AD45" s="15">
        <f t="shared" si="19"/>
        <v>0.14999999999999991</v>
      </c>
      <c r="AE45" s="15">
        <f t="shared" si="20"/>
        <v>0.25</v>
      </c>
      <c r="AF45" s="15">
        <f t="shared" si="21"/>
        <v>0.23076923076923084</v>
      </c>
      <c r="AG45" s="15">
        <f t="shared" si="22"/>
        <v>0</v>
      </c>
      <c r="AH45" s="15">
        <f t="shared" si="23"/>
        <v>0.18181818181818188</v>
      </c>
      <c r="AI45" s="15">
        <f t="shared" si="24"/>
        <v>9.9999999999999867E-2</v>
      </c>
      <c r="AJ45" s="15">
        <f t="shared" si="25"/>
        <v>0.14285714285714302</v>
      </c>
      <c r="AK45" s="15">
        <f t="shared" si="26"/>
        <v>2.9411764705882248E-2</v>
      </c>
      <c r="AL45" s="15">
        <f t="shared" si="27"/>
        <v>1.125</v>
      </c>
      <c r="AM45" s="5">
        <f t="shared" si="18"/>
        <v>0</v>
      </c>
    </row>
    <row r="46" spans="1:39" x14ac:dyDescent="0.25">
      <c r="A46" t="s">
        <v>84</v>
      </c>
      <c r="B46" t="s">
        <v>85</v>
      </c>
      <c r="C46" s="58">
        <v>31</v>
      </c>
      <c r="D46" s="58">
        <v>12</v>
      </c>
      <c r="E46" s="58">
        <v>2015</v>
      </c>
      <c r="F46" s="67">
        <v>0.72</v>
      </c>
      <c r="G46" s="79">
        <v>0.67</v>
      </c>
      <c r="H46" s="79">
        <v>0.62</v>
      </c>
      <c r="I46" s="61">
        <v>0.57999999999999996</v>
      </c>
      <c r="J46" s="61">
        <v>0.54</v>
      </c>
      <c r="K46" s="63">
        <v>0.35734072022160668</v>
      </c>
      <c r="L46" s="63">
        <v>0.28342569269521412</v>
      </c>
      <c r="M46" s="63">
        <v>0.12312849162011172</v>
      </c>
      <c r="N46" s="63">
        <v>0.17492063492063489</v>
      </c>
      <c r="O46" s="63">
        <v>4.080971659919029E-2</v>
      </c>
      <c r="P46" s="61"/>
      <c r="Q46" s="61"/>
      <c r="R46" s="61"/>
      <c r="S46" s="62"/>
      <c r="T46" s="13">
        <f t="shared" si="7"/>
        <v>0.41096252560567575</v>
      </c>
      <c r="U46" s="4">
        <f t="shared" ca="1" si="1"/>
        <v>0</v>
      </c>
      <c r="V46" s="4">
        <f t="shared" ca="1" si="2"/>
        <v>73</v>
      </c>
      <c r="W46" s="4">
        <f t="shared" ca="1" si="3"/>
        <v>287</v>
      </c>
      <c r="X46" s="13">
        <f t="shared" ca="1" si="4"/>
        <v>0.6301388888888888</v>
      </c>
      <c r="Y46" s="5">
        <f t="shared" ca="1" si="5"/>
        <v>0.53332445083695013</v>
      </c>
      <c r="Z46" s="15">
        <f t="shared" si="8"/>
        <v>7.4626865671641784E-2</v>
      </c>
      <c r="AA46" s="15">
        <f t="shared" si="8"/>
        <v>8.0645161290322731E-2</v>
      </c>
      <c r="AB46" s="15">
        <f t="shared" si="8"/>
        <v>6.8965517241379448E-2</v>
      </c>
      <c r="AC46" s="15">
        <f t="shared" si="8"/>
        <v>7.4074074074073959E-2</v>
      </c>
      <c r="AD46" s="15">
        <f t="shared" si="19"/>
        <v>0.51116279069767434</v>
      </c>
      <c r="AE46" s="15">
        <f t="shared" si="20"/>
        <v>0.26079155641644025</v>
      </c>
      <c r="AF46" s="15">
        <f t="shared" si="21"/>
        <v>1.3018692827787355</v>
      </c>
      <c r="AG46" s="15">
        <f t="shared" si="22"/>
        <v>-0.2960893854748603</v>
      </c>
      <c r="AH46" s="15">
        <f t="shared" si="23"/>
        <v>3.2862496850592073</v>
      </c>
      <c r="AI46" s="15" t="str">
        <f t="shared" si="24"/>
        <v/>
      </c>
      <c r="AJ46" s="15" t="str">
        <f t="shared" si="25"/>
        <v/>
      </c>
      <c r="AK46" s="15" t="str">
        <f t="shared" si="26"/>
        <v/>
      </c>
      <c r="AL46" s="15" t="str">
        <f t="shared" si="27"/>
        <v/>
      </c>
      <c r="AM46" s="5">
        <f t="shared" si="18"/>
        <v>-0.2960893854748603</v>
      </c>
    </row>
    <row r="47" spans="1:39" x14ac:dyDescent="0.25">
      <c r="A47" t="s">
        <v>86</v>
      </c>
      <c r="B47" t="s">
        <v>87</v>
      </c>
      <c r="C47" s="58">
        <v>31</v>
      </c>
      <c r="D47" s="58">
        <v>8</v>
      </c>
      <c r="E47" s="58">
        <v>2015</v>
      </c>
      <c r="F47" s="67">
        <v>1.92</v>
      </c>
      <c r="G47" s="79">
        <v>2.1</v>
      </c>
      <c r="H47" s="79">
        <v>1.92</v>
      </c>
      <c r="I47" s="61">
        <v>1.78</v>
      </c>
      <c r="J47" s="61">
        <v>1.56</v>
      </c>
      <c r="K47" s="61">
        <v>1.28</v>
      </c>
      <c r="L47" s="61">
        <v>1.1399999999999999</v>
      </c>
      <c r="M47" s="61">
        <v>1.08</v>
      </c>
      <c r="N47" s="61">
        <v>1.04</v>
      </c>
      <c r="O47" s="61">
        <v>0.83</v>
      </c>
      <c r="P47" s="61">
        <v>0.55000000000000004</v>
      </c>
      <c r="Q47" s="61">
        <v>0.4</v>
      </c>
      <c r="R47" s="61">
        <v>0.34</v>
      </c>
      <c r="S47" s="62">
        <v>0.34</v>
      </c>
      <c r="T47" s="13">
        <f t="shared" si="7"/>
        <v>1.162857142857143</v>
      </c>
      <c r="U47" s="4">
        <f t="shared" ca="1" si="1"/>
        <v>0</v>
      </c>
      <c r="V47" s="4">
        <f t="shared" ca="1" si="2"/>
        <v>193</v>
      </c>
      <c r="W47" s="4">
        <f t="shared" ca="1" si="3"/>
        <v>167</v>
      </c>
      <c r="X47" s="13">
        <f t="shared" ca="1" si="4"/>
        <v>2.0165000000000002</v>
      </c>
      <c r="Y47" s="5">
        <f t="shared" ca="1" si="5"/>
        <v>0.73409090909090891</v>
      </c>
      <c r="Z47" s="15">
        <f t="shared" si="8"/>
        <v>-8.5714285714285743E-2</v>
      </c>
      <c r="AA47" s="15">
        <f t="shared" si="8"/>
        <v>9.375E-2</v>
      </c>
      <c r="AB47" s="15">
        <f t="shared" si="8"/>
        <v>7.8651685393258397E-2</v>
      </c>
      <c r="AC47" s="15">
        <f t="shared" si="8"/>
        <v>0.14102564102564097</v>
      </c>
      <c r="AD47" s="15">
        <f t="shared" si="19"/>
        <v>0.21875</v>
      </c>
      <c r="AE47" s="15">
        <f t="shared" si="20"/>
        <v>0.12280701754385981</v>
      </c>
      <c r="AF47" s="15">
        <f t="shared" si="21"/>
        <v>5.5555555555555358E-2</v>
      </c>
      <c r="AG47" s="15">
        <f t="shared" si="22"/>
        <v>3.8461538461538547E-2</v>
      </c>
      <c r="AH47" s="15">
        <f t="shared" si="23"/>
        <v>0.25301204819277112</v>
      </c>
      <c r="AI47" s="15">
        <f t="shared" si="24"/>
        <v>0.50909090909090882</v>
      </c>
      <c r="AJ47" s="15">
        <f t="shared" si="25"/>
        <v>0.375</v>
      </c>
      <c r="AK47" s="15">
        <f t="shared" si="26"/>
        <v>0.17647058823529416</v>
      </c>
      <c r="AL47" s="15">
        <f t="shared" si="27"/>
        <v>0</v>
      </c>
      <c r="AM47" s="5">
        <f t="shared" si="18"/>
        <v>-8.5714285714285743E-2</v>
      </c>
    </row>
    <row r="48" spans="1:39" x14ac:dyDescent="0.25">
      <c r="A48" t="s">
        <v>88</v>
      </c>
      <c r="B48" t="s">
        <v>89</v>
      </c>
      <c r="C48" s="58">
        <v>31</v>
      </c>
      <c r="D48" s="58">
        <v>5</v>
      </c>
      <c r="E48" s="58">
        <v>2015</v>
      </c>
      <c r="F48" s="67">
        <v>0.5</v>
      </c>
      <c r="G48" s="79">
        <v>0.49</v>
      </c>
      <c r="H48" s="79">
        <v>0.48</v>
      </c>
      <c r="I48" s="61">
        <v>0.48</v>
      </c>
      <c r="J48" s="61">
        <v>0.3</v>
      </c>
      <c r="K48" s="61">
        <v>0.24</v>
      </c>
      <c r="L48" s="61">
        <v>0.21</v>
      </c>
      <c r="M48" s="61">
        <v>0.2</v>
      </c>
      <c r="N48" s="61">
        <v>0.05</v>
      </c>
      <c r="O48" s="61">
        <v>0</v>
      </c>
      <c r="P48" s="61">
        <v>0</v>
      </c>
      <c r="Q48" s="61">
        <v>0</v>
      </c>
      <c r="R48" s="61">
        <v>0</v>
      </c>
      <c r="S48" s="62">
        <v>0</v>
      </c>
      <c r="T48" s="13">
        <f t="shared" si="7"/>
        <v>0.21071428571428572</v>
      </c>
      <c r="U48" s="4">
        <f t="shared" ca="1" si="1"/>
        <v>0</v>
      </c>
      <c r="V48" s="4">
        <f t="shared" ca="1" si="2"/>
        <v>283</v>
      </c>
      <c r="W48" s="4">
        <f t="shared" ca="1" si="3"/>
        <v>77</v>
      </c>
      <c r="X48" s="13">
        <f t="shared" ca="1" si="4"/>
        <v>0.48786111111111113</v>
      </c>
      <c r="Y48" s="5">
        <f t="shared" ca="1" si="5"/>
        <v>1.3152730696798494</v>
      </c>
      <c r="Z48" s="15">
        <f t="shared" si="8"/>
        <v>2.0408163265306145E-2</v>
      </c>
      <c r="AA48" s="15">
        <f t="shared" si="8"/>
        <v>2.0833333333333259E-2</v>
      </c>
      <c r="AB48" s="15">
        <f t="shared" si="8"/>
        <v>0</v>
      </c>
      <c r="AC48" s="15">
        <f t="shared" si="8"/>
        <v>0.60000000000000009</v>
      </c>
      <c r="AD48" s="15">
        <f t="shared" si="19"/>
        <v>0.25</v>
      </c>
      <c r="AE48" s="15">
        <f t="shared" si="20"/>
        <v>0.14285714285714279</v>
      </c>
      <c r="AF48" s="15">
        <f t="shared" si="21"/>
        <v>4.9999999999999822E-2</v>
      </c>
      <c r="AG48" s="15">
        <f t="shared" si="22"/>
        <v>3</v>
      </c>
      <c r="AH48" s="15">
        <f t="shared" si="23"/>
        <v>1</v>
      </c>
      <c r="AI48" s="15">
        <f t="shared" si="24"/>
        <v>1</v>
      </c>
      <c r="AJ48" s="15">
        <f t="shared" si="25"/>
        <v>1</v>
      </c>
      <c r="AK48" s="15">
        <f t="shared" si="26"/>
        <v>1</v>
      </c>
      <c r="AL48" s="15">
        <f t="shared" si="27"/>
        <v>1</v>
      </c>
      <c r="AM48" s="5">
        <f t="shared" si="18"/>
        <v>0</v>
      </c>
    </row>
    <row r="49" spans="1:39" x14ac:dyDescent="0.25">
      <c r="A49" t="s">
        <v>90</v>
      </c>
      <c r="B49" t="s">
        <v>91</v>
      </c>
      <c r="C49" s="58">
        <v>31</v>
      </c>
      <c r="D49" s="58">
        <v>12</v>
      </c>
      <c r="E49" s="58">
        <v>2015</v>
      </c>
      <c r="F49" s="67">
        <v>3.24</v>
      </c>
      <c r="G49" s="79">
        <v>2.97</v>
      </c>
      <c r="H49" s="79">
        <v>2.76</v>
      </c>
      <c r="I49" s="61">
        <v>2.5299999999999998</v>
      </c>
      <c r="J49" s="61">
        <v>2.2400000000000002</v>
      </c>
      <c r="K49" s="61">
        <v>2.13</v>
      </c>
      <c r="L49" s="61">
        <v>2.0299999999999998</v>
      </c>
      <c r="M49" s="61">
        <v>1.89</v>
      </c>
      <c r="N49" s="61">
        <v>1.78</v>
      </c>
      <c r="O49" s="61">
        <v>1.65</v>
      </c>
      <c r="P49" s="61">
        <v>1.43</v>
      </c>
      <c r="Q49" s="61">
        <v>1.1599999999999999</v>
      </c>
      <c r="R49" s="61">
        <v>1.01</v>
      </c>
      <c r="S49" s="62">
        <v>0.85</v>
      </c>
      <c r="T49" s="13">
        <f t="shared" si="7"/>
        <v>1.9764285714285719</v>
      </c>
      <c r="U49" s="4">
        <f t="shared" ca="1" si="1"/>
        <v>0</v>
      </c>
      <c r="V49" s="4">
        <f t="shared" ca="1" si="2"/>
        <v>73</v>
      </c>
      <c r="W49" s="4">
        <f t="shared" ca="1" si="3"/>
        <v>287</v>
      </c>
      <c r="X49" s="13">
        <f t="shared" ca="1" si="4"/>
        <v>2.8025833333333332</v>
      </c>
      <c r="Y49" s="5">
        <f t="shared" ca="1" si="5"/>
        <v>0.41800385495723358</v>
      </c>
      <c r="Z49" s="15">
        <f t="shared" si="8"/>
        <v>9.0909090909090828E-2</v>
      </c>
      <c r="AA49" s="15">
        <f t="shared" si="8"/>
        <v>7.6086956521739246E-2</v>
      </c>
      <c r="AB49" s="15">
        <f t="shared" si="8"/>
        <v>9.0909090909090828E-2</v>
      </c>
      <c r="AC49" s="15">
        <f t="shared" si="8"/>
        <v>0.12946428571428559</v>
      </c>
      <c r="AD49" s="15">
        <f t="shared" si="19"/>
        <v>5.164319248826299E-2</v>
      </c>
      <c r="AE49" s="15">
        <f t="shared" si="20"/>
        <v>4.9261083743842304E-2</v>
      </c>
      <c r="AF49" s="15">
        <f t="shared" si="21"/>
        <v>7.4074074074073959E-2</v>
      </c>
      <c r="AG49" s="15">
        <f t="shared" si="22"/>
        <v>6.1797752808988804E-2</v>
      </c>
      <c r="AH49" s="15">
        <f t="shared" si="23"/>
        <v>7.8787878787878851E-2</v>
      </c>
      <c r="AI49" s="15">
        <f t="shared" si="24"/>
        <v>0.15384615384615374</v>
      </c>
      <c r="AJ49" s="15">
        <f t="shared" si="25"/>
        <v>0.23275862068965525</v>
      </c>
      <c r="AK49" s="15">
        <f t="shared" si="26"/>
        <v>0.14851485148514842</v>
      </c>
      <c r="AL49" s="15">
        <f t="shared" si="27"/>
        <v>0.18823529411764706</v>
      </c>
      <c r="AM49" s="5">
        <f t="shared" si="18"/>
        <v>4.9261083743842304E-2</v>
      </c>
    </row>
    <row r="50" spans="1:39" x14ac:dyDescent="0.25">
      <c r="A50" t="s">
        <v>92</v>
      </c>
      <c r="B50" t="s">
        <v>93</v>
      </c>
      <c r="C50" s="58">
        <v>31</v>
      </c>
      <c r="D50" s="58">
        <v>12</v>
      </c>
      <c r="E50" s="58">
        <v>2015</v>
      </c>
      <c r="F50" s="67">
        <v>1.23</v>
      </c>
      <c r="G50" s="79">
        <v>1.1499999999999999</v>
      </c>
      <c r="H50" s="79">
        <v>1.1000000000000001</v>
      </c>
      <c r="I50" s="61">
        <v>1.04</v>
      </c>
      <c r="J50" s="61">
        <v>0.96</v>
      </c>
      <c r="K50" s="61">
        <v>0.88</v>
      </c>
      <c r="L50" s="61">
        <v>0.8</v>
      </c>
      <c r="M50" s="61">
        <v>0.72</v>
      </c>
      <c r="N50" s="61">
        <v>0.8</v>
      </c>
      <c r="O50" s="61">
        <v>1.28</v>
      </c>
      <c r="P50" s="61">
        <v>1.1599999999999999</v>
      </c>
      <c r="Q50" s="61">
        <v>0.96</v>
      </c>
      <c r="R50" s="61">
        <v>0.76</v>
      </c>
      <c r="S50" s="62">
        <v>0.68</v>
      </c>
      <c r="T50" s="13">
        <f t="shared" si="7"/>
        <v>0.96571428571428553</v>
      </c>
      <c r="U50" s="4">
        <f t="shared" ca="1" si="1"/>
        <v>0</v>
      </c>
      <c r="V50" s="4">
        <f t="shared" ca="1" si="2"/>
        <v>73</v>
      </c>
      <c r="W50" s="4">
        <f t="shared" ca="1" si="3"/>
        <v>287</v>
      </c>
      <c r="X50" s="13">
        <f t="shared" ca="1" si="4"/>
        <v>1.110138888888889</v>
      </c>
      <c r="Y50" s="5">
        <f t="shared" ca="1" si="5"/>
        <v>0.14955210387902729</v>
      </c>
      <c r="Z50" s="15">
        <f t="shared" si="8"/>
        <v>6.956521739130439E-2</v>
      </c>
      <c r="AA50" s="15">
        <f t="shared" si="8"/>
        <v>4.5454545454545192E-2</v>
      </c>
      <c r="AB50" s="15">
        <f t="shared" si="8"/>
        <v>5.7692307692307709E-2</v>
      </c>
      <c r="AC50" s="15">
        <f t="shared" si="8"/>
        <v>8.3333333333333481E-2</v>
      </c>
      <c r="AD50" s="15">
        <f t="shared" si="19"/>
        <v>9.0909090909090828E-2</v>
      </c>
      <c r="AE50" s="15">
        <f t="shared" si="20"/>
        <v>9.9999999999999867E-2</v>
      </c>
      <c r="AF50" s="15">
        <f t="shared" si="21"/>
        <v>0.11111111111111116</v>
      </c>
      <c r="AG50" s="15">
        <f t="shared" si="22"/>
        <v>-0.10000000000000009</v>
      </c>
      <c r="AH50" s="15">
        <f t="shared" si="23"/>
        <v>-0.375</v>
      </c>
      <c r="AI50" s="15">
        <f t="shared" si="24"/>
        <v>0.10344827586206917</v>
      </c>
      <c r="AJ50" s="15">
        <f t="shared" si="25"/>
        <v>0.20833333333333326</v>
      </c>
      <c r="AK50" s="15">
        <f t="shared" si="26"/>
        <v>0.26315789473684204</v>
      </c>
      <c r="AL50" s="15">
        <f t="shared" si="27"/>
        <v>0.11764705882352944</v>
      </c>
      <c r="AM50" s="5">
        <f t="shared" si="18"/>
        <v>-0.375</v>
      </c>
    </row>
    <row r="51" spans="1:39" x14ac:dyDescent="0.25">
      <c r="A51" t="s">
        <v>94</v>
      </c>
      <c r="B51" t="s">
        <v>95</v>
      </c>
      <c r="C51" s="58">
        <v>31</v>
      </c>
      <c r="D51" s="58">
        <v>12</v>
      </c>
      <c r="E51" s="58">
        <v>2015</v>
      </c>
      <c r="F51" s="67">
        <v>4.3899999999999997</v>
      </c>
      <c r="G51" s="79">
        <v>4.22</v>
      </c>
      <c r="H51" s="79">
        <v>4.05</v>
      </c>
      <c r="I51" s="61">
        <v>3.88</v>
      </c>
      <c r="J51" s="61">
        <v>3.58</v>
      </c>
      <c r="K51" s="61">
        <v>3.24</v>
      </c>
      <c r="L51" s="61">
        <v>2.82</v>
      </c>
      <c r="M51" s="61">
        <v>2.44</v>
      </c>
      <c r="N51" s="61">
        <v>2.2400000000000002</v>
      </c>
      <c r="O51" s="61">
        <v>1.54</v>
      </c>
      <c r="P51" s="61"/>
      <c r="Q51" s="61"/>
      <c r="R51" s="61"/>
      <c r="S51" s="62"/>
      <c r="T51" s="13">
        <f t="shared" si="7"/>
        <v>3.2399999999999998</v>
      </c>
      <c r="U51" s="4">
        <f t="shared" ca="1" si="1"/>
        <v>0</v>
      </c>
      <c r="V51" s="4">
        <f t="shared" ca="1" si="2"/>
        <v>73</v>
      </c>
      <c r="W51" s="4">
        <f t="shared" ca="1" si="3"/>
        <v>287</v>
      </c>
      <c r="X51" s="13">
        <f t="shared" ca="1" si="4"/>
        <v>4.0844722222222218</v>
      </c>
      <c r="Y51" s="5">
        <f t="shared" ca="1" si="5"/>
        <v>0.26063957475994504</v>
      </c>
      <c r="Z51" s="15">
        <f t="shared" si="8"/>
        <v>4.0284360189573487E-2</v>
      </c>
      <c r="AA51" s="15">
        <f t="shared" si="8"/>
        <v>4.1975308641975184E-2</v>
      </c>
      <c r="AB51" s="15">
        <f t="shared" si="8"/>
        <v>4.3814432989690788E-2</v>
      </c>
      <c r="AC51" s="15">
        <f t="shared" si="8"/>
        <v>8.3798882681564102E-2</v>
      </c>
      <c r="AD51" s="15">
        <f t="shared" si="19"/>
        <v>0.10493827160493829</v>
      </c>
      <c r="AE51" s="15">
        <f t="shared" si="20"/>
        <v>0.14893617021276606</v>
      </c>
      <c r="AF51" s="15">
        <f t="shared" si="21"/>
        <v>0.15573770491803285</v>
      </c>
      <c r="AG51" s="15">
        <f t="shared" si="22"/>
        <v>8.9285714285714191E-2</v>
      </c>
      <c r="AH51" s="15">
        <f t="shared" si="23"/>
        <v>0.45454545454545459</v>
      </c>
      <c r="AI51" s="15" t="str">
        <f t="shared" si="24"/>
        <v/>
      </c>
      <c r="AJ51" s="15" t="str">
        <f t="shared" si="25"/>
        <v/>
      </c>
      <c r="AK51" s="15" t="str">
        <f t="shared" si="26"/>
        <v/>
      </c>
      <c r="AL51" s="15" t="str">
        <f t="shared" si="27"/>
        <v/>
      </c>
      <c r="AM51" s="5">
        <f t="shared" si="18"/>
        <v>4.0284360189573487E-2</v>
      </c>
    </row>
    <row r="52" spans="1:39" x14ac:dyDescent="0.25">
      <c r="A52" t="s">
        <v>96</v>
      </c>
      <c r="B52" t="s">
        <v>97</v>
      </c>
      <c r="C52" s="58">
        <v>30</v>
      </c>
      <c r="D52" s="58">
        <v>6</v>
      </c>
      <c r="E52" s="58">
        <v>2015</v>
      </c>
      <c r="F52" s="67">
        <v>3.01</v>
      </c>
      <c r="G52" s="79">
        <v>2.8</v>
      </c>
      <c r="H52" s="79">
        <v>2.6</v>
      </c>
      <c r="I52" s="61">
        <v>2.4500000000000002</v>
      </c>
      <c r="J52" s="61">
        <v>2.29</v>
      </c>
      <c r="K52" s="61">
        <v>2.14</v>
      </c>
      <c r="L52" s="61">
        <v>1.97</v>
      </c>
      <c r="M52" s="61">
        <v>1.8</v>
      </c>
      <c r="N52" s="61">
        <v>1.64</v>
      </c>
      <c r="O52" s="61">
        <v>1.45</v>
      </c>
      <c r="P52" s="61">
        <v>1.28</v>
      </c>
      <c r="Q52" s="61">
        <v>1.1499999999999999</v>
      </c>
      <c r="R52" s="61">
        <v>1.03</v>
      </c>
      <c r="S52" s="62">
        <v>0.93</v>
      </c>
      <c r="T52" s="13">
        <f t="shared" si="7"/>
        <v>1.8957142857142857</v>
      </c>
      <c r="U52" s="4">
        <f t="shared" ca="1" si="1"/>
        <v>0</v>
      </c>
      <c r="V52" s="4">
        <f t="shared" ca="1" si="2"/>
        <v>254</v>
      </c>
      <c r="W52" s="4">
        <f t="shared" ca="1" si="3"/>
        <v>106</v>
      </c>
      <c r="X52" s="13">
        <f t="shared" ca="1" si="4"/>
        <v>2.7411111111111111</v>
      </c>
      <c r="Y52" s="5">
        <f t="shared" ca="1" si="5"/>
        <v>0.44595160344971951</v>
      </c>
      <c r="Z52" s="15">
        <f t="shared" si="8"/>
        <v>7.4999999999999956E-2</v>
      </c>
      <c r="AA52" s="15">
        <f t="shared" si="8"/>
        <v>7.6923076923076872E-2</v>
      </c>
      <c r="AB52" s="15">
        <f t="shared" si="8"/>
        <v>6.1224489795918435E-2</v>
      </c>
      <c r="AC52" s="15">
        <f t="shared" si="8"/>
        <v>6.9868995633187936E-2</v>
      </c>
      <c r="AD52" s="15">
        <f t="shared" si="19"/>
        <v>7.0093457943925186E-2</v>
      </c>
      <c r="AE52" s="15">
        <f t="shared" si="20"/>
        <v>8.629441624365497E-2</v>
      </c>
      <c r="AF52" s="15">
        <f t="shared" si="21"/>
        <v>9.4444444444444331E-2</v>
      </c>
      <c r="AG52" s="15">
        <f t="shared" si="22"/>
        <v>9.7560975609756184E-2</v>
      </c>
      <c r="AH52" s="15">
        <f t="shared" si="23"/>
        <v>0.13103448275862073</v>
      </c>
      <c r="AI52" s="15">
        <f t="shared" si="24"/>
        <v>0.1328125</v>
      </c>
      <c r="AJ52" s="15">
        <f t="shared" si="25"/>
        <v>0.11304347826086958</v>
      </c>
      <c r="AK52" s="15">
        <f t="shared" si="26"/>
        <v>0.11650485436893199</v>
      </c>
      <c r="AL52" s="15">
        <f t="shared" si="27"/>
        <v>0.10752688172043001</v>
      </c>
      <c r="AM52" s="5">
        <f t="shared" si="18"/>
        <v>6.1224489795918435E-2</v>
      </c>
    </row>
    <row r="53" spans="1:39" x14ac:dyDescent="0.25">
      <c r="A53" t="s">
        <v>98</v>
      </c>
      <c r="B53" t="s">
        <v>99</v>
      </c>
      <c r="C53" s="58">
        <v>31</v>
      </c>
      <c r="D53" s="58">
        <v>12</v>
      </c>
      <c r="E53" s="58">
        <v>2015</v>
      </c>
      <c r="F53" s="67">
        <v>2.33</v>
      </c>
      <c r="G53" s="79">
        <v>2.25</v>
      </c>
      <c r="H53" s="79">
        <v>2.2000000000000002</v>
      </c>
      <c r="I53" s="61">
        <v>2.16</v>
      </c>
      <c r="J53" s="61">
        <v>2.09</v>
      </c>
      <c r="K53" s="61">
        <v>2.0299999999999998</v>
      </c>
      <c r="L53" s="61">
        <v>1.98</v>
      </c>
      <c r="M53" s="61">
        <v>1.93</v>
      </c>
      <c r="N53" s="61">
        <v>1.87</v>
      </c>
      <c r="O53" s="61">
        <v>1.78</v>
      </c>
      <c r="P53" s="61">
        <v>1.67</v>
      </c>
      <c r="Q53" s="61">
        <v>1.62</v>
      </c>
      <c r="R53" s="61">
        <v>1.62</v>
      </c>
      <c r="S53" s="62">
        <v>1.54</v>
      </c>
      <c r="T53" s="13">
        <f t="shared" si="7"/>
        <v>1.9335714285714292</v>
      </c>
      <c r="U53" s="4">
        <f t="shared" ca="1" si="1"/>
        <v>0</v>
      </c>
      <c r="V53" s="4">
        <f t="shared" ca="1" si="2"/>
        <v>73</v>
      </c>
      <c r="W53" s="4">
        <f t="shared" ca="1" si="3"/>
        <v>287</v>
      </c>
      <c r="X53" s="13">
        <f t="shared" ca="1" si="4"/>
        <v>2.2101388888888893</v>
      </c>
      <c r="Y53" s="5">
        <f t="shared" ca="1" si="5"/>
        <v>0.14303451955834645</v>
      </c>
      <c r="Z53" s="15">
        <f t="shared" si="8"/>
        <v>3.5555555555555562E-2</v>
      </c>
      <c r="AA53" s="15">
        <f t="shared" si="8"/>
        <v>2.2727272727272707E-2</v>
      </c>
      <c r="AB53" s="15">
        <f t="shared" si="8"/>
        <v>1.8518518518518601E-2</v>
      </c>
      <c r="AC53" s="15">
        <f t="shared" si="8"/>
        <v>3.3492822966507241E-2</v>
      </c>
      <c r="AD53" s="15">
        <f t="shared" si="19"/>
        <v>2.9556650246305383E-2</v>
      </c>
      <c r="AE53" s="15">
        <f t="shared" si="20"/>
        <v>2.5252525252525082E-2</v>
      </c>
      <c r="AF53" s="15">
        <f t="shared" si="21"/>
        <v>2.5906735751295429E-2</v>
      </c>
      <c r="AG53" s="15">
        <f t="shared" si="22"/>
        <v>3.2085561497326109E-2</v>
      </c>
      <c r="AH53" s="15">
        <f t="shared" si="23"/>
        <v>5.0561797752809001E-2</v>
      </c>
      <c r="AI53" s="15">
        <f t="shared" si="24"/>
        <v>6.5868263473053856E-2</v>
      </c>
      <c r="AJ53" s="15">
        <f t="shared" si="25"/>
        <v>3.0864197530864113E-2</v>
      </c>
      <c r="AK53" s="15">
        <f t="shared" si="26"/>
        <v>0</v>
      </c>
      <c r="AL53" s="15">
        <f t="shared" si="27"/>
        <v>5.1948051948051965E-2</v>
      </c>
      <c r="AM53" s="5">
        <f t="shared" si="18"/>
        <v>0</v>
      </c>
    </row>
    <row r="54" spans="1:39" x14ac:dyDescent="0.25">
      <c r="A54" t="s">
        <v>100</v>
      </c>
      <c r="B54" t="s">
        <v>101</v>
      </c>
      <c r="C54" s="58">
        <v>31</v>
      </c>
      <c r="D54" s="58">
        <v>1</v>
      </c>
      <c r="E54" s="58">
        <v>2015</v>
      </c>
      <c r="F54" s="67">
        <v>2.06</v>
      </c>
      <c r="G54" s="79">
        <v>1.98</v>
      </c>
      <c r="H54" s="66">
        <v>1.92</v>
      </c>
      <c r="I54" s="61">
        <v>1.88</v>
      </c>
      <c r="J54" s="61">
        <v>1.59</v>
      </c>
      <c r="K54" s="61">
        <v>1.46</v>
      </c>
      <c r="L54" s="61">
        <v>1.21</v>
      </c>
      <c r="M54" s="61">
        <v>1.0900000000000001</v>
      </c>
      <c r="N54" s="61">
        <v>0.95</v>
      </c>
      <c r="O54" s="61">
        <v>0.88</v>
      </c>
      <c r="P54" s="61">
        <v>0.67</v>
      </c>
      <c r="Q54" s="61">
        <v>0.6</v>
      </c>
      <c r="R54" s="61">
        <v>0.52</v>
      </c>
      <c r="S54" s="62">
        <v>0.36</v>
      </c>
      <c r="T54" s="13">
        <f t="shared" si="7"/>
        <v>1.2264285714285716</v>
      </c>
      <c r="U54" s="4">
        <f t="shared" ca="1" si="1"/>
        <v>43</v>
      </c>
      <c r="V54" s="4">
        <f t="shared" ca="1" si="2"/>
        <v>317</v>
      </c>
      <c r="W54" s="4">
        <f t="shared" ca="1" si="3"/>
        <v>0</v>
      </c>
      <c r="X54" s="13">
        <f t="shared" ca="1" si="4"/>
        <v>1.9895555555555553</v>
      </c>
      <c r="Y54" s="5">
        <f t="shared" ca="1" si="5"/>
        <v>0.62223516469293938</v>
      </c>
      <c r="Z54" s="15">
        <f t="shared" si="8"/>
        <v>4.0404040404040442E-2</v>
      </c>
      <c r="AA54" s="15">
        <f t="shared" si="8"/>
        <v>3.125E-2</v>
      </c>
      <c r="AB54" s="15">
        <f t="shared" si="8"/>
        <v>2.1276595744680771E-2</v>
      </c>
      <c r="AC54" s="15">
        <f t="shared" si="8"/>
        <v>0.1823899371069182</v>
      </c>
      <c r="AD54" s="15">
        <f t="shared" si="19"/>
        <v>8.9041095890411093E-2</v>
      </c>
      <c r="AE54" s="15">
        <f t="shared" si="20"/>
        <v>0.20661157024793386</v>
      </c>
      <c r="AF54" s="15">
        <f t="shared" si="21"/>
        <v>0.11009174311926584</v>
      </c>
      <c r="AG54" s="15">
        <f t="shared" si="22"/>
        <v>0.14736842105263182</v>
      </c>
      <c r="AH54" s="15">
        <f t="shared" si="23"/>
        <v>7.9545454545454586E-2</v>
      </c>
      <c r="AI54" s="15">
        <f t="shared" si="24"/>
        <v>0.31343283582089554</v>
      </c>
      <c r="AJ54" s="15">
        <f t="shared" si="25"/>
        <v>0.1166666666666667</v>
      </c>
      <c r="AK54" s="15">
        <f t="shared" si="26"/>
        <v>0.15384615384615374</v>
      </c>
      <c r="AL54" s="15">
        <f t="shared" si="27"/>
        <v>0.44444444444444464</v>
      </c>
      <c r="AM54" s="5">
        <f t="shared" si="18"/>
        <v>2.1276595744680771E-2</v>
      </c>
    </row>
    <row r="55" spans="1:39" x14ac:dyDescent="0.25">
      <c r="A55" t="s">
        <v>102</v>
      </c>
      <c r="B55" t="s">
        <v>103</v>
      </c>
      <c r="C55" s="58">
        <v>31</v>
      </c>
      <c r="D55" s="58">
        <v>12</v>
      </c>
      <c r="E55" s="58">
        <v>2015</v>
      </c>
      <c r="F55" s="67">
        <v>4.2699999999999996</v>
      </c>
      <c r="G55" s="79">
        <v>3.87</v>
      </c>
      <c r="H55" s="79">
        <v>3.52</v>
      </c>
      <c r="I55" s="66">
        <v>3.01</v>
      </c>
      <c r="J55" s="61">
        <v>2.83</v>
      </c>
      <c r="K55" s="61">
        <v>2.23</v>
      </c>
      <c r="L55" s="61">
        <v>1.55</v>
      </c>
      <c r="M55" s="61">
        <v>1.07</v>
      </c>
      <c r="N55" s="61">
        <v>0.55000000000000004</v>
      </c>
      <c r="O55" s="61">
        <v>0.35</v>
      </c>
      <c r="P55" s="61"/>
      <c r="Q55" s="61"/>
      <c r="R55" s="61"/>
      <c r="S55" s="62"/>
      <c r="T55" s="13">
        <f t="shared" si="7"/>
        <v>2.3250000000000002</v>
      </c>
      <c r="U55" s="4">
        <f t="shared" ca="1" si="1"/>
        <v>0</v>
      </c>
      <c r="V55" s="4">
        <f t="shared" ca="1" si="2"/>
        <v>73</v>
      </c>
      <c r="W55" s="4">
        <f t="shared" ca="1" si="3"/>
        <v>287</v>
      </c>
      <c r="X55" s="13">
        <f t="shared" ca="1" si="4"/>
        <v>3.5909722222222218</v>
      </c>
      <c r="Y55" s="5">
        <f t="shared" ca="1" si="5"/>
        <v>0.54450418160095548</v>
      </c>
      <c r="Z55" s="15">
        <f t="shared" si="8"/>
        <v>0.1033591731266148</v>
      </c>
      <c r="AA55" s="15">
        <f t="shared" si="8"/>
        <v>9.9431818181818121E-2</v>
      </c>
      <c r="AB55" s="15">
        <f t="shared" si="8"/>
        <v>0.16943521594684396</v>
      </c>
      <c r="AC55" s="15">
        <f t="shared" si="8"/>
        <v>6.360424028268552E-2</v>
      </c>
      <c r="AD55" s="15">
        <f t="shared" si="19"/>
        <v>0.26905829596412567</v>
      </c>
      <c r="AE55" s="15">
        <f t="shared" si="20"/>
        <v>0.43870967741935485</v>
      </c>
      <c r="AF55" s="15">
        <f t="shared" si="21"/>
        <v>0.44859813084112155</v>
      </c>
      <c r="AG55" s="15">
        <f t="shared" si="22"/>
        <v>0.94545454545454533</v>
      </c>
      <c r="AH55" s="15">
        <f t="shared" si="23"/>
        <v>0.57142857142857162</v>
      </c>
      <c r="AI55" s="15" t="str">
        <f t="shared" si="24"/>
        <v/>
      </c>
      <c r="AJ55" s="15" t="str">
        <f t="shared" si="25"/>
        <v/>
      </c>
      <c r="AK55" s="15" t="str">
        <f t="shared" si="26"/>
        <v/>
      </c>
      <c r="AL55" s="15" t="str">
        <f t="shared" si="27"/>
        <v/>
      </c>
      <c r="AM55" s="5">
        <f t="shared" si="18"/>
        <v>6.360424028268552E-2</v>
      </c>
    </row>
    <row r="56" spans="1:39" x14ac:dyDescent="0.25">
      <c r="A56" t="s">
        <v>104</v>
      </c>
      <c r="B56" t="s">
        <v>105</v>
      </c>
      <c r="C56" s="58">
        <v>31</v>
      </c>
      <c r="D56" s="58">
        <v>12</v>
      </c>
      <c r="E56" s="58">
        <v>2015</v>
      </c>
      <c r="F56" s="67">
        <v>990</v>
      </c>
      <c r="G56" s="79">
        <v>913</v>
      </c>
      <c r="H56" s="79">
        <v>823</v>
      </c>
      <c r="I56" s="61">
        <v>725</v>
      </c>
      <c r="J56" s="61">
        <v>650</v>
      </c>
      <c r="K56" s="61">
        <v>575</v>
      </c>
      <c r="L56" s="61">
        <v>500</v>
      </c>
      <c r="M56" s="61">
        <v>450</v>
      </c>
      <c r="N56" s="61">
        <v>400</v>
      </c>
      <c r="O56" s="61">
        <v>360</v>
      </c>
      <c r="P56" s="61">
        <v>330</v>
      </c>
      <c r="Q56" s="61">
        <v>275</v>
      </c>
      <c r="R56" s="61">
        <v>225</v>
      </c>
      <c r="S56" s="62">
        <v>180</v>
      </c>
      <c r="T56" s="13">
        <f t="shared" si="7"/>
        <v>528.28571428571433</v>
      </c>
      <c r="U56" s="4">
        <f t="shared" ca="1" si="1"/>
        <v>0</v>
      </c>
      <c r="V56" s="4">
        <f t="shared" ca="1" si="2"/>
        <v>73</v>
      </c>
      <c r="W56" s="4">
        <f t="shared" ca="1" si="3"/>
        <v>287</v>
      </c>
      <c r="X56" s="13">
        <f t="shared" ca="1" si="4"/>
        <v>841.24999999999989</v>
      </c>
      <c r="Y56" s="5">
        <f t="shared" ca="1" si="5"/>
        <v>0.5924148188209839</v>
      </c>
      <c r="Z56" s="15">
        <f t="shared" si="8"/>
        <v>8.43373493975903E-2</v>
      </c>
      <c r="AA56" s="15">
        <f t="shared" si="8"/>
        <v>0.10935601458080191</v>
      </c>
      <c r="AB56" s="15">
        <f t="shared" si="8"/>
        <v>0.13517241379310341</v>
      </c>
      <c r="AC56" s="15">
        <f t="shared" si="8"/>
        <v>0.11538461538461542</v>
      </c>
      <c r="AD56" s="15">
        <f t="shared" si="19"/>
        <v>0.13043478260869557</v>
      </c>
      <c r="AE56" s="15">
        <f t="shared" si="20"/>
        <v>0.14999999999999991</v>
      </c>
      <c r="AF56" s="15">
        <f t="shared" si="21"/>
        <v>0.11111111111111116</v>
      </c>
      <c r="AG56" s="15">
        <f t="shared" si="22"/>
        <v>0.125</v>
      </c>
      <c r="AH56" s="15">
        <f t="shared" si="23"/>
        <v>0.11111111111111116</v>
      </c>
      <c r="AI56" s="15">
        <f t="shared" si="24"/>
        <v>9.0909090909090828E-2</v>
      </c>
      <c r="AJ56" s="15">
        <f t="shared" si="25"/>
        <v>0.19999999999999996</v>
      </c>
      <c r="AK56" s="15">
        <f t="shared" si="26"/>
        <v>0.22222222222222232</v>
      </c>
      <c r="AL56" s="15">
        <f t="shared" si="27"/>
        <v>0.25</v>
      </c>
      <c r="AM56" s="5">
        <f t="shared" si="18"/>
        <v>8.43373493975903E-2</v>
      </c>
    </row>
    <row r="57" spans="1:39" x14ac:dyDescent="0.25">
      <c r="A57" t="s">
        <v>107</v>
      </c>
      <c r="B57" t="s">
        <v>108</v>
      </c>
      <c r="C57" s="58">
        <v>31</v>
      </c>
      <c r="D57" s="58">
        <v>12</v>
      </c>
      <c r="E57" s="58">
        <v>2015</v>
      </c>
      <c r="F57" s="67">
        <v>1.72</v>
      </c>
      <c r="G57" s="79">
        <v>1.58</v>
      </c>
      <c r="H57" s="79">
        <v>1.44</v>
      </c>
      <c r="I57" s="66">
        <v>1.32</v>
      </c>
      <c r="J57" s="61">
        <v>1.22</v>
      </c>
      <c r="K57" s="61">
        <v>0.95</v>
      </c>
      <c r="L57" s="61">
        <v>0.8</v>
      </c>
      <c r="M57" s="61">
        <v>0.72</v>
      </c>
      <c r="N57" s="61">
        <v>0.53</v>
      </c>
      <c r="O57" s="61">
        <v>0.53</v>
      </c>
      <c r="P57" s="61">
        <v>0.53</v>
      </c>
      <c r="Q57" s="61">
        <v>0.5</v>
      </c>
      <c r="R57" s="61">
        <v>0.45</v>
      </c>
      <c r="S57" s="62">
        <v>0.43</v>
      </c>
      <c r="T57" s="13">
        <f t="shared" si="7"/>
        <v>0.90857142857142847</v>
      </c>
      <c r="U57" s="4">
        <f t="shared" ca="1" si="1"/>
        <v>0</v>
      </c>
      <c r="V57" s="4">
        <f t="shared" ca="1" si="2"/>
        <v>73</v>
      </c>
      <c r="W57" s="4">
        <f t="shared" ca="1" si="3"/>
        <v>287</v>
      </c>
      <c r="X57" s="13">
        <f t="shared" ca="1" si="4"/>
        <v>1.468388888888889</v>
      </c>
      <c r="Y57" s="5">
        <f t="shared" ca="1" si="5"/>
        <v>0.61615129280223635</v>
      </c>
      <c r="Z57" s="15">
        <f t="shared" si="8"/>
        <v>8.8607594936708889E-2</v>
      </c>
      <c r="AA57" s="15">
        <f t="shared" si="8"/>
        <v>9.7222222222222321E-2</v>
      </c>
      <c r="AB57" s="15">
        <f t="shared" si="8"/>
        <v>9.0909090909090828E-2</v>
      </c>
      <c r="AC57" s="15">
        <f t="shared" si="8"/>
        <v>8.1967213114754189E-2</v>
      </c>
      <c r="AD57" s="15">
        <f t="shared" si="19"/>
        <v>0.28421052631578947</v>
      </c>
      <c r="AE57" s="15">
        <f t="shared" si="20"/>
        <v>0.18749999999999978</v>
      </c>
      <c r="AF57" s="15">
        <f t="shared" si="21"/>
        <v>0.11111111111111116</v>
      </c>
      <c r="AG57" s="15">
        <f t="shared" si="22"/>
        <v>0.35849056603773577</v>
      </c>
      <c r="AH57" s="15">
        <f t="shared" si="23"/>
        <v>0</v>
      </c>
      <c r="AI57" s="15">
        <f t="shared" si="24"/>
        <v>0</v>
      </c>
      <c r="AJ57" s="15">
        <f t="shared" si="25"/>
        <v>6.0000000000000053E-2</v>
      </c>
      <c r="AK57" s="15">
        <f t="shared" si="26"/>
        <v>0.11111111111111116</v>
      </c>
      <c r="AL57" s="15">
        <f t="shared" si="27"/>
        <v>4.6511627906976827E-2</v>
      </c>
      <c r="AM57" s="5">
        <f t="shared" si="18"/>
        <v>0</v>
      </c>
    </row>
    <row r="58" spans="1:39" x14ac:dyDescent="0.25">
      <c r="A58" t="s">
        <v>109</v>
      </c>
      <c r="B58" t="s">
        <v>110</v>
      </c>
      <c r="C58" s="58">
        <v>31</v>
      </c>
      <c r="D58" s="58">
        <v>12</v>
      </c>
      <c r="E58" s="58">
        <v>2015</v>
      </c>
      <c r="F58" s="67">
        <v>3.63</v>
      </c>
      <c r="G58" s="79">
        <v>3.3</v>
      </c>
      <c r="H58" s="79">
        <v>2.99</v>
      </c>
      <c r="I58" s="61">
        <v>2.7</v>
      </c>
      <c r="J58" s="61">
        <v>2.5</v>
      </c>
      <c r="K58" s="61">
        <v>2.2999999999999998</v>
      </c>
      <c r="L58" s="61">
        <v>2</v>
      </c>
      <c r="M58" s="61">
        <v>1.8</v>
      </c>
      <c r="N58" s="61">
        <v>1.5</v>
      </c>
      <c r="O58" s="61">
        <v>1.44</v>
      </c>
      <c r="P58" s="61">
        <v>1.38</v>
      </c>
      <c r="Q58" s="61">
        <v>1.18</v>
      </c>
      <c r="R58" s="61">
        <v>1</v>
      </c>
      <c r="S58" s="62">
        <v>0.82</v>
      </c>
      <c r="T58" s="13">
        <f t="shared" si="7"/>
        <v>2.0385714285714287</v>
      </c>
      <c r="U58" s="4">
        <f t="shared" ca="1" si="1"/>
        <v>0</v>
      </c>
      <c r="V58" s="4">
        <f t="shared" ca="1" si="2"/>
        <v>73</v>
      </c>
      <c r="W58" s="4">
        <f t="shared" ca="1" si="3"/>
        <v>287</v>
      </c>
      <c r="X58" s="13">
        <f t="shared" ca="1" si="4"/>
        <v>3.0528611111111115</v>
      </c>
      <c r="Y58" s="5">
        <f t="shared" ca="1" si="5"/>
        <v>0.49754924861792427</v>
      </c>
      <c r="Z58" s="15">
        <f t="shared" si="8"/>
        <v>0.10000000000000009</v>
      </c>
      <c r="AA58" s="15">
        <f t="shared" si="8"/>
        <v>0.10367892976588622</v>
      </c>
      <c r="AB58" s="15">
        <f t="shared" si="8"/>
        <v>0.1074074074074074</v>
      </c>
      <c r="AC58" s="15">
        <f t="shared" si="8"/>
        <v>8.0000000000000071E-2</v>
      </c>
      <c r="AD58" s="15">
        <f t="shared" si="19"/>
        <v>8.6956521739130599E-2</v>
      </c>
      <c r="AE58" s="15">
        <f t="shared" si="20"/>
        <v>0.14999999999999991</v>
      </c>
      <c r="AF58" s="15">
        <f t="shared" si="21"/>
        <v>0.11111111111111116</v>
      </c>
      <c r="AG58" s="15">
        <f t="shared" si="22"/>
        <v>0.19999999999999996</v>
      </c>
      <c r="AH58" s="15">
        <f t="shared" si="23"/>
        <v>4.1666666666666741E-2</v>
      </c>
      <c r="AI58" s="15">
        <f t="shared" si="24"/>
        <v>4.3478260869565188E-2</v>
      </c>
      <c r="AJ58" s="15">
        <f t="shared" si="25"/>
        <v>0.16949152542372881</v>
      </c>
      <c r="AK58" s="15">
        <f t="shared" si="26"/>
        <v>0.17999999999999994</v>
      </c>
      <c r="AL58" s="15">
        <f t="shared" si="27"/>
        <v>0.21951219512195119</v>
      </c>
      <c r="AM58" s="5">
        <f t="shared" si="18"/>
        <v>4.1666666666666741E-2</v>
      </c>
    </row>
    <row r="59" spans="1:39" x14ac:dyDescent="0.25">
      <c r="A59" t="s">
        <v>111</v>
      </c>
      <c r="B59" t="s">
        <v>112</v>
      </c>
      <c r="C59" s="58">
        <v>31</v>
      </c>
      <c r="D59" s="58">
        <v>12</v>
      </c>
      <c r="E59" s="58">
        <v>2015</v>
      </c>
      <c r="F59" s="67">
        <v>3.3</v>
      </c>
      <c r="G59" s="79">
        <v>3.14</v>
      </c>
      <c r="H59" s="79">
        <v>3.02</v>
      </c>
      <c r="I59" s="61">
        <v>2.8</v>
      </c>
      <c r="J59" s="61">
        <v>2.77</v>
      </c>
      <c r="K59" s="61">
        <v>2.65</v>
      </c>
      <c r="L59" s="61">
        <v>2.5</v>
      </c>
      <c r="M59" s="61">
        <v>2.4</v>
      </c>
      <c r="N59" s="61">
        <v>2.2000000000000002</v>
      </c>
      <c r="O59" s="61">
        <v>2.0699999999999998</v>
      </c>
      <c r="P59" s="61">
        <v>1.75</v>
      </c>
      <c r="Q59" s="61">
        <v>1.52</v>
      </c>
      <c r="R59" s="61">
        <v>1.2</v>
      </c>
      <c r="S59" s="62">
        <v>1.02</v>
      </c>
      <c r="T59" s="13">
        <f t="shared" si="7"/>
        <v>2.3099999999999996</v>
      </c>
      <c r="U59" s="4">
        <f t="shared" ca="1" si="1"/>
        <v>0</v>
      </c>
      <c r="V59" s="4">
        <f t="shared" ca="1" si="2"/>
        <v>73</v>
      </c>
      <c r="W59" s="4">
        <f t="shared" ca="1" si="3"/>
        <v>287</v>
      </c>
      <c r="X59" s="13">
        <f t="shared" ca="1" si="4"/>
        <v>3.0443333333333333</v>
      </c>
      <c r="Y59" s="5">
        <f t="shared" ca="1" si="5"/>
        <v>0.31789321789321812</v>
      </c>
      <c r="Z59" s="15">
        <f t="shared" si="8"/>
        <v>5.0955414012738842E-2</v>
      </c>
      <c r="AA59" s="15">
        <f t="shared" si="8"/>
        <v>3.9735099337748325E-2</v>
      </c>
      <c r="AB59" s="15">
        <f t="shared" si="8"/>
        <v>7.8571428571428736E-2</v>
      </c>
      <c r="AC59" s="15">
        <f t="shared" si="8"/>
        <v>1.0830324909747224E-2</v>
      </c>
      <c r="AD59" s="15">
        <f t="shared" si="19"/>
        <v>4.5283018867924518E-2</v>
      </c>
      <c r="AE59" s="15">
        <f t="shared" si="20"/>
        <v>6.0000000000000053E-2</v>
      </c>
      <c r="AF59" s="15">
        <f t="shared" si="21"/>
        <v>4.1666666666666741E-2</v>
      </c>
      <c r="AG59" s="15">
        <f t="shared" si="22"/>
        <v>9.0909090909090828E-2</v>
      </c>
      <c r="AH59" s="15">
        <f t="shared" si="23"/>
        <v>6.2801932367150037E-2</v>
      </c>
      <c r="AI59" s="15">
        <f t="shared" si="24"/>
        <v>0.18285714285714283</v>
      </c>
      <c r="AJ59" s="15">
        <f t="shared" si="25"/>
        <v>0.15131578947368429</v>
      </c>
      <c r="AK59" s="15">
        <f t="shared" si="26"/>
        <v>0.26666666666666683</v>
      </c>
      <c r="AL59" s="15">
        <f t="shared" si="27"/>
        <v>0.17647058823529416</v>
      </c>
      <c r="AM59" s="5">
        <f t="shared" si="18"/>
        <v>1.0830324909747224E-2</v>
      </c>
    </row>
    <row r="60" spans="1:39" x14ac:dyDescent="0.25">
      <c r="A60" t="s">
        <v>113</v>
      </c>
      <c r="B60" t="s">
        <v>114</v>
      </c>
      <c r="C60" s="58">
        <v>30</v>
      </c>
      <c r="D60" s="58">
        <v>6</v>
      </c>
      <c r="E60" s="58">
        <v>2015</v>
      </c>
      <c r="F60" s="67">
        <v>0.61299999999999999</v>
      </c>
      <c r="G60" s="79">
        <v>0.57799999999999996</v>
      </c>
      <c r="H60" s="79">
        <v>0.54</v>
      </c>
      <c r="I60" s="61">
        <v>0.52</v>
      </c>
      <c r="J60" s="61">
        <v>0.47</v>
      </c>
      <c r="K60" s="61">
        <v>0.44</v>
      </c>
      <c r="L60" s="61">
        <v>0.4</v>
      </c>
      <c r="M60" s="61">
        <v>0.38</v>
      </c>
      <c r="N60" s="61">
        <v>0.36</v>
      </c>
      <c r="O60" s="61">
        <v>0.34</v>
      </c>
      <c r="P60" s="61">
        <v>0.33</v>
      </c>
      <c r="Q60" s="61">
        <v>0.31</v>
      </c>
      <c r="R60" s="61">
        <v>0.3</v>
      </c>
      <c r="S60" s="62">
        <v>0.28000000000000003</v>
      </c>
      <c r="T60" s="13">
        <f t="shared" si="7"/>
        <v>0.41864285714285715</v>
      </c>
      <c r="U60" s="4">
        <f t="shared" ca="1" si="1"/>
        <v>0</v>
      </c>
      <c r="V60" s="4">
        <f t="shared" ca="1" si="2"/>
        <v>254</v>
      </c>
      <c r="W60" s="4">
        <f t="shared" ca="1" si="3"/>
        <v>106</v>
      </c>
      <c r="X60" s="13">
        <f t="shared" ca="1" si="4"/>
        <v>0.56681111111111104</v>
      </c>
      <c r="Y60" s="5">
        <f t="shared" ca="1" si="5"/>
        <v>0.35392519289465185</v>
      </c>
      <c r="Z60" s="15">
        <f t="shared" si="8"/>
        <v>6.055363321799323E-2</v>
      </c>
      <c r="AA60" s="15">
        <f t="shared" si="8"/>
        <v>7.0370370370370194E-2</v>
      </c>
      <c r="AB60" s="15">
        <f t="shared" si="8"/>
        <v>3.8461538461538547E-2</v>
      </c>
      <c r="AC60" s="15">
        <f t="shared" si="8"/>
        <v>0.1063829787234043</v>
      </c>
      <c r="AD60" s="15">
        <f t="shared" si="19"/>
        <v>6.8181818181818121E-2</v>
      </c>
      <c r="AE60" s="15">
        <f t="shared" si="20"/>
        <v>9.9999999999999867E-2</v>
      </c>
      <c r="AF60" s="15">
        <f t="shared" si="21"/>
        <v>5.2631578947368363E-2</v>
      </c>
      <c r="AG60" s="15">
        <f t="shared" si="22"/>
        <v>5.555555555555558E-2</v>
      </c>
      <c r="AH60" s="15">
        <f t="shared" si="23"/>
        <v>5.8823529411764497E-2</v>
      </c>
      <c r="AI60" s="15">
        <f t="shared" si="24"/>
        <v>3.0303030303030276E-2</v>
      </c>
      <c r="AJ60" s="15">
        <f t="shared" si="25"/>
        <v>6.4516129032258229E-2</v>
      </c>
      <c r="AK60" s="15">
        <f t="shared" si="26"/>
        <v>3.3333333333333437E-2</v>
      </c>
      <c r="AL60" s="15">
        <f t="shared" si="27"/>
        <v>7.1428571428571397E-2</v>
      </c>
      <c r="AM60" s="5">
        <f t="shared" si="18"/>
        <v>3.0303030303030276E-2</v>
      </c>
    </row>
    <row r="61" spans="1:39" x14ac:dyDescent="0.25">
      <c r="A61" t="s">
        <v>115</v>
      </c>
      <c r="B61" t="s">
        <v>116</v>
      </c>
      <c r="C61" s="58">
        <v>31</v>
      </c>
      <c r="D61" s="58">
        <v>3</v>
      </c>
      <c r="E61" s="58">
        <v>2015</v>
      </c>
      <c r="F61" s="67">
        <v>1.25</v>
      </c>
      <c r="G61" s="79">
        <v>1.1599999999999999</v>
      </c>
      <c r="H61" s="79">
        <v>1.1000000000000001</v>
      </c>
      <c r="I61" s="61">
        <v>1.05</v>
      </c>
      <c r="J61" s="61">
        <v>1.01</v>
      </c>
      <c r="K61" s="61">
        <v>0.91</v>
      </c>
      <c r="L61" s="61">
        <v>0.81</v>
      </c>
      <c r="M61" s="61">
        <v>0.68</v>
      </c>
      <c r="N61" s="61">
        <v>0.57999999999999996</v>
      </c>
      <c r="O61" s="61">
        <v>0.57999999999999996</v>
      </c>
      <c r="P61" s="61">
        <v>0.5</v>
      </c>
      <c r="Q61" s="61"/>
      <c r="R61" s="61"/>
      <c r="S61" s="62"/>
      <c r="T61" s="13">
        <f t="shared" si="7"/>
        <v>0.87545454545454549</v>
      </c>
      <c r="U61" s="4">
        <f t="shared" ca="1" si="1"/>
        <v>0</v>
      </c>
      <c r="V61" s="4">
        <f t="shared" ca="1" si="2"/>
        <v>343</v>
      </c>
      <c r="W61" s="4">
        <f t="shared" ca="1" si="3"/>
        <v>17</v>
      </c>
      <c r="X61" s="13">
        <f t="shared" ca="1" si="4"/>
        <v>1.1571666666666665</v>
      </c>
      <c r="Y61" s="5">
        <f t="shared" ca="1" si="5"/>
        <v>0.32178954655590131</v>
      </c>
      <c r="Z61" s="15">
        <f t="shared" si="8"/>
        <v>7.7586206896551824E-2</v>
      </c>
      <c r="AA61" s="15">
        <f t="shared" si="8"/>
        <v>5.4545454545454453E-2</v>
      </c>
      <c r="AB61" s="15">
        <f t="shared" si="8"/>
        <v>4.7619047619047672E-2</v>
      </c>
      <c r="AC61" s="15">
        <f t="shared" si="8"/>
        <v>3.9603960396039639E-2</v>
      </c>
      <c r="AD61" s="15">
        <f t="shared" si="19"/>
        <v>0.10989010989010994</v>
      </c>
      <c r="AE61" s="15">
        <f t="shared" si="20"/>
        <v>0.12345679012345667</v>
      </c>
      <c r="AF61" s="15">
        <f t="shared" si="21"/>
        <v>0.19117647058823528</v>
      </c>
      <c r="AG61" s="15">
        <f t="shared" si="22"/>
        <v>0.1724137931034484</v>
      </c>
      <c r="AH61" s="15">
        <f t="shared" si="23"/>
        <v>0</v>
      </c>
      <c r="AI61" s="15">
        <f t="shared" si="24"/>
        <v>0.15999999999999992</v>
      </c>
      <c r="AJ61" s="15" t="str">
        <f t="shared" si="25"/>
        <v/>
      </c>
      <c r="AK61" s="15" t="str">
        <f t="shared" si="26"/>
        <v/>
      </c>
      <c r="AL61" s="15" t="str">
        <f t="shared" si="27"/>
        <v/>
      </c>
      <c r="AM61" s="5">
        <f t="shared" si="18"/>
        <v>0</v>
      </c>
    </row>
    <row r="62" spans="1:39" x14ac:dyDescent="0.25">
      <c r="A62" t="s">
        <v>117</v>
      </c>
      <c r="B62" t="s">
        <v>118</v>
      </c>
      <c r="C62" s="58">
        <v>31</v>
      </c>
      <c r="D62" s="58">
        <v>12</v>
      </c>
      <c r="E62" s="58">
        <v>2015</v>
      </c>
      <c r="F62" s="67">
        <v>0.81299999999999994</v>
      </c>
      <c r="G62" s="79">
        <v>0.80599999999999994</v>
      </c>
      <c r="H62" s="79">
        <v>0.80799999999999994</v>
      </c>
      <c r="I62" s="61">
        <v>0.8</v>
      </c>
      <c r="J62" s="61">
        <v>0.78</v>
      </c>
      <c r="K62" s="61">
        <v>0.74</v>
      </c>
      <c r="L62" s="61">
        <v>0.7</v>
      </c>
      <c r="M62" s="61">
        <v>0.65</v>
      </c>
      <c r="N62" s="61">
        <v>0.61</v>
      </c>
      <c r="O62" s="61">
        <v>0.56999999999999995</v>
      </c>
      <c r="P62" s="61">
        <v>0.53</v>
      </c>
      <c r="Q62" s="61">
        <v>0.48</v>
      </c>
      <c r="R62" s="61">
        <v>0.44</v>
      </c>
      <c r="S62" s="62">
        <v>0.42</v>
      </c>
      <c r="T62" s="13">
        <f t="shared" si="7"/>
        <v>0.65335714285714286</v>
      </c>
      <c r="U62" s="4">
        <f t="shared" ca="1" si="1"/>
        <v>0</v>
      </c>
      <c r="V62" s="4">
        <f t="shared" ca="1" si="2"/>
        <v>73</v>
      </c>
      <c r="W62" s="4">
        <f t="shared" ca="1" si="3"/>
        <v>287</v>
      </c>
      <c r="X62" s="13">
        <f t="shared" ca="1" si="4"/>
        <v>0.80759444444444439</v>
      </c>
      <c r="Y62" s="5">
        <f t="shared" ca="1" si="5"/>
        <v>0.23606889933554398</v>
      </c>
      <c r="Z62" s="15">
        <f t="shared" si="8"/>
        <v>8.6848635235732274E-3</v>
      </c>
      <c r="AA62" s="15">
        <f t="shared" si="8"/>
        <v>-2.4752475247524774E-3</v>
      </c>
      <c r="AB62" s="15">
        <f t="shared" si="8"/>
        <v>9.9999999999997868E-3</v>
      </c>
      <c r="AC62" s="15">
        <f t="shared" si="8"/>
        <v>2.5641025641025772E-2</v>
      </c>
      <c r="AD62" s="15">
        <f t="shared" si="19"/>
        <v>5.4054054054054168E-2</v>
      </c>
      <c r="AE62" s="15">
        <f t="shared" si="20"/>
        <v>5.7142857142857162E-2</v>
      </c>
      <c r="AF62" s="15">
        <f t="shared" si="21"/>
        <v>7.6923076923076872E-2</v>
      </c>
      <c r="AG62" s="15">
        <f t="shared" si="22"/>
        <v>6.5573770491803351E-2</v>
      </c>
      <c r="AH62" s="15">
        <f t="shared" si="23"/>
        <v>7.0175438596491224E-2</v>
      </c>
      <c r="AI62" s="15">
        <f t="shared" si="24"/>
        <v>7.5471698113207308E-2</v>
      </c>
      <c r="AJ62" s="15">
        <f t="shared" si="25"/>
        <v>0.10416666666666674</v>
      </c>
      <c r="AK62" s="15">
        <f t="shared" si="26"/>
        <v>9.0909090909090828E-2</v>
      </c>
      <c r="AL62" s="15">
        <f t="shared" si="27"/>
        <v>4.7619047619047672E-2</v>
      </c>
      <c r="AM62" s="5">
        <f t="shared" si="18"/>
        <v>-2.4752475247524774E-3</v>
      </c>
    </row>
    <row r="63" spans="1:39" x14ac:dyDescent="0.25">
      <c r="A63" t="s">
        <v>119</v>
      </c>
      <c r="B63" t="s">
        <v>120</v>
      </c>
      <c r="C63" s="58">
        <v>31</v>
      </c>
      <c r="D63" s="58">
        <v>12</v>
      </c>
      <c r="E63" s="58">
        <v>2015</v>
      </c>
      <c r="F63" s="67">
        <v>1.45</v>
      </c>
      <c r="G63" s="79">
        <v>1.36</v>
      </c>
      <c r="H63" s="79">
        <v>1.28</v>
      </c>
      <c r="I63" s="66">
        <v>1.36</v>
      </c>
      <c r="J63" s="61">
        <v>1.37</v>
      </c>
      <c r="K63" s="61">
        <v>1.34</v>
      </c>
      <c r="L63" s="61">
        <v>1.25</v>
      </c>
      <c r="M63" s="61">
        <v>1.1499999999999999</v>
      </c>
      <c r="N63" s="61">
        <v>1</v>
      </c>
      <c r="O63" s="61">
        <v>0.62</v>
      </c>
      <c r="P63" s="61">
        <v>0.5</v>
      </c>
      <c r="Q63" s="61"/>
      <c r="R63" s="61"/>
      <c r="S63" s="62"/>
      <c r="T63" s="13">
        <f t="shared" si="7"/>
        <v>1.1527272727272726</v>
      </c>
      <c r="U63" s="4">
        <f t="shared" ca="1" si="1"/>
        <v>0</v>
      </c>
      <c r="V63" s="4">
        <f t="shared" ca="1" si="2"/>
        <v>73</v>
      </c>
      <c r="W63" s="4">
        <f t="shared" ca="1" si="3"/>
        <v>287</v>
      </c>
      <c r="X63" s="13">
        <f t="shared" ca="1" si="4"/>
        <v>1.2962222222222222</v>
      </c>
      <c r="Y63" s="5">
        <f t="shared" ca="1" si="5"/>
        <v>0.12448300035050841</v>
      </c>
      <c r="Z63" s="15">
        <f t="shared" si="8"/>
        <v>6.6176470588235281E-2</v>
      </c>
      <c r="AA63" s="15">
        <f t="shared" si="8"/>
        <v>6.25E-2</v>
      </c>
      <c r="AB63" s="15">
        <f t="shared" si="8"/>
        <v>-5.8823529411764719E-2</v>
      </c>
      <c r="AC63" s="15">
        <f t="shared" si="8"/>
        <v>-7.2992700729926918E-3</v>
      </c>
      <c r="AD63" s="15">
        <f t="shared" si="19"/>
        <v>2.2388059701492491E-2</v>
      </c>
      <c r="AE63" s="15">
        <f t="shared" si="20"/>
        <v>7.2000000000000064E-2</v>
      </c>
      <c r="AF63" s="15">
        <f t="shared" si="21"/>
        <v>8.6956521739130599E-2</v>
      </c>
      <c r="AG63" s="15">
        <f t="shared" si="22"/>
        <v>0.14999999999999991</v>
      </c>
      <c r="AH63" s="15">
        <f t="shared" si="23"/>
        <v>0.61290322580645173</v>
      </c>
      <c r="AI63" s="15">
        <f t="shared" si="24"/>
        <v>0.24</v>
      </c>
      <c r="AJ63" s="15" t="str">
        <f t="shared" si="25"/>
        <v/>
      </c>
      <c r="AK63" s="15" t="str">
        <f t="shared" si="26"/>
        <v/>
      </c>
      <c r="AL63" s="15" t="str">
        <f t="shared" si="27"/>
        <v/>
      </c>
      <c r="AM63" s="5">
        <f t="shared" si="18"/>
        <v>-5.8823529411764719E-2</v>
      </c>
    </row>
    <row r="64" spans="1:39" x14ac:dyDescent="0.25">
      <c r="A64" t="s">
        <v>121</v>
      </c>
      <c r="B64" t="s">
        <v>122</v>
      </c>
      <c r="C64" s="58">
        <v>31</v>
      </c>
      <c r="D64" s="58">
        <v>12</v>
      </c>
      <c r="E64" s="58">
        <v>2015</v>
      </c>
      <c r="F64" s="67">
        <v>2.5299999999999998</v>
      </c>
      <c r="G64" s="79">
        <v>2.34</v>
      </c>
      <c r="H64" s="79">
        <v>2.1800000000000002</v>
      </c>
      <c r="I64" s="61">
        <v>1.7</v>
      </c>
      <c r="J64" s="61">
        <v>1.84</v>
      </c>
      <c r="K64" s="61">
        <v>1.7</v>
      </c>
      <c r="L64" s="61">
        <v>1.58</v>
      </c>
      <c r="M64" s="61">
        <v>1.46</v>
      </c>
      <c r="N64" s="61">
        <v>1.32</v>
      </c>
      <c r="O64" s="63">
        <v>1.04</v>
      </c>
      <c r="P64" s="63">
        <v>0.94199999999999995</v>
      </c>
      <c r="Q64" s="63">
        <v>0.83499999999999996</v>
      </c>
      <c r="R64" s="63">
        <v>0.70899999999999996</v>
      </c>
      <c r="S64" s="64">
        <v>0.77300000000000002</v>
      </c>
      <c r="T64" s="13">
        <f t="shared" si="7"/>
        <v>1.4963571428571427</v>
      </c>
      <c r="U64" s="4">
        <f t="shared" ca="1" si="1"/>
        <v>0</v>
      </c>
      <c r="V64" s="4">
        <f t="shared" ca="1" si="2"/>
        <v>73</v>
      </c>
      <c r="W64" s="4">
        <f t="shared" ca="1" si="3"/>
        <v>287</v>
      </c>
      <c r="X64" s="13">
        <f t="shared" ca="1" si="4"/>
        <v>2.2124444444444449</v>
      </c>
      <c r="Y64" s="5">
        <f t="shared" ca="1" si="5"/>
        <v>0.47855373632260401</v>
      </c>
      <c r="Z64" s="15">
        <f t="shared" si="8"/>
        <v>8.119658119658113E-2</v>
      </c>
      <c r="AA64" s="15">
        <f t="shared" si="8"/>
        <v>7.3394495412843819E-2</v>
      </c>
      <c r="AB64" s="15">
        <f t="shared" si="8"/>
        <v>0.2823529411764707</v>
      </c>
      <c r="AC64" s="15">
        <f t="shared" si="8"/>
        <v>-7.6086956521739246E-2</v>
      </c>
      <c r="AD64" s="15">
        <f t="shared" si="19"/>
        <v>8.235294117647074E-2</v>
      </c>
      <c r="AE64" s="15">
        <f t="shared" si="20"/>
        <v>7.5949367088607556E-2</v>
      </c>
      <c r="AF64" s="15">
        <f t="shared" si="21"/>
        <v>8.2191780821917915E-2</v>
      </c>
      <c r="AG64" s="15">
        <f t="shared" si="22"/>
        <v>0.10606060606060597</v>
      </c>
      <c r="AH64" s="15">
        <f t="shared" si="23"/>
        <v>0.26923076923076916</v>
      </c>
      <c r="AI64" s="15">
        <f t="shared" si="24"/>
        <v>0.10403397027600869</v>
      </c>
      <c r="AJ64" s="15">
        <f t="shared" si="25"/>
        <v>0.12814371257485035</v>
      </c>
      <c r="AK64" s="15">
        <f t="shared" si="26"/>
        <v>0.17771509167842026</v>
      </c>
      <c r="AL64" s="15">
        <f t="shared" si="27"/>
        <v>-8.2794307891332575E-2</v>
      </c>
      <c r="AM64" s="5">
        <f t="shared" si="18"/>
        <v>-8.2794307891332575E-2</v>
      </c>
    </row>
    <row r="65" spans="1:39" x14ac:dyDescent="0.25">
      <c r="A65" t="s">
        <v>123</v>
      </c>
      <c r="B65" t="s">
        <v>124</v>
      </c>
      <c r="C65" s="58">
        <v>31</v>
      </c>
      <c r="D65" s="58">
        <v>12</v>
      </c>
      <c r="E65" s="58">
        <v>2015</v>
      </c>
      <c r="F65" s="67">
        <v>0.9</v>
      </c>
      <c r="G65" s="79">
        <v>0.72</v>
      </c>
      <c r="H65" s="79">
        <v>0.61</v>
      </c>
      <c r="I65" s="61">
        <v>0.5</v>
      </c>
      <c r="J65" s="61">
        <v>0.2</v>
      </c>
      <c r="K65" s="61">
        <v>0</v>
      </c>
      <c r="L65" s="61">
        <v>0</v>
      </c>
      <c r="M65" s="61">
        <v>0</v>
      </c>
      <c r="N65" s="61">
        <v>0</v>
      </c>
      <c r="O65" s="61">
        <v>8.4</v>
      </c>
      <c r="P65" s="61">
        <v>15.4</v>
      </c>
      <c r="Q65" s="61">
        <v>13</v>
      </c>
      <c r="R65" s="61">
        <v>12.6</v>
      </c>
      <c r="S65" s="62">
        <v>5.6</v>
      </c>
      <c r="T65" s="13">
        <f t="shared" si="7"/>
        <v>4.1378571428571433</v>
      </c>
      <c r="U65" s="4">
        <f t="shared" ca="1" si="1"/>
        <v>0</v>
      </c>
      <c r="V65" s="4">
        <f t="shared" ca="1" si="2"/>
        <v>73</v>
      </c>
      <c r="W65" s="4">
        <f t="shared" ca="1" si="3"/>
        <v>287</v>
      </c>
      <c r="X65" s="13">
        <f t="shared" ca="1" si="4"/>
        <v>0.63230555555555557</v>
      </c>
      <c r="Y65" s="5">
        <f t="shared" ca="1" si="5"/>
        <v>-0.84719009532577627</v>
      </c>
      <c r="Z65" s="15">
        <f t="shared" si="8"/>
        <v>0.25</v>
      </c>
      <c r="AA65" s="15">
        <f t="shared" si="8"/>
        <v>0.18032786885245899</v>
      </c>
      <c r="AB65" s="15">
        <f t="shared" si="8"/>
        <v>0.21999999999999997</v>
      </c>
      <c r="AC65" s="15">
        <f t="shared" si="8"/>
        <v>1.5</v>
      </c>
      <c r="AD65" s="15">
        <f t="shared" si="19"/>
        <v>1</v>
      </c>
      <c r="AE65" s="15">
        <f t="shared" si="20"/>
        <v>1</v>
      </c>
      <c r="AF65" s="15">
        <f t="shared" si="21"/>
        <v>1</v>
      </c>
      <c r="AG65" s="15">
        <f t="shared" si="22"/>
        <v>1</v>
      </c>
      <c r="AH65" s="15">
        <f t="shared" si="23"/>
        <v>-1</v>
      </c>
      <c r="AI65" s="15">
        <f t="shared" si="24"/>
        <v>-0.45454545454545459</v>
      </c>
      <c r="AJ65" s="15">
        <f t="shared" si="25"/>
        <v>0.18461538461538463</v>
      </c>
      <c r="AK65" s="15">
        <f t="shared" si="26"/>
        <v>3.1746031746031855E-2</v>
      </c>
      <c r="AL65" s="15">
        <f t="shared" si="27"/>
        <v>1.25</v>
      </c>
      <c r="AM65" s="5">
        <f t="shared" si="18"/>
        <v>-1</v>
      </c>
    </row>
    <row r="66" spans="1:39" x14ac:dyDescent="0.25">
      <c r="A66" t="s">
        <v>125</v>
      </c>
      <c r="B66" t="s">
        <v>126</v>
      </c>
      <c r="C66" s="58">
        <v>31</v>
      </c>
      <c r="D66" s="58">
        <v>12</v>
      </c>
      <c r="E66" s="58">
        <v>2015</v>
      </c>
      <c r="F66" s="67">
        <v>10.6</v>
      </c>
      <c r="G66" s="79">
        <v>9.6</v>
      </c>
      <c r="H66" s="79">
        <v>8.6999999999999993</v>
      </c>
      <c r="I66" s="61">
        <v>7.72</v>
      </c>
      <c r="J66" s="61">
        <v>6.72</v>
      </c>
      <c r="K66" s="61">
        <v>6</v>
      </c>
      <c r="L66" s="61">
        <v>5.5</v>
      </c>
      <c r="M66" s="61">
        <v>4</v>
      </c>
      <c r="N66" s="61">
        <v>3.12</v>
      </c>
      <c r="O66" s="61">
        <v>3.12</v>
      </c>
      <c r="P66" s="61"/>
      <c r="Q66" s="61"/>
      <c r="R66" s="61"/>
      <c r="S66" s="62"/>
      <c r="T66" s="13">
        <f t="shared" si="7"/>
        <v>6.508</v>
      </c>
      <c r="U66" s="4">
        <f t="shared" ca="1" si="1"/>
        <v>0</v>
      </c>
      <c r="V66" s="4">
        <f t="shared" ca="1" si="2"/>
        <v>73</v>
      </c>
      <c r="W66" s="4">
        <f t="shared" ca="1" si="3"/>
        <v>287</v>
      </c>
      <c r="X66" s="13">
        <f t="shared" ca="1" si="4"/>
        <v>8.8825000000000003</v>
      </c>
      <c r="Y66" s="5">
        <f t="shared" ca="1" si="5"/>
        <v>0.36485863552550701</v>
      </c>
      <c r="Z66" s="15">
        <f t="shared" si="8"/>
        <v>0.10416666666666674</v>
      </c>
      <c r="AA66" s="15">
        <f t="shared" si="8"/>
        <v>0.10344827586206895</v>
      </c>
      <c r="AB66" s="15">
        <f t="shared" si="8"/>
        <v>0.12694300518134716</v>
      </c>
      <c r="AC66" s="15">
        <f t="shared" si="8"/>
        <v>0.14880952380952372</v>
      </c>
      <c r="AD66" s="15">
        <f t="shared" si="19"/>
        <v>0.11999999999999988</v>
      </c>
      <c r="AE66" s="15">
        <f t="shared" si="20"/>
        <v>9.0909090909090828E-2</v>
      </c>
      <c r="AF66" s="15">
        <f t="shared" si="21"/>
        <v>0.375</v>
      </c>
      <c r="AG66" s="15">
        <f t="shared" si="22"/>
        <v>0.28205128205128194</v>
      </c>
      <c r="AH66" s="15">
        <f t="shared" si="23"/>
        <v>0</v>
      </c>
      <c r="AI66" s="15" t="str">
        <f t="shared" si="24"/>
        <v/>
      </c>
      <c r="AJ66" s="15" t="str">
        <f t="shared" si="25"/>
        <v/>
      </c>
      <c r="AK66" s="15" t="str">
        <f t="shared" si="26"/>
        <v/>
      </c>
      <c r="AL66" s="15" t="str">
        <f t="shared" si="27"/>
        <v/>
      </c>
      <c r="AM66" s="5">
        <f t="shared" si="18"/>
        <v>0</v>
      </c>
    </row>
    <row r="67" spans="1:39" x14ac:dyDescent="0.25">
      <c r="A67" t="s">
        <v>127</v>
      </c>
      <c r="B67" t="s">
        <v>128</v>
      </c>
      <c r="C67" s="58">
        <v>31</v>
      </c>
      <c r="D67" s="58">
        <v>5</v>
      </c>
      <c r="E67" s="58">
        <v>2015</v>
      </c>
      <c r="F67" s="67">
        <v>1.86</v>
      </c>
      <c r="G67" s="79">
        <v>1.75</v>
      </c>
      <c r="H67" s="79">
        <v>1.63</v>
      </c>
      <c r="I67" s="61">
        <v>1.55</v>
      </c>
      <c r="J67" s="61">
        <v>1.32</v>
      </c>
      <c r="K67" s="61">
        <v>1.22</v>
      </c>
      <c r="L67" s="61">
        <v>1.1200000000000001</v>
      </c>
      <c r="M67" s="61">
        <v>0.96</v>
      </c>
      <c r="N67" s="61">
        <v>0.86</v>
      </c>
      <c r="O67" s="61">
        <v>0.79</v>
      </c>
      <c r="P67" s="61">
        <v>0.72</v>
      </c>
      <c r="Q67" s="61">
        <v>0.67</v>
      </c>
      <c r="R67" s="61">
        <v>0.62</v>
      </c>
      <c r="S67" s="62">
        <v>0.55000000000000004</v>
      </c>
      <c r="T67" s="13">
        <f t="shared" si="7"/>
        <v>1.1157142857142857</v>
      </c>
      <c r="U67" s="4">
        <f t="shared" ca="1" si="1"/>
        <v>0</v>
      </c>
      <c r="V67" s="4">
        <f t="shared" ca="1" si="2"/>
        <v>283</v>
      </c>
      <c r="W67" s="4">
        <f t="shared" ca="1" si="3"/>
        <v>77</v>
      </c>
      <c r="X67" s="13">
        <f t="shared" ca="1" si="4"/>
        <v>1.7243333333333335</v>
      </c>
      <c r="Y67" s="5">
        <f t="shared" ca="1" si="5"/>
        <v>0.54549722577891613</v>
      </c>
      <c r="Z67" s="15">
        <f t="shared" si="8"/>
        <v>6.2857142857142945E-2</v>
      </c>
      <c r="AA67" s="15">
        <f t="shared" si="8"/>
        <v>7.361963190184051E-2</v>
      </c>
      <c r="AB67" s="15">
        <f t="shared" si="8"/>
        <v>5.1612903225806361E-2</v>
      </c>
      <c r="AC67" s="15">
        <f t="shared" si="8"/>
        <v>0.17424242424242431</v>
      </c>
      <c r="AD67" s="15">
        <f t="shared" si="19"/>
        <v>8.1967213114754189E-2</v>
      </c>
      <c r="AE67" s="15">
        <f t="shared" si="20"/>
        <v>8.9285714285714191E-2</v>
      </c>
      <c r="AF67" s="15">
        <f t="shared" si="21"/>
        <v>0.16666666666666674</v>
      </c>
      <c r="AG67" s="15">
        <f t="shared" si="22"/>
        <v>0.11627906976744184</v>
      </c>
      <c r="AH67" s="15">
        <f t="shared" si="23"/>
        <v>8.8607594936708889E-2</v>
      </c>
      <c r="AI67" s="15">
        <f t="shared" si="24"/>
        <v>9.7222222222222321E-2</v>
      </c>
      <c r="AJ67" s="15">
        <f t="shared" si="25"/>
        <v>7.4626865671641784E-2</v>
      </c>
      <c r="AK67" s="15">
        <f t="shared" si="26"/>
        <v>8.0645161290322731E-2</v>
      </c>
      <c r="AL67" s="15">
        <f t="shared" si="27"/>
        <v>0.1272727272727272</v>
      </c>
      <c r="AM67" s="5">
        <f t="shared" si="18"/>
        <v>5.1612903225806361E-2</v>
      </c>
    </row>
    <row r="68" spans="1:39" x14ac:dyDescent="0.25">
      <c r="A68" t="s">
        <v>129</v>
      </c>
      <c r="B68" t="s">
        <v>130</v>
      </c>
      <c r="C68" s="58">
        <v>31</v>
      </c>
      <c r="D68" s="58">
        <v>12</v>
      </c>
      <c r="E68" s="58">
        <v>2015</v>
      </c>
      <c r="F68" s="67">
        <v>3.99</v>
      </c>
      <c r="G68" s="79">
        <v>3.74</v>
      </c>
      <c r="H68" s="79">
        <v>3.52</v>
      </c>
      <c r="I68" s="61">
        <v>3.36</v>
      </c>
      <c r="J68" s="61">
        <v>3.24</v>
      </c>
      <c r="K68" s="61">
        <v>2.96</v>
      </c>
      <c r="L68" s="61">
        <v>2.8</v>
      </c>
      <c r="M68" s="61">
        <v>2.64</v>
      </c>
      <c r="N68" s="61">
        <v>2.4</v>
      </c>
      <c r="O68" s="61">
        <v>2.3199999999999998</v>
      </c>
      <c r="P68" s="61">
        <v>2.12</v>
      </c>
      <c r="Q68" s="61">
        <v>1.96</v>
      </c>
      <c r="R68" s="61">
        <v>1.8</v>
      </c>
      <c r="S68" s="62">
        <v>1.6</v>
      </c>
      <c r="T68" s="13">
        <f t="shared" si="7"/>
        <v>2.7464285714285714</v>
      </c>
      <c r="U68" s="4">
        <f t="shared" ref="U68" ca="1" si="28">IF(DAYS360(TODAY(),DATE(E68+2,D68,C68))&gt;=720,0,360-V68)</f>
        <v>0</v>
      </c>
      <c r="V68" s="4">
        <f t="shared" ref="V68" ca="1" si="29">IF(DAYS360(TODAY(),DATE(E68+1,D68,C68))&lt;=360,DAYS360(TODAY(),DATE(E68+1,D68,C68)),360-W68)</f>
        <v>73</v>
      </c>
      <c r="W68" s="4">
        <f t="shared" ref="W68" ca="1" si="30">IF(DATE(E68,D68,C68)&lt;=TODAY(),0,DAYS360(TODAY(),DATE(E68,D68,C68)))</f>
        <v>287</v>
      </c>
      <c r="X68" s="13">
        <f t="shared" ref="X68" ca="1" si="31">(F68/360*U68)+(G68/360*V68)+(H68/360*W68)</f>
        <v>3.5646111111111107</v>
      </c>
      <c r="Y68" s="5">
        <f t="shared" ref="Y68" ca="1" si="32">IF(X68&lt;0,IF(X68&lt;0,((X68/T68)-1)*-1,(X68/T68)-1),IF(T68&lt;0,ABS((X68/T68)-1),(X68/T68)-1))</f>
        <v>0.29790781678948108</v>
      </c>
      <c r="Z68" s="15">
        <f t="shared" si="8"/>
        <v>6.6844919786096302E-2</v>
      </c>
      <c r="AA68" s="15">
        <f t="shared" si="8"/>
        <v>6.25E-2</v>
      </c>
      <c r="AB68" s="15">
        <f t="shared" si="8"/>
        <v>4.7619047619047672E-2</v>
      </c>
      <c r="AC68" s="15">
        <f t="shared" ref="AC68" si="33">IF(I68&lt;&gt;"",IF(J68&lt;&gt;"",IF(J68=0,1,(I68/J68)-1),""),"")</f>
        <v>3.7037037037036979E-2</v>
      </c>
      <c r="AD68" s="15">
        <f>IF(J68&lt;&gt;"",IF(K68&lt;&gt;"",IF(K68=0,1,(J68/K68)-1),""),"")</f>
        <v>9.4594594594594739E-2</v>
      </c>
      <c r="AE68" s="15">
        <f>IF(K68&lt;&gt;"",IF(L68&lt;&gt;"",IF(L68=0,1,(K68/L68)-1),""),"")</f>
        <v>5.7142857142857162E-2</v>
      </c>
      <c r="AF68" s="15">
        <f>IF(L68&lt;&gt;"",IF(M68&lt;&gt;"",IF(M68=0,1,(L68/M68)-1),""),"")</f>
        <v>6.0606060606060552E-2</v>
      </c>
      <c r="AG68" s="15">
        <f t="shared" ref="AG68" si="34">IF(M68&lt;&gt;"",IF(N68&lt;&gt;"",IF(N68=0,1,(M68/N68)-1),""),"")</f>
        <v>0.10000000000000009</v>
      </c>
      <c r="AH68" s="15">
        <f>IF(N68&lt;&gt;"",IF(O68&lt;&gt;"",IF(O68=0,1,(N68/O68)-1),""),"")</f>
        <v>3.4482758620689724E-2</v>
      </c>
      <c r="AI68" s="15">
        <f>IF(O68&lt;&gt;"",IF(P68&lt;&gt;"",IF(P68=0,1,(O68/P68)-1),""),"")</f>
        <v>9.4339622641509413E-2</v>
      </c>
      <c r="AJ68" s="15">
        <f>IF(P68&lt;&gt;"",IF(Q68&lt;&gt;"",IF(Q68=0,1,(P68/Q68)-1),""),"")</f>
        <v>8.163265306122458E-2</v>
      </c>
      <c r="AK68" s="15">
        <f>IF(Q68&lt;&gt;"",IF(R68&lt;&gt;"",IF(R68=0,1,(Q68/R68)-1),""),"")</f>
        <v>8.8888888888888795E-2</v>
      </c>
      <c r="AL68" s="15">
        <f>IF(R68&lt;&gt;"",IF(S68&lt;&gt;"",IF(S68=0,1,(R68/S68)-1),""),"")</f>
        <v>0.125</v>
      </c>
      <c r="AM68" s="5">
        <f t="shared" si="18"/>
        <v>3.4482758620689724E-2</v>
      </c>
    </row>
  </sheetData>
  <autoFilter ref="A3:AM3">
    <sortState ref="A4:AC68">
      <sortCondition ref="B3"/>
    </sortState>
  </autoFilter>
  <mergeCells count="3">
    <mergeCell ref="U1:W1"/>
    <mergeCell ref="Z1:AL1"/>
    <mergeCell ref="C2:E2"/>
  </mergeCells>
  <pageMargins left="0.7" right="0.7" top="0.78740157499999996" bottom="0.78740157499999996" header="0.3" footer="0.3"/>
  <ignoredErrors>
    <ignoredError sqref="T4:T68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4.85546875" customWidth="1"/>
    <col min="4" max="4" width="14.42578125" customWidth="1"/>
    <col min="5" max="12" width="14.85546875" customWidth="1"/>
    <col min="13" max="13" width="15.85546875" customWidth="1"/>
    <col min="14" max="14" width="14.85546875" bestFit="1" customWidth="1"/>
    <col min="15" max="15" width="14.42578125" customWidth="1"/>
    <col min="16" max="23" width="14.85546875" customWidth="1"/>
    <col min="24" max="24" width="18" customWidth="1"/>
    <col min="25" max="25" width="33.42578125" customWidth="1"/>
    <col min="26" max="26" width="14.42578125" customWidth="1"/>
  </cols>
  <sheetData>
    <row r="1" spans="1:2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98" t="s">
        <v>152</v>
      </c>
      <c r="O1" s="98"/>
      <c r="P1" s="98"/>
      <c r="Q1" s="98"/>
      <c r="R1" s="98"/>
      <c r="S1" s="98"/>
      <c r="T1" s="98"/>
      <c r="U1" s="98"/>
      <c r="V1" s="98"/>
      <c r="W1" s="98"/>
    </row>
    <row r="2" spans="1:26" x14ac:dyDescent="0.25">
      <c r="A2" s="1"/>
      <c r="B2" s="1"/>
      <c r="C2" s="1">
        <v>2015</v>
      </c>
      <c r="D2" s="1">
        <v>2014</v>
      </c>
      <c r="E2" s="1">
        <v>2013</v>
      </c>
      <c r="F2" s="1">
        <v>2012</v>
      </c>
      <c r="G2" s="1">
        <v>2011</v>
      </c>
      <c r="H2" s="1">
        <v>2010</v>
      </c>
      <c r="I2" s="1">
        <v>2009</v>
      </c>
      <c r="J2" s="1">
        <v>2008</v>
      </c>
      <c r="K2" s="1">
        <v>2007</v>
      </c>
      <c r="L2" s="1">
        <v>2006</v>
      </c>
      <c r="M2" s="1">
        <v>2005</v>
      </c>
      <c r="N2" s="1">
        <f t="shared" ref="N2:W2" si="0">C2</f>
        <v>2015</v>
      </c>
      <c r="O2" s="1">
        <f t="shared" si="0"/>
        <v>2014</v>
      </c>
      <c r="P2" s="1">
        <f t="shared" si="0"/>
        <v>2013</v>
      </c>
      <c r="Q2" s="1">
        <f t="shared" si="0"/>
        <v>2012</v>
      </c>
      <c r="R2" s="1">
        <f t="shared" si="0"/>
        <v>2011</v>
      </c>
      <c r="S2" s="1">
        <f t="shared" si="0"/>
        <v>2010</v>
      </c>
      <c r="T2" s="1">
        <f t="shared" si="0"/>
        <v>2009</v>
      </c>
      <c r="U2" s="1">
        <f t="shared" si="0"/>
        <v>2008</v>
      </c>
      <c r="V2" s="1">
        <f t="shared" si="0"/>
        <v>2007</v>
      </c>
      <c r="W2" s="1">
        <f t="shared" si="0"/>
        <v>2006</v>
      </c>
    </row>
    <row r="3" spans="1:26" x14ac:dyDescent="0.25">
      <c r="A3" s="1" t="s">
        <v>0</v>
      </c>
      <c r="B3" s="1" t="s">
        <v>1</v>
      </c>
      <c r="C3" s="1" t="s">
        <v>202</v>
      </c>
      <c r="D3" s="1" t="s">
        <v>131</v>
      </c>
      <c r="E3" s="1" t="s">
        <v>132</v>
      </c>
      <c r="F3" s="1" t="s">
        <v>133</v>
      </c>
      <c r="G3" s="1" t="s">
        <v>134</v>
      </c>
      <c r="H3" s="1" t="s">
        <v>135</v>
      </c>
      <c r="I3" s="1" t="s">
        <v>136</v>
      </c>
      <c r="J3" s="1" t="s">
        <v>137</v>
      </c>
      <c r="K3" s="1" t="s">
        <v>138</v>
      </c>
      <c r="L3" s="1" t="s">
        <v>139</v>
      </c>
      <c r="M3" s="1" t="s">
        <v>140</v>
      </c>
      <c r="N3" s="1" t="s">
        <v>202</v>
      </c>
      <c r="O3" s="1" t="s">
        <v>131</v>
      </c>
      <c r="P3" s="1" t="s">
        <v>132</v>
      </c>
      <c r="Q3" s="1" t="s">
        <v>133</v>
      </c>
      <c r="R3" s="1" t="s">
        <v>134</v>
      </c>
      <c r="S3" s="1" t="s">
        <v>135</v>
      </c>
      <c r="T3" s="1" t="s">
        <v>136</v>
      </c>
      <c r="U3" s="1" t="s">
        <v>137</v>
      </c>
      <c r="V3" s="1" t="s">
        <v>138</v>
      </c>
      <c r="W3" s="1" t="s">
        <v>139</v>
      </c>
      <c r="X3" s="1" t="s">
        <v>150</v>
      </c>
      <c r="Y3" s="1" t="s">
        <v>151</v>
      </c>
      <c r="Z3" s="8" t="s">
        <v>185</v>
      </c>
    </row>
    <row r="4" spans="1:26" x14ac:dyDescent="0.25">
      <c r="A4" t="s">
        <v>106</v>
      </c>
      <c r="B4" t="s">
        <v>197</v>
      </c>
      <c r="C4" s="65"/>
      <c r="D4" s="6">
        <v>91.66</v>
      </c>
      <c r="E4" s="6">
        <v>91.75</v>
      </c>
      <c r="F4" s="6">
        <v>91.74</v>
      </c>
      <c r="G4" s="6">
        <v>91.25</v>
      </c>
      <c r="H4" s="6">
        <v>92.2</v>
      </c>
      <c r="I4" s="6">
        <v>94.6</v>
      </c>
      <c r="J4" s="6">
        <v>96.9</v>
      </c>
      <c r="K4" s="6">
        <v>100.8</v>
      </c>
      <c r="L4" s="6">
        <v>104</v>
      </c>
      <c r="M4" s="6">
        <v>106.4</v>
      </c>
      <c r="N4" s="15" t="str">
        <f t="shared" ref="N4:W4" si="1">IF(C4&lt;&gt;"",IF(D4&lt;&gt;"",(C4/D4)-1,""),"")</f>
        <v/>
      </c>
      <c r="O4" s="15">
        <f t="shared" si="1"/>
        <v>-9.8092643051772566E-4</v>
      </c>
      <c r="P4" s="15">
        <f t="shared" si="1"/>
        <v>1.0900370612598742E-4</v>
      </c>
      <c r="Q4" s="15">
        <f t="shared" si="1"/>
        <v>5.3698630136986836E-3</v>
      </c>
      <c r="R4" s="15">
        <f t="shared" si="1"/>
        <v>-1.0303687635574876E-2</v>
      </c>
      <c r="S4" s="15">
        <f t="shared" si="1"/>
        <v>-2.5369978858350906E-2</v>
      </c>
      <c r="T4" s="15">
        <f t="shared" si="1"/>
        <v>-2.3735810113519218E-2</v>
      </c>
      <c r="U4" s="15">
        <f t="shared" si="1"/>
        <v>-3.8690476190476053E-2</v>
      </c>
      <c r="V4" s="15">
        <f t="shared" si="1"/>
        <v>-3.0769230769230771E-2</v>
      </c>
      <c r="W4" s="15">
        <f t="shared" si="1"/>
        <v>-2.2556390977443663E-2</v>
      </c>
      <c r="X4" s="5">
        <f>AVERAGE(N4:W4)</f>
        <v>-1.6325292695032061E-2</v>
      </c>
      <c r="Y4" s="5">
        <f>IF(X4=0,0,IF(X4&lt;0,IF(C4&lt;&gt;"",(N4/X4)-1,(O4/X4)-1),IF(C4&lt;&gt;"",IF(N4&lt;0,((N4/X4)-1)*-1,-99.99999),IF(O4&lt;0,((O4/X4)-1)*-1,-99.99999))))</f>
        <v>-0.93991370024157483</v>
      </c>
      <c r="Z4" s="5">
        <f>IF(C4&lt;&gt;"",N4,O4)</f>
        <v>-9.8092643051772566E-4</v>
      </c>
    </row>
    <row r="5" spans="1:26" x14ac:dyDescent="0.25">
      <c r="A5" t="s">
        <v>2</v>
      </c>
      <c r="B5" t="s">
        <v>3</v>
      </c>
      <c r="C5" s="65"/>
      <c r="D5" s="6">
        <v>2399</v>
      </c>
      <c r="E5" s="6">
        <v>2426</v>
      </c>
      <c r="F5" s="6">
        <v>2706</v>
      </c>
      <c r="G5" s="6">
        <v>2746</v>
      </c>
      <c r="H5" s="6">
        <v>2638</v>
      </c>
      <c r="I5" s="6">
        <v>2638</v>
      </c>
      <c r="J5" s="6">
        <v>2644</v>
      </c>
      <c r="K5" s="6">
        <v>2729</v>
      </c>
      <c r="L5" s="6">
        <v>2729</v>
      </c>
      <c r="M5" s="6">
        <v>2739</v>
      </c>
      <c r="N5" s="15" t="str">
        <f t="shared" ref="N5:Q68" si="2">IF(C5&lt;&gt;"",IF(D5&lt;&gt;"",(C5/D5)-1,""),"")</f>
        <v/>
      </c>
      <c r="O5" s="15">
        <f t="shared" si="2"/>
        <v>-1.1129431162407277E-2</v>
      </c>
      <c r="P5" s="15">
        <f t="shared" si="2"/>
        <v>-0.10347376201034741</v>
      </c>
      <c r="Q5" s="15">
        <f t="shared" si="2"/>
        <v>-1.4566642388929352E-2</v>
      </c>
      <c r="R5" s="15">
        <f t="shared" ref="R5:U68" si="3">IF(G5&lt;&gt;"",IF(H5&lt;&gt;"",(G5/H5)-1,""),"")</f>
        <v>4.0940106141015953E-2</v>
      </c>
      <c r="S5" s="15">
        <f t="shared" si="3"/>
        <v>0</v>
      </c>
      <c r="T5" s="15">
        <f t="shared" si="3"/>
        <v>-2.2692889561271024E-3</v>
      </c>
      <c r="U5" s="15">
        <f t="shared" si="3"/>
        <v>-3.1146940271161605E-2</v>
      </c>
      <c r="V5" s="15">
        <f t="shared" ref="V5:W68" si="4">IF(K5&lt;&gt;"",IF(L5&lt;&gt;"",(K5/L5)-1,""),"")</f>
        <v>0</v>
      </c>
      <c r="W5" s="15">
        <f t="shared" si="4"/>
        <v>-3.6509675063891578E-3</v>
      </c>
      <c r="X5" s="5">
        <f t="shared" ref="X5:X68" si="5">AVERAGE(N5:W5)</f>
        <v>-1.3921880683816217E-2</v>
      </c>
      <c r="Y5" s="5">
        <f t="shared" ref="Y5:Y68" si="6">IF(X5=0,0,IF(X5&lt;0,IF(C5&lt;&gt;"",(N5/X5)-1,(O5/X5)-1),IF(C5&lt;&gt;"",IF(N5&lt;0,((N5/X5)-1)*-1,-99.99999),IF(O5&lt;0,((O5/X5)-1)*-1,-99.99999))))</f>
        <v>-0.20057990617999488</v>
      </c>
      <c r="Z5" s="5">
        <f t="shared" ref="Z5:Z68" si="7">IF(C5&lt;&gt;"",N5,O5)</f>
        <v>-1.1129431162407277E-2</v>
      </c>
    </row>
    <row r="6" spans="1:26" x14ac:dyDescent="0.25">
      <c r="A6" t="s">
        <v>4</v>
      </c>
      <c r="B6" t="s">
        <v>5</v>
      </c>
      <c r="C6" s="65"/>
      <c r="D6" s="6">
        <v>862.56</v>
      </c>
      <c r="E6" s="6">
        <v>862.56</v>
      </c>
      <c r="F6" s="6">
        <v>862.56</v>
      </c>
      <c r="G6" s="6">
        <v>862.56</v>
      </c>
      <c r="H6" s="6">
        <v>862.56</v>
      </c>
      <c r="I6" s="6">
        <v>862.56</v>
      </c>
      <c r="J6" s="6">
        <v>862.56</v>
      </c>
      <c r="K6" s="6">
        <v>862.6</v>
      </c>
      <c r="L6" s="6">
        <v>862.6</v>
      </c>
      <c r="M6" s="6">
        <v>862.6</v>
      </c>
      <c r="N6" s="15" t="str">
        <f t="shared" si="2"/>
        <v/>
      </c>
      <c r="O6" s="15">
        <f t="shared" si="2"/>
        <v>0</v>
      </c>
      <c r="P6" s="15">
        <f t="shared" si="2"/>
        <v>0</v>
      </c>
      <c r="Q6" s="15">
        <f t="shared" si="2"/>
        <v>0</v>
      </c>
      <c r="R6" s="15">
        <f t="shared" si="3"/>
        <v>0</v>
      </c>
      <c r="S6" s="15">
        <f t="shared" si="3"/>
        <v>0</v>
      </c>
      <c r="T6" s="15">
        <f t="shared" si="3"/>
        <v>0</v>
      </c>
      <c r="U6" s="15">
        <f t="shared" si="3"/>
        <v>-4.6371435196035371E-5</v>
      </c>
      <c r="V6" s="15">
        <f t="shared" si="4"/>
        <v>0</v>
      </c>
      <c r="W6" s="15">
        <f t="shared" si="4"/>
        <v>0</v>
      </c>
      <c r="X6" s="5">
        <f t="shared" si="5"/>
        <v>-5.1523816884483748E-6</v>
      </c>
      <c r="Y6" s="5">
        <f t="shared" si="6"/>
        <v>-1</v>
      </c>
      <c r="Z6" s="5">
        <f t="shared" si="7"/>
        <v>0</v>
      </c>
    </row>
    <row r="7" spans="1:26" x14ac:dyDescent="0.25">
      <c r="A7" t="s">
        <v>6</v>
      </c>
      <c r="B7" t="s">
        <v>7</v>
      </c>
      <c r="C7" s="65"/>
      <c r="D7" s="65">
        <v>3225</v>
      </c>
      <c r="E7" s="6">
        <v>3225</v>
      </c>
      <c r="F7" s="6">
        <v>3225</v>
      </c>
      <c r="G7" s="6">
        <v>3300</v>
      </c>
      <c r="H7" s="6">
        <v>3465</v>
      </c>
      <c r="I7" s="6">
        <v>3650</v>
      </c>
      <c r="J7" s="6">
        <v>3830</v>
      </c>
      <c r="K7" s="6">
        <v>3931</v>
      </c>
      <c r="L7" s="6">
        <v>4007</v>
      </c>
      <c r="M7" s="6">
        <v>4035</v>
      </c>
      <c r="N7" s="15" t="str">
        <f t="shared" si="2"/>
        <v/>
      </c>
      <c r="O7" s="15">
        <f t="shared" si="2"/>
        <v>0</v>
      </c>
      <c r="P7" s="15">
        <f t="shared" si="2"/>
        <v>0</v>
      </c>
      <c r="Q7" s="15">
        <f t="shared" si="2"/>
        <v>-2.2727272727272707E-2</v>
      </c>
      <c r="R7" s="15">
        <f t="shared" si="3"/>
        <v>-4.7619047619047672E-2</v>
      </c>
      <c r="S7" s="15">
        <f t="shared" si="3"/>
        <v>-5.0684931506849273E-2</v>
      </c>
      <c r="T7" s="15">
        <f t="shared" si="3"/>
        <v>-4.6997389033942572E-2</v>
      </c>
      <c r="U7" s="15">
        <f t="shared" si="3"/>
        <v>-2.5693207835156495E-2</v>
      </c>
      <c r="V7" s="15">
        <f t="shared" si="4"/>
        <v>-1.8966808085849718E-2</v>
      </c>
      <c r="W7" s="15">
        <f t="shared" si="4"/>
        <v>-6.9392812887236754E-3</v>
      </c>
      <c r="X7" s="5">
        <f t="shared" si="5"/>
        <v>-2.4403104232982458E-2</v>
      </c>
      <c r="Y7" s="5">
        <f t="shared" si="6"/>
        <v>-1</v>
      </c>
      <c r="Z7" s="5">
        <f t="shared" si="7"/>
        <v>0</v>
      </c>
    </row>
    <row r="8" spans="1:26" x14ac:dyDescent="0.25">
      <c r="A8" t="s">
        <v>8</v>
      </c>
      <c r="B8" t="s">
        <v>9</v>
      </c>
      <c r="C8" s="65"/>
      <c r="D8" s="6">
        <v>1379</v>
      </c>
      <c r="E8" s="6">
        <v>1020</v>
      </c>
      <c r="F8" s="6">
        <v>929.5</v>
      </c>
      <c r="G8" s="6">
        <v>929.5</v>
      </c>
      <c r="H8" s="6">
        <v>929.5</v>
      </c>
      <c r="I8" s="6">
        <v>620.9</v>
      </c>
      <c r="J8" s="6">
        <v>570.9</v>
      </c>
      <c r="K8" s="6">
        <v>530.4</v>
      </c>
      <c r="L8" s="6">
        <v>524.79999999999995</v>
      </c>
      <c r="M8" s="6">
        <v>505.6</v>
      </c>
      <c r="N8" s="15" t="str">
        <f t="shared" si="2"/>
        <v/>
      </c>
      <c r="O8" s="15">
        <f t="shared" si="2"/>
        <v>0.35196078431372557</v>
      </c>
      <c r="P8" s="15">
        <f t="shared" si="2"/>
        <v>9.7364174287251304E-2</v>
      </c>
      <c r="Q8" s="15">
        <f t="shared" si="2"/>
        <v>0</v>
      </c>
      <c r="R8" s="15">
        <f t="shared" si="3"/>
        <v>0</v>
      </c>
      <c r="S8" s="15">
        <f t="shared" si="3"/>
        <v>0.49702045417941698</v>
      </c>
      <c r="T8" s="15">
        <f t="shared" si="3"/>
        <v>8.7581012436503736E-2</v>
      </c>
      <c r="U8" s="15">
        <f t="shared" si="3"/>
        <v>7.6357466063348367E-2</v>
      </c>
      <c r="V8" s="15">
        <f t="shared" si="4"/>
        <v>1.0670731707317138E-2</v>
      </c>
      <c r="W8" s="15">
        <f t="shared" si="4"/>
        <v>3.7974683544303556E-2</v>
      </c>
      <c r="X8" s="5">
        <f t="shared" si="5"/>
        <v>0.12876992294798517</v>
      </c>
      <c r="Y8" s="5">
        <f t="shared" si="6"/>
        <v>-99.999989999999997</v>
      </c>
      <c r="Z8" s="5">
        <f t="shared" si="7"/>
        <v>0.35196078431372557</v>
      </c>
    </row>
    <row r="9" spans="1:26" x14ac:dyDescent="0.25">
      <c r="A9" t="s">
        <v>10</v>
      </c>
      <c r="B9" t="s">
        <v>11</v>
      </c>
      <c r="C9" s="65"/>
      <c r="D9" s="6">
        <v>252</v>
      </c>
      <c r="E9" s="6">
        <v>252</v>
      </c>
      <c r="F9" s="6">
        <v>252</v>
      </c>
      <c r="G9" s="6">
        <v>252</v>
      </c>
      <c r="H9" s="6">
        <v>252</v>
      </c>
      <c r="I9" s="6">
        <v>252</v>
      </c>
      <c r="J9" s="6">
        <v>252</v>
      </c>
      <c r="K9" s="6">
        <v>252</v>
      </c>
      <c r="L9" s="6">
        <v>252</v>
      </c>
      <c r="M9" s="6">
        <v>252</v>
      </c>
      <c r="N9" s="15" t="str">
        <f t="shared" si="2"/>
        <v/>
      </c>
      <c r="O9" s="15">
        <f t="shared" si="2"/>
        <v>0</v>
      </c>
      <c r="P9" s="15">
        <f t="shared" si="2"/>
        <v>0</v>
      </c>
      <c r="Q9" s="15">
        <f t="shared" si="2"/>
        <v>0</v>
      </c>
      <c r="R9" s="15">
        <f t="shared" si="3"/>
        <v>0</v>
      </c>
      <c r="S9" s="15">
        <f t="shared" si="3"/>
        <v>0</v>
      </c>
      <c r="T9" s="15">
        <f t="shared" si="3"/>
        <v>0</v>
      </c>
      <c r="U9" s="15">
        <f t="shared" si="3"/>
        <v>0</v>
      </c>
      <c r="V9" s="15">
        <f t="shared" si="4"/>
        <v>0</v>
      </c>
      <c r="W9" s="15">
        <f t="shared" si="4"/>
        <v>0</v>
      </c>
      <c r="X9" s="5">
        <f t="shared" si="5"/>
        <v>0</v>
      </c>
      <c r="Y9" s="5">
        <f t="shared" si="6"/>
        <v>0</v>
      </c>
      <c r="Z9" s="5">
        <f t="shared" si="7"/>
        <v>0</v>
      </c>
    </row>
    <row r="10" spans="1:26" x14ac:dyDescent="0.25">
      <c r="A10" t="s">
        <v>12</v>
      </c>
      <c r="B10" t="s">
        <v>13</v>
      </c>
      <c r="C10" s="65"/>
      <c r="D10" s="6">
        <v>1211</v>
      </c>
      <c r="E10" s="6">
        <v>1209</v>
      </c>
      <c r="F10" s="6">
        <v>1209</v>
      </c>
      <c r="G10" s="6">
        <v>1209</v>
      </c>
      <c r="H10" s="6">
        <v>1209</v>
      </c>
      <c r="I10" s="6">
        <v>1209</v>
      </c>
      <c r="J10" s="6">
        <v>1209</v>
      </c>
      <c r="K10" s="6">
        <v>1208</v>
      </c>
      <c r="L10" s="6">
        <v>1202</v>
      </c>
      <c r="M10" s="6">
        <v>1193</v>
      </c>
      <c r="N10" s="15" t="str">
        <f t="shared" si="2"/>
        <v/>
      </c>
      <c r="O10" s="15">
        <f t="shared" si="2"/>
        <v>1.6542597187758634E-3</v>
      </c>
      <c r="P10" s="15">
        <f t="shared" si="2"/>
        <v>0</v>
      </c>
      <c r="Q10" s="15">
        <f t="shared" si="2"/>
        <v>0</v>
      </c>
      <c r="R10" s="15">
        <f t="shared" si="3"/>
        <v>0</v>
      </c>
      <c r="S10" s="15">
        <f t="shared" si="3"/>
        <v>0</v>
      </c>
      <c r="T10" s="15">
        <f t="shared" si="3"/>
        <v>0</v>
      </c>
      <c r="U10" s="15">
        <f t="shared" si="3"/>
        <v>8.2781456953640031E-4</v>
      </c>
      <c r="V10" s="15">
        <f t="shared" si="4"/>
        <v>4.991680532445919E-3</v>
      </c>
      <c r="W10" s="15">
        <f t="shared" si="4"/>
        <v>7.5440067057837012E-3</v>
      </c>
      <c r="X10" s="5">
        <f t="shared" si="5"/>
        <v>1.6686401696157649E-3</v>
      </c>
      <c r="Y10" s="5">
        <f t="shared" si="6"/>
        <v>-99.999989999999997</v>
      </c>
      <c r="Z10" s="5">
        <f t="shared" si="7"/>
        <v>1.6542597187758634E-3</v>
      </c>
    </row>
    <row r="11" spans="1:26" x14ac:dyDescent="0.25">
      <c r="A11" t="s">
        <v>14</v>
      </c>
      <c r="B11" t="s">
        <v>15</v>
      </c>
      <c r="C11" s="65"/>
      <c r="D11" s="6">
        <v>4536</v>
      </c>
      <c r="E11" s="6">
        <v>4451</v>
      </c>
      <c r="F11" s="6">
        <v>4321</v>
      </c>
      <c r="G11" s="6">
        <v>4321</v>
      </c>
      <c r="H11" s="6">
        <v>4321</v>
      </c>
      <c r="I11" s="6">
        <v>4361</v>
      </c>
      <c r="J11" s="6">
        <v>4361</v>
      </c>
      <c r="K11" s="6">
        <v>4361</v>
      </c>
      <c r="L11" s="6">
        <v>4361</v>
      </c>
      <c r="M11" s="6">
        <v>4198</v>
      </c>
      <c r="N11" s="15" t="str">
        <f t="shared" si="2"/>
        <v/>
      </c>
      <c r="O11" s="15">
        <f t="shared" si="2"/>
        <v>1.9096832172545541E-2</v>
      </c>
      <c r="P11" s="15">
        <f t="shared" si="2"/>
        <v>3.0085628326776304E-2</v>
      </c>
      <c r="Q11" s="15">
        <f t="shared" si="2"/>
        <v>0</v>
      </c>
      <c r="R11" s="15">
        <f t="shared" si="3"/>
        <v>0</v>
      </c>
      <c r="S11" s="15">
        <f t="shared" si="3"/>
        <v>-9.1722082091263424E-3</v>
      </c>
      <c r="T11" s="15">
        <f t="shared" si="3"/>
        <v>0</v>
      </c>
      <c r="U11" s="15">
        <f t="shared" si="3"/>
        <v>0</v>
      </c>
      <c r="V11" s="15">
        <f t="shared" si="4"/>
        <v>0</v>
      </c>
      <c r="W11" s="15">
        <f t="shared" si="4"/>
        <v>3.8828013339685663E-2</v>
      </c>
      <c r="X11" s="5">
        <f t="shared" si="5"/>
        <v>8.7598072922090188E-3</v>
      </c>
      <c r="Y11" s="5">
        <f t="shared" si="6"/>
        <v>-99.999989999999997</v>
      </c>
      <c r="Z11" s="5">
        <f t="shared" si="7"/>
        <v>1.9096832172545541E-2</v>
      </c>
    </row>
    <row r="12" spans="1:26" x14ac:dyDescent="0.25">
      <c r="A12" t="s">
        <v>16</v>
      </c>
      <c r="B12" t="s">
        <v>17</v>
      </c>
      <c r="C12" s="65"/>
      <c r="D12" s="65">
        <v>1229</v>
      </c>
      <c r="E12" s="6">
        <v>1229</v>
      </c>
      <c r="F12" s="6">
        <v>1229</v>
      </c>
      <c r="G12" s="6">
        <v>1228</v>
      </c>
      <c r="H12" s="6">
        <v>1227</v>
      </c>
      <c r="I12" s="6">
        <v>1226</v>
      </c>
      <c r="J12" s="6">
        <v>1226</v>
      </c>
      <c r="K12" s="6">
        <v>1246</v>
      </c>
      <c r="L12" s="6">
        <v>1268</v>
      </c>
      <c r="M12" s="6">
        <v>1266</v>
      </c>
      <c r="N12" s="15" t="str">
        <f t="shared" si="2"/>
        <v/>
      </c>
      <c r="O12" s="15">
        <f t="shared" si="2"/>
        <v>0</v>
      </c>
      <c r="P12" s="15">
        <f t="shared" si="2"/>
        <v>0</v>
      </c>
      <c r="Q12" s="15">
        <f t="shared" si="2"/>
        <v>8.143322475568926E-4</v>
      </c>
      <c r="R12" s="15">
        <f t="shared" si="3"/>
        <v>8.1499592502032314E-4</v>
      </c>
      <c r="S12" s="15">
        <f t="shared" si="3"/>
        <v>8.1566068515503964E-4</v>
      </c>
      <c r="T12" s="15">
        <f t="shared" si="3"/>
        <v>0</v>
      </c>
      <c r="U12" s="15">
        <f t="shared" si="3"/>
        <v>-1.6051364365971099E-2</v>
      </c>
      <c r="V12" s="15">
        <f t="shared" si="4"/>
        <v>-1.7350157728706628E-2</v>
      </c>
      <c r="W12" s="15">
        <f t="shared" si="4"/>
        <v>1.5797788309637184E-3</v>
      </c>
      <c r="X12" s="5">
        <f t="shared" si="5"/>
        <v>-3.2640838228868616E-3</v>
      </c>
      <c r="Y12" s="5">
        <f t="shared" si="6"/>
        <v>-1</v>
      </c>
      <c r="Z12" s="5">
        <f t="shared" si="7"/>
        <v>0</v>
      </c>
    </row>
    <row r="13" spans="1:26" x14ac:dyDescent="0.25">
      <c r="A13" t="s">
        <v>18</v>
      </c>
      <c r="B13" t="s">
        <v>19</v>
      </c>
      <c r="C13" s="65"/>
      <c r="D13" s="6">
        <v>881</v>
      </c>
      <c r="E13" s="6">
        <v>881</v>
      </c>
      <c r="F13" s="6">
        <v>881</v>
      </c>
      <c r="G13" s="6">
        <v>914.2</v>
      </c>
      <c r="H13" s="6">
        <v>914.2</v>
      </c>
      <c r="I13" s="6">
        <v>914.2</v>
      </c>
      <c r="J13" s="6">
        <v>914.2</v>
      </c>
      <c r="K13" s="6">
        <v>914.2</v>
      </c>
      <c r="L13" s="6">
        <v>891</v>
      </c>
      <c r="M13" s="6">
        <v>891</v>
      </c>
      <c r="N13" s="15" t="str">
        <f t="shared" si="2"/>
        <v/>
      </c>
      <c r="O13" s="15">
        <f t="shared" si="2"/>
        <v>0</v>
      </c>
      <c r="P13" s="15">
        <f t="shared" si="2"/>
        <v>0</v>
      </c>
      <c r="Q13" s="15">
        <f t="shared" si="2"/>
        <v>-3.6315904616057826E-2</v>
      </c>
      <c r="R13" s="15">
        <f t="shared" si="3"/>
        <v>0</v>
      </c>
      <c r="S13" s="15">
        <f t="shared" si="3"/>
        <v>0</v>
      </c>
      <c r="T13" s="15">
        <f t="shared" si="3"/>
        <v>0</v>
      </c>
      <c r="U13" s="15">
        <f t="shared" si="3"/>
        <v>0</v>
      </c>
      <c r="V13" s="15">
        <f t="shared" si="4"/>
        <v>2.6038159371492675E-2</v>
      </c>
      <c r="W13" s="15">
        <f t="shared" si="4"/>
        <v>0</v>
      </c>
      <c r="X13" s="5">
        <f t="shared" si="5"/>
        <v>-1.1419716938405723E-3</v>
      </c>
      <c r="Y13" s="5">
        <f t="shared" si="6"/>
        <v>-1</v>
      </c>
      <c r="Z13" s="5">
        <f t="shared" si="7"/>
        <v>0</v>
      </c>
    </row>
    <row r="14" spans="1:26" x14ac:dyDescent="0.25">
      <c r="A14" t="s">
        <v>20</v>
      </c>
      <c r="B14" t="s">
        <v>21</v>
      </c>
      <c r="C14" s="65"/>
      <c r="D14" s="6">
        <v>457</v>
      </c>
      <c r="E14" s="6">
        <v>456.5</v>
      </c>
      <c r="F14" s="6">
        <v>455.95</v>
      </c>
      <c r="G14" s="6">
        <v>455.3</v>
      </c>
      <c r="H14" s="6">
        <v>454.5</v>
      </c>
      <c r="I14" s="6">
        <v>453.9</v>
      </c>
      <c r="J14" s="6">
        <v>453.05</v>
      </c>
      <c r="K14" s="6">
        <v>450.2</v>
      </c>
      <c r="L14" s="6">
        <v>432.2</v>
      </c>
      <c r="M14" s="6">
        <v>406</v>
      </c>
      <c r="N14" s="15" t="str">
        <f t="shared" si="2"/>
        <v/>
      </c>
      <c r="O14" s="15">
        <f t="shared" si="2"/>
        <v>1.0952902519167917E-3</v>
      </c>
      <c r="P14" s="15">
        <f t="shared" si="2"/>
        <v>1.2062726176116367E-3</v>
      </c>
      <c r="Q14" s="15">
        <f t="shared" si="2"/>
        <v>1.4276301339775088E-3</v>
      </c>
      <c r="R14" s="15">
        <f t="shared" si="3"/>
        <v>1.7601760176018111E-3</v>
      </c>
      <c r="S14" s="15">
        <f t="shared" si="3"/>
        <v>1.3218770654330747E-3</v>
      </c>
      <c r="T14" s="15">
        <f t="shared" si="3"/>
        <v>1.8761726078797558E-3</v>
      </c>
      <c r="U14" s="15">
        <f t="shared" si="3"/>
        <v>6.3305197689915715E-3</v>
      </c>
      <c r="V14" s="15">
        <f t="shared" si="4"/>
        <v>4.1647385469689935E-2</v>
      </c>
      <c r="W14" s="15">
        <f t="shared" si="4"/>
        <v>6.4532019704433452E-2</v>
      </c>
      <c r="X14" s="5">
        <f t="shared" si="5"/>
        <v>1.3466371515281727E-2</v>
      </c>
      <c r="Y14" s="5">
        <f t="shared" si="6"/>
        <v>-99.999989999999997</v>
      </c>
      <c r="Z14" s="5">
        <f t="shared" si="7"/>
        <v>1.0952902519167917E-3</v>
      </c>
    </row>
    <row r="15" spans="1:26" x14ac:dyDescent="0.25">
      <c r="A15" t="s">
        <v>22</v>
      </c>
      <c r="B15" t="s">
        <v>23</v>
      </c>
      <c r="C15" s="65"/>
      <c r="D15" s="6">
        <v>172.94</v>
      </c>
      <c r="E15" s="6">
        <v>179.34</v>
      </c>
      <c r="F15" s="6">
        <v>179.34</v>
      </c>
      <c r="G15" s="6">
        <v>179.3</v>
      </c>
      <c r="H15" s="6">
        <v>188.5</v>
      </c>
      <c r="I15" s="6">
        <v>197.4</v>
      </c>
      <c r="J15" s="6">
        <v>206.4</v>
      </c>
      <c r="K15" s="6">
        <v>217.9</v>
      </c>
      <c r="L15" s="6">
        <v>229.6</v>
      </c>
      <c r="M15" s="6">
        <v>229.6</v>
      </c>
      <c r="N15" s="15" t="str">
        <f t="shared" si="2"/>
        <v/>
      </c>
      <c r="O15" s="15">
        <f t="shared" si="2"/>
        <v>-3.5686405709824953E-2</v>
      </c>
      <c r="P15" s="15">
        <f t="shared" si="2"/>
        <v>0</v>
      </c>
      <c r="Q15" s="15">
        <f t="shared" si="2"/>
        <v>2.2308979364193959E-4</v>
      </c>
      <c r="R15" s="15">
        <f t="shared" si="3"/>
        <v>-4.8806366047745353E-2</v>
      </c>
      <c r="S15" s="15">
        <f t="shared" si="3"/>
        <v>-4.5086119554204718E-2</v>
      </c>
      <c r="T15" s="15">
        <f t="shared" si="3"/>
        <v>-4.3604651162790664E-2</v>
      </c>
      <c r="U15" s="15">
        <f t="shared" si="3"/>
        <v>-5.2776502983019724E-2</v>
      </c>
      <c r="V15" s="15">
        <f t="shared" si="4"/>
        <v>-5.0958188153310102E-2</v>
      </c>
      <c r="W15" s="15">
        <f t="shared" si="4"/>
        <v>0</v>
      </c>
      <c r="X15" s="5">
        <f t="shared" si="5"/>
        <v>-3.0743904868583732E-2</v>
      </c>
      <c r="Y15" s="5">
        <f t="shared" si="6"/>
        <v>0.16076360053702277</v>
      </c>
      <c r="Z15" s="5">
        <f t="shared" si="7"/>
        <v>-3.5686405709824953E-2</v>
      </c>
    </row>
    <row r="16" spans="1:26" x14ac:dyDescent="0.25">
      <c r="A16" t="s">
        <v>24</v>
      </c>
      <c r="B16" t="s">
        <v>25</v>
      </c>
      <c r="C16" s="65"/>
      <c r="D16" s="6">
        <v>918.5</v>
      </c>
      <c r="E16" s="6">
        <v>918.5</v>
      </c>
      <c r="F16" s="6">
        <v>918.5</v>
      </c>
      <c r="G16" s="6">
        <v>918.5</v>
      </c>
      <c r="H16" s="6">
        <v>918.5</v>
      </c>
      <c r="I16" s="6">
        <v>918.5</v>
      </c>
      <c r="J16" s="6">
        <v>918.5</v>
      </c>
      <c r="K16" s="6">
        <v>956.4</v>
      </c>
      <c r="L16" s="6">
        <v>999.4</v>
      </c>
      <c r="M16" s="6">
        <v>1029</v>
      </c>
      <c r="N16" s="15" t="str">
        <f t="shared" si="2"/>
        <v/>
      </c>
      <c r="O16" s="15">
        <f t="shared" si="2"/>
        <v>0</v>
      </c>
      <c r="P16" s="15">
        <f t="shared" si="2"/>
        <v>0</v>
      </c>
      <c r="Q16" s="15">
        <f t="shared" si="2"/>
        <v>0</v>
      </c>
      <c r="R16" s="15">
        <f t="shared" si="3"/>
        <v>0</v>
      </c>
      <c r="S16" s="15">
        <f t="shared" si="3"/>
        <v>0</v>
      </c>
      <c r="T16" s="15">
        <f t="shared" si="3"/>
        <v>0</v>
      </c>
      <c r="U16" s="15">
        <f t="shared" si="3"/>
        <v>-3.9627770807193596E-2</v>
      </c>
      <c r="V16" s="15">
        <f t="shared" si="4"/>
        <v>-4.3025815489293628E-2</v>
      </c>
      <c r="W16" s="15">
        <f t="shared" si="4"/>
        <v>-2.8765792031098192E-2</v>
      </c>
      <c r="X16" s="5">
        <f t="shared" si="5"/>
        <v>-1.2379930925287268E-2</v>
      </c>
      <c r="Y16" s="5">
        <f t="shared" si="6"/>
        <v>-1</v>
      </c>
      <c r="Z16" s="5">
        <f t="shared" si="7"/>
        <v>0</v>
      </c>
    </row>
    <row r="17" spans="1:26" x14ac:dyDescent="0.25">
      <c r="A17" t="s">
        <v>26</v>
      </c>
      <c r="B17" t="s">
        <v>27</v>
      </c>
      <c r="C17" s="65"/>
      <c r="D17" s="6">
        <v>826.95</v>
      </c>
      <c r="E17" s="6">
        <v>826.95</v>
      </c>
      <c r="F17" s="6">
        <v>826.95</v>
      </c>
      <c r="G17" s="6">
        <v>826.95</v>
      </c>
      <c r="H17" s="6">
        <v>826.9</v>
      </c>
      <c r="I17" s="6">
        <v>826.9</v>
      </c>
      <c r="J17" s="6">
        <v>764.3</v>
      </c>
      <c r="K17" s="6">
        <v>764.3</v>
      </c>
      <c r="L17" s="6">
        <v>764.3</v>
      </c>
      <c r="M17" s="6">
        <v>730.3</v>
      </c>
      <c r="N17" s="15" t="str">
        <f t="shared" si="2"/>
        <v/>
      </c>
      <c r="O17" s="15">
        <f t="shared" si="2"/>
        <v>0</v>
      </c>
      <c r="P17" s="15">
        <f t="shared" si="2"/>
        <v>0</v>
      </c>
      <c r="Q17" s="15">
        <f t="shared" si="2"/>
        <v>0</v>
      </c>
      <c r="R17" s="15">
        <f t="shared" si="3"/>
        <v>6.0466803724734675E-5</v>
      </c>
      <c r="S17" s="15">
        <f t="shared" si="3"/>
        <v>0</v>
      </c>
      <c r="T17" s="15">
        <f t="shared" si="3"/>
        <v>8.1905011121287563E-2</v>
      </c>
      <c r="U17" s="15">
        <f t="shared" si="3"/>
        <v>0</v>
      </c>
      <c r="V17" s="15">
        <f t="shared" si="4"/>
        <v>0</v>
      </c>
      <c r="W17" s="15">
        <f t="shared" si="4"/>
        <v>4.655620977680397E-2</v>
      </c>
      <c r="X17" s="5">
        <f t="shared" si="5"/>
        <v>1.4280187522424029E-2</v>
      </c>
      <c r="Y17" s="5">
        <f t="shared" si="6"/>
        <v>-99.999989999999997</v>
      </c>
      <c r="Z17" s="5">
        <f t="shared" si="7"/>
        <v>0</v>
      </c>
    </row>
    <row r="18" spans="1:26" x14ac:dyDescent="0.25">
      <c r="A18" t="s">
        <v>28</v>
      </c>
      <c r="B18" t="s">
        <v>29</v>
      </c>
      <c r="C18" s="65"/>
      <c r="D18" s="6">
        <v>12584</v>
      </c>
      <c r="E18" s="6">
        <v>11333</v>
      </c>
      <c r="F18" s="6">
        <v>10321</v>
      </c>
      <c r="G18" s="6">
        <v>8909</v>
      </c>
      <c r="H18" s="6">
        <v>8329</v>
      </c>
      <c r="I18" s="6">
        <v>8156</v>
      </c>
      <c r="J18" s="6">
        <v>7994</v>
      </c>
      <c r="K18" s="6">
        <v>6254</v>
      </c>
      <c r="L18" s="6">
        <v>6254</v>
      </c>
      <c r="M18" s="6">
        <v>6254</v>
      </c>
      <c r="N18" s="15" t="str">
        <f t="shared" si="2"/>
        <v/>
      </c>
      <c r="O18" s="15">
        <f t="shared" si="2"/>
        <v>0.11038559957645822</v>
      </c>
      <c r="P18" s="15">
        <f t="shared" si="2"/>
        <v>9.8052514291250947E-2</v>
      </c>
      <c r="Q18" s="15">
        <f t="shared" si="2"/>
        <v>0.15849141317768556</v>
      </c>
      <c r="R18" s="15">
        <f t="shared" si="3"/>
        <v>6.963621082963134E-2</v>
      </c>
      <c r="S18" s="15">
        <f t="shared" si="3"/>
        <v>2.1211378126532621E-2</v>
      </c>
      <c r="T18" s="15">
        <f t="shared" si="3"/>
        <v>2.0265198899174441E-2</v>
      </c>
      <c r="U18" s="15">
        <f t="shared" si="3"/>
        <v>0.27822193795970573</v>
      </c>
      <c r="V18" s="15">
        <f t="shared" si="4"/>
        <v>0</v>
      </c>
      <c r="W18" s="15">
        <f t="shared" si="4"/>
        <v>0</v>
      </c>
      <c r="X18" s="5">
        <f t="shared" si="5"/>
        <v>8.4029361428937646E-2</v>
      </c>
      <c r="Y18" s="5">
        <f t="shared" si="6"/>
        <v>-99.999989999999997</v>
      </c>
      <c r="Z18" s="5">
        <f t="shared" si="7"/>
        <v>0.11038559957645822</v>
      </c>
    </row>
    <row r="19" spans="1:26" x14ac:dyDescent="0.25">
      <c r="A19" t="s">
        <v>30</v>
      </c>
      <c r="B19" t="s">
        <v>31</v>
      </c>
      <c r="C19" s="65"/>
      <c r="D19" s="6">
        <v>4657</v>
      </c>
      <c r="E19" s="6">
        <v>4551</v>
      </c>
      <c r="F19" s="6">
        <v>4551</v>
      </c>
      <c r="G19" s="6">
        <v>4511</v>
      </c>
      <c r="H19" s="6">
        <v>4522</v>
      </c>
      <c r="I19" s="6">
        <v>4553</v>
      </c>
      <c r="J19" s="6">
        <v>4705</v>
      </c>
      <c r="K19" s="6">
        <v>4774</v>
      </c>
      <c r="L19" s="6">
        <v>4921</v>
      </c>
      <c r="M19" s="6">
        <v>4921</v>
      </c>
      <c r="N19" s="15" t="str">
        <f t="shared" si="2"/>
        <v/>
      </c>
      <c r="O19" s="15">
        <f t="shared" si="2"/>
        <v>2.3291584267194132E-2</v>
      </c>
      <c r="P19" s="15">
        <f t="shared" si="2"/>
        <v>0</v>
      </c>
      <c r="Q19" s="15">
        <f t="shared" si="2"/>
        <v>8.8672134781644374E-3</v>
      </c>
      <c r="R19" s="15">
        <f t="shared" si="3"/>
        <v>-2.4325519681557273E-3</v>
      </c>
      <c r="S19" s="15">
        <f t="shared" si="3"/>
        <v>-6.8086975620470502E-3</v>
      </c>
      <c r="T19" s="15">
        <f t="shared" si="3"/>
        <v>-3.2306057385759868E-2</v>
      </c>
      <c r="U19" s="15">
        <f t="shared" si="3"/>
        <v>-1.4453288646837037E-2</v>
      </c>
      <c r="V19" s="15">
        <f t="shared" si="4"/>
        <v>-2.9871977240398251E-2</v>
      </c>
      <c r="W19" s="15">
        <f t="shared" si="4"/>
        <v>0</v>
      </c>
      <c r="X19" s="5">
        <f t="shared" si="5"/>
        <v>-5.9681972286488184E-3</v>
      </c>
      <c r="Y19" s="5">
        <f t="shared" si="6"/>
        <v>-4.9026163806029706</v>
      </c>
      <c r="Z19" s="5">
        <f t="shared" si="7"/>
        <v>2.3291584267194132E-2</v>
      </c>
    </row>
    <row r="20" spans="1:26" x14ac:dyDescent="0.25">
      <c r="A20" t="s">
        <v>32</v>
      </c>
      <c r="B20" t="s">
        <v>33</v>
      </c>
      <c r="C20" s="65"/>
      <c r="D20" s="65">
        <v>2378</v>
      </c>
      <c r="E20" s="6">
        <v>2378</v>
      </c>
      <c r="F20" s="6">
        <v>2366</v>
      </c>
      <c r="G20" s="6">
        <v>2364</v>
      </c>
      <c r="H20" s="6">
        <v>2350</v>
      </c>
      <c r="I20" s="6">
        <v>2348</v>
      </c>
      <c r="J20" s="6">
        <v>2372</v>
      </c>
      <c r="K20" s="6">
        <v>2396</v>
      </c>
      <c r="L20" s="6">
        <v>2426</v>
      </c>
      <c r="M20" s="6">
        <v>2460</v>
      </c>
      <c r="N20" s="15" t="str">
        <f t="shared" si="2"/>
        <v/>
      </c>
      <c r="O20" s="15">
        <f t="shared" si="2"/>
        <v>0</v>
      </c>
      <c r="P20" s="15">
        <f t="shared" si="2"/>
        <v>5.0718512256973103E-3</v>
      </c>
      <c r="Q20" s="15">
        <f t="shared" si="2"/>
        <v>8.4602368866337763E-4</v>
      </c>
      <c r="R20" s="15">
        <f t="shared" si="3"/>
        <v>5.9574468085106247E-3</v>
      </c>
      <c r="S20" s="15">
        <f t="shared" si="3"/>
        <v>8.5178875638836082E-4</v>
      </c>
      <c r="T20" s="15">
        <f t="shared" si="3"/>
        <v>-1.0118043844856706E-2</v>
      </c>
      <c r="U20" s="15">
        <f t="shared" si="3"/>
        <v>-1.001669449081799E-2</v>
      </c>
      <c r="V20" s="15">
        <f t="shared" si="4"/>
        <v>-1.2366034624896938E-2</v>
      </c>
      <c r="W20" s="15">
        <f t="shared" si="4"/>
        <v>-1.3821138211382089E-2</v>
      </c>
      <c r="X20" s="5">
        <f t="shared" si="5"/>
        <v>-3.7327556325215611E-3</v>
      </c>
      <c r="Y20" s="5">
        <f t="shared" si="6"/>
        <v>-1</v>
      </c>
      <c r="Z20" s="5">
        <f t="shared" si="7"/>
        <v>0</v>
      </c>
    </row>
    <row r="21" spans="1:26" x14ac:dyDescent="0.25">
      <c r="A21" t="s">
        <v>34</v>
      </c>
      <c r="B21" t="s">
        <v>35</v>
      </c>
      <c r="C21" s="65"/>
      <c r="D21" s="65">
        <v>631.03</v>
      </c>
      <c r="E21" s="6">
        <v>631.03</v>
      </c>
      <c r="F21" s="6">
        <v>643.16</v>
      </c>
      <c r="G21" s="6">
        <v>642.25</v>
      </c>
      <c r="H21" s="6">
        <v>647.9</v>
      </c>
      <c r="I21" s="6">
        <v>647</v>
      </c>
      <c r="J21" s="6">
        <v>513.79999999999995</v>
      </c>
      <c r="K21" s="6">
        <v>512.79999999999995</v>
      </c>
      <c r="L21" s="6">
        <v>521.79999999999995</v>
      </c>
      <c r="M21" s="6">
        <v>528.4</v>
      </c>
      <c r="N21" s="15" t="str">
        <f t="shared" si="2"/>
        <v/>
      </c>
      <c r="O21" s="15">
        <f t="shared" si="2"/>
        <v>0</v>
      </c>
      <c r="P21" s="15">
        <f t="shared" si="2"/>
        <v>-1.886000373157537E-2</v>
      </c>
      <c r="Q21" s="15">
        <f t="shared" si="2"/>
        <v>1.4168937329699371E-3</v>
      </c>
      <c r="R21" s="15">
        <f t="shared" si="3"/>
        <v>-8.7204815557956339E-3</v>
      </c>
      <c r="S21" s="15">
        <f t="shared" si="3"/>
        <v>1.391035548686137E-3</v>
      </c>
      <c r="T21" s="15">
        <f t="shared" si="3"/>
        <v>0.25924484235110956</v>
      </c>
      <c r="U21" s="15">
        <f t="shared" si="3"/>
        <v>1.9500780031200815E-3</v>
      </c>
      <c r="V21" s="15">
        <f t="shared" si="4"/>
        <v>-1.7247987734764325E-2</v>
      </c>
      <c r="W21" s="15">
        <f t="shared" si="4"/>
        <v>-1.249053747161244E-2</v>
      </c>
      <c r="X21" s="5">
        <f t="shared" si="5"/>
        <v>2.2964871015793104E-2</v>
      </c>
      <c r="Y21" s="5">
        <f t="shared" si="6"/>
        <v>-99.999989999999997</v>
      </c>
      <c r="Z21" s="5">
        <f t="shared" si="7"/>
        <v>0</v>
      </c>
    </row>
    <row r="22" spans="1:26" x14ac:dyDescent="0.25">
      <c r="A22" t="s">
        <v>36</v>
      </c>
      <c r="B22" t="s">
        <v>37</v>
      </c>
      <c r="C22" s="65"/>
      <c r="D22" s="6">
        <v>5348</v>
      </c>
      <c r="E22" s="6">
        <v>5348</v>
      </c>
      <c r="F22" s="6">
        <v>5348</v>
      </c>
      <c r="G22" s="6">
        <v>5350</v>
      </c>
      <c r="H22" s="6">
        <v>5590</v>
      </c>
      <c r="I22" s="6">
        <v>5589</v>
      </c>
      <c r="J22" s="6">
        <v>5589</v>
      </c>
      <c r="K22" s="6">
        <v>5724</v>
      </c>
      <c r="L22" s="6">
        <v>5964</v>
      </c>
      <c r="M22" s="6">
        <v>6056</v>
      </c>
      <c r="N22" s="15" t="str">
        <f t="shared" si="2"/>
        <v/>
      </c>
      <c r="O22" s="15">
        <f t="shared" si="2"/>
        <v>0</v>
      </c>
      <c r="P22" s="15">
        <f t="shared" si="2"/>
        <v>0</v>
      </c>
      <c r="Q22" s="15">
        <f t="shared" si="2"/>
        <v>-3.7383177570093906E-4</v>
      </c>
      <c r="R22" s="15">
        <f t="shared" si="3"/>
        <v>-4.2933810375670789E-2</v>
      </c>
      <c r="S22" s="15">
        <f t="shared" si="3"/>
        <v>1.7892288423682068E-4</v>
      </c>
      <c r="T22" s="15">
        <f t="shared" si="3"/>
        <v>0</v>
      </c>
      <c r="U22" s="15">
        <f t="shared" si="3"/>
        <v>-2.3584905660377409E-2</v>
      </c>
      <c r="V22" s="15">
        <f t="shared" si="4"/>
        <v>-4.0241448692152959E-2</v>
      </c>
      <c r="W22" s="15">
        <f t="shared" si="4"/>
        <v>-1.5191545574636756E-2</v>
      </c>
      <c r="X22" s="5">
        <f t="shared" si="5"/>
        <v>-1.3571846577144671E-2</v>
      </c>
      <c r="Y22" s="5">
        <f t="shared" si="6"/>
        <v>-1</v>
      </c>
      <c r="Z22" s="5">
        <f t="shared" si="7"/>
        <v>0</v>
      </c>
    </row>
    <row r="23" spans="1:26" x14ac:dyDescent="0.25">
      <c r="A23" t="s">
        <v>38</v>
      </c>
      <c r="B23" t="s">
        <v>39</v>
      </c>
      <c r="C23" s="65"/>
      <c r="D23" s="65">
        <v>2027</v>
      </c>
      <c r="E23" s="6">
        <v>2027</v>
      </c>
      <c r="F23" s="6">
        <v>2026</v>
      </c>
      <c r="G23" s="6">
        <v>2026</v>
      </c>
      <c r="H23" s="6">
        <v>2026</v>
      </c>
      <c r="I23" s="6">
        <v>2025</v>
      </c>
      <c r="J23" s="6">
        <v>2025</v>
      </c>
      <c r="K23" s="6">
        <v>2025</v>
      </c>
      <c r="L23" s="6"/>
      <c r="M23" s="6"/>
      <c r="N23" s="15" t="str">
        <f t="shared" si="2"/>
        <v/>
      </c>
      <c r="O23" s="15">
        <f t="shared" si="2"/>
        <v>0</v>
      </c>
      <c r="P23" s="15">
        <f t="shared" si="2"/>
        <v>4.9358341559724295E-4</v>
      </c>
      <c r="Q23" s="15">
        <f t="shared" si="2"/>
        <v>0</v>
      </c>
      <c r="R23" s="15">
        <f t="shared" si="3"/>
        <v>0</v>
      </c>
      <c r="S23" s="15">
        <f t="shared" si="3"/>
        <v>4.9382716049373165E-4</v>
      </c>
      <c r="T23" s="15">
        <f t="shared" si="3"/>
        <v>0</v>
      </c>
      <c r="U23" s="15">
        <f t="shared" si="3"/>
        <v>0</v>
      </c>
      <c r="V23" s="15" t="str">
        <f t="shared" si="4"/>
        <v/>
      </c>
      <c r="W23" s="15" t="str">
        <f t="shared" si="4"/>
        <v/>
      </c>
      <c r="X23" s="5">
        <f t="shared" si="5"/>
        <v>1.4105865372728208E-4</v>
      </c>
      <c r="Y23" s="5">
        <f t="shared" si="6"/>
        <v>-99.999989999999997</v>
      </c>
      <c r="Z23" s="5">
        <f t="shared" si="7"/>
        <v>0</v>
      </c>
    </row>
    <row r="24" spans="1:26" x14ac:dyDescent="0.25">
      <c r="A24" t="s">
        <v>40</v>
      </c>
      <c r="B24" t="s">
        <v>41</v>
      </c>
      <c r="C24" s="65"/>
      <c r="D24" s="65">
        <v>1068</v>
      </c>
      <c r="E24" s="6">
        <v>1068</v>
      </c>
      <c r="F24" s="6">
        <v>1068</v>
      </c>
      <c r="G24" s="6">
        <v>1068</v>
      </c>
      <c r="H24" s="6">
        <v>1068</v>
      </c>
      <c r="I24" s="6">
        <v>1068</v>
      </c>
      <c r="J24" s="6">
        <v>1068</v>
      </c>
      <c r="K24" s="94"/>
      <c r="L24" s="6"/>
      <c r="M24" s="6"/>
      <c r="N24" s="15" t="str">
        <f t="shared" si="2"/>
        <v/>
      </c>
      <c r="O24" s="15">
        <f t="shared" si="2"/>
        <v>0</v>
      </c>
      <c r="P24" s="15">
        <f t="shared" si="2"/>
        <v>0</v>
      </c>
      <c r="Q24" s="15">
        <f t="shared" si="2"/>
        <v>0</v>
      </c>
      <c r="R24" s="15">
        <f t="shared" si="3"/>
        <v>0</v>
      </c>
      <c r="S24" s="15">
        <f t="shared" si="3"/>
        <v>0</v>
      </c>
      <c r="T24" s="15">
        <f t="shared" si="3"/>
        <v>0</v>
      </c>
      <c r="U24" s="15" t="str">
        <f t="shared" si="3"/>
        <v/>
      </c>
      <c r="V24" s="15" t="str">
        <f t="shared" si="4"/>
        <v/>
      </c>
      <c r="W24" s="15" t="str">
        <f t="shared" si="4"/>
        <v/>
      </c>
      <c r="X24" s="5">
        <f t="shared" si="5"/>
        <v>0</v>
      </c>
      <c r="Y24" s="5">
        <f t="shared" si="6"/>
        <v>0</v>
      </c>
      <c r="Z24" s="5">
        <f t="shared" si="7"/>
        <v>0</v>
      </c>
    </row>
    <row r="25" spans="1:26" x14ac:dyDescent="0.25">
      <c r="A25" t="s">
        <v>42</v>
      </c>
      <c r="B25" t="s">
        <v>43</v>
      </c>
      <c r="C25" s="65"/>
      <c r="D25" s="6">
        <v>19218</v>
      </c>
      <c r="E25" s="6">
        <v>18830</v>
      </c>
      <c r="F25" s="6">
        <v>18476</v>
      </c>
      <c r="G25" s="6">
        <v>17868</v>
      </c>
      <c r="H25" s="6">
        <v>17686</v>
      </c>
      <c r="I25" s="6">
        <v>17408</v>
      </c>
      <c r="J25" s="6">
        <v>12105</v>
      </c>
      <c r="K25" s="6">
        <v>11829</v>
      </c>
      <c r="L25" s="6">
        <v>11572</v>
      </c>
      <c r="M25" s="6">
        <v>11334</v>
      </c>
      <c r="N25" s="15" t="str">
        <f t="shared" si="2"/>
        <v/>
      </c>
      <c r="O25" s="15">
        <f t="shared" si="2"/>
        <v>2.0605416887944816E-2</v>
      </c>
      <c r="P25" s="15">
        <f t="shared" si="2"/>
        <v>1.9159991340116811E-2</v>
      </c>
      <c r="Q25" s="15">
        <f t="shared" si="2"/>
        <v>3.4027311394672077E-2</v>
      </c>
      <c r="R25" s="15">
        <f t="shared" si="3"/>
        <v>1.0290625353386762E-2</v>
      </c>
      <c r="S25" s="15">
        <f t="shared" si="3"/>
        <v>1.5969669117646967E-2</v>
      </c>
      <c r="T25" s="15">
        <f t="shared" si="3"/>
        <v>0.43808343659644766</v>
      </c>
      <c r="U25" s="15">
        <f t="shared" si="3"/>
        <v>2.3332487953334979E-2</v>
      </c>
      <c r="V25" s="15">
        <f t="shared" si="4"/>
        <v>2.2208779813342572E-2</v>
      </c>
      <c r="W25" s="15">
        <f t="shared" si="4"/>
        <v>2.0998764778542345E-2</v>
      </c>
      <c r="X25" s="5">
        <f t="shared" si="5"/>
        <v>6.7186275915048332E-2</v>
      </c>
      <c r="Y25" s="5">
        <f t="shared" si="6"/>
        <v>-99.999989999999997</v>
      </c>
      <c r="Z25" s="5">
        <f t="shared" si="7"/>
        <v>2.0605416887944816E-2</v>
      </c>
    </row>
    <row r="26" spans="1:26" x14ac:dyDescent="0.25">
      <c r="A26" t="s">
        <v>44</v>
      </c>
      <c r="B26" t="s">
        <v>45</v>
      </c>
      <c r="C26" s="65"/>
      <c r="D26" s="6">
        <v>1849</v>
      </c>
      <c r="E26" s="6">
        <v>1847</v>
      </c>
      <c r="F26" s="6">
        <v>1853</v>
      </c>
      <c r="G26" s="6">
        <v>1958</v>
      </c>
      <c r="H26" s="6">
        <v>1961</v>
      </c>
      <c r="I26" s="94"/>
      <c r="J26" s="94"/>
      <c r="K26" s="94"/>
      <c r="L26" s="94"/>
      <c r="M26" s="94"/>
      <c r="N26" s="15" t="str">
        <f t="shared" si="2"/>
        <v/>
      </c>
      <c r="O26" s="15">
        <f t="shared" si="2"/>
        <v>1.0828370330264736E-3</v>
      </c>
      <c r="P26" s="15">
        <f t="shared" si="2"/>
        <v>-3.2379924446842567E-3</v>
      </c>
      <c r="Q26" s="15">
        <f t="shared" si="2"/>
        <v>-5.3626149131767109E-2</v>
      </c>
      <c r="R26" s="15">
        <f t="shared" si="3"/>
        <v>-1.5298317185109545E-3</v>
      </c>
      <c r="S26" s="15" t="str">
        <f t="shared" si="3"/>
        <v/>
      </c>
      <c r="T26" s="15" t="str">
        <f t="shared" si="3"/>
        <v/>
      </c>
      <c r="U26" s="15" t="str">
        <f t="shared" si="3"/>
        <v/>
      </c>
      <c r="V26" s="15" t="str">
        <f t="shared" si="4"/>
        <v/>
      </c>
      <c r="W26" s="15" t="str">
        <f t="shared" si="4"/>
        <v/>
      </c>
      <c r="X26" s="5">
        <f t="shared" si="5"/>
        <v>-1.4327784065483962E-2</v>
      </c>
      <c r="Y26" s="5">
        <f t="shared" si="6"/>
        <v>-1.0755760296272932</v>
      </c>
      <c r="Z26" s="5">
        <f t="shared" si="7"/>
        <v>1.0828370330264736E-3</v>
      </c>
    </row>
    <row r="27" spans="1:26" x14ac:dyDescent="0.25">
      <c r="A27" t="s">
        <v>46</v>
      </c>
      <c r="B27" t="s">
        <v>47</v>
      </c>
      <c r="C27" s="65"/>
      <c r="D27" s="6">
        <v>18200</v>
      </c>
      <c r="E27" s="6">
        <v>18611</v>
      </c>
      <c r="F27" s="6">
        <v>19136</v>
      </c>
      <c r="G27" s="6">
        <v>18805</v>
      </c>
      <c r="H27" s="6">
        <v>18798</v>
      </c>
      <c r="I27" s="6">
        <v>18755</v>
      </c>
      <c r="J27" s="6">
        <v>18790</v>
      </c>
      <c r="K27" s="6">
        <v>19163</v>
      </c>
      <c r="L27" s="6">
        <v>20028</v>
      </c>
      <c r="M27" s="6">
        <v>21126</v>
      </c>
      <c r="N27" s="15" t="str">
        <f t="shared" si="2"/>
        <v/>
      </c>
      <c r="O27" s="15">
        <f t="shared" si="2"/>
        <v>-2.2083713932620541E-2</v>
      </c>
      <c r="P27" s="15">
        <f t="shared" si="2"/>
        <v>-2.7435200668896376E-2</v>
      </c>
      <c r="Q27" s="15">
        <f t="shared" si="2"/>
        <v>1.7601701675086456E-2</v>
      </c>
      <c r="R27" s="15">
        <f t="shared" si="3"/>
        <v>3.7238004042983164E-4</v>
      </c>
      <c r="S27" s="15">
        <f t="shared" si="3"/>
        <v>2.2927219408157562E-3</v>
      </c>
      <c r="T27" s="15">
        <f t="shared" si="3"/>
        <v>-1.8626929217668842E-3</v>
      </c>
      <c r="U27" s="15">
        <f t="shared" si="3"/>
        <v>-1.9464593226530269E-2</v>
      </c>
      <c r="V27" s="15">
        <f t="shared" si="4"/>
        <v>-4.3189534651487893E-2</v>
      </c>
      <c r="W27" s="15">
        <f t="shared" si="4"/>
        <v>-5.1973871059358134E-2</v>
      </c>
      <c r="X27" s="5">
        <f t="shared" si="5"/>
        <v>-1.6193644756036449E-2</v>
      </c>
      <c r="Y27" s="5">
        <f t="shared" si="6"/>
        <v>0.36372720689630245</v>
      </c>
      <c r="Z27" s="5">
        <f t="shared" si="7"/>
        <v>-2.2083713932620541E-2</v>
      </c>
    </row>
    <row r="28" spans="1:26" x14ac:dyDescent="0.25">
      <c r="A28" t="s">
        <v>48</v>
      </c>
      <c r="B28" t="s">
        <v>49</v>
      </c>
      <c r="C28" s="65"/>
      <c r="D28" s="6">
        <v>6374</v>
      </c>
      <c r="E28" s="6">
        <v>6295</v>
      </c>
      <c r="F28" s="6">
        <v>6306</v>
      </c>
      <c r="G28" s="6">
        <v>6220</v>
      </c>
      <c r="H28" s="6">
        <v>6154</v>
      </c>
      <c r="I28" s="6">
        <v>6129</v>
      </c>
      <c r="J28" s="6">
        <v>6122</v>
      </c>
      <c r="K28" s="6">
        <v>6837</v>
      </c>
      <c r="L28" s="6">
        <v>6837</v>
      </c>
      <c r="M28" s="6">
        <v>6695</v>
      </c>
      <c r="N28" s="15" t="str">
        <f t="shared" si="2"/>
        <v/>
      </c>
      <c r="O28" s="15">
        <f t="shared" si="2"/>
        <v>1.254964257347102E-2</v>
      </c>
      <c r="P28" s="15">
        <f t="shared" si="2"/>
        <v>-1.7443704408499627E-3</v>
      </c>
      <c r="Q28" s="15">
        <f t="shared" si="2"/>
        <v>1.3826366559485548E-2</v>
      </c>
      <c r="R28" s="15">
        <f t="shared" si="3"/>
        <v>1.0724731881702976E-2</v>
      </c>
      <c r="S28" s="15">
        <f t="shared" si="3"/>
        <v>4.0789688366780208E-3</v>
      </c>
      <c r="T28" s="15">
        <f t="shared" si="3"/>
        <v>1.1434171839268537E-3</v>
      </c>
      <c r="U28" s="15">
        <f t="shared" si="3"/>
        <v>-0.10457803130027787</v>
      </c>
      <c r="V28" s="15">
        <f t="shared" si="4"/>
        <v>0</v>
      </c>
      <c r="W28" s="15">
        <f t="shared" si="4"/>
        <v>2.1209858103061974E-2</v>
      </c>
      <c r="X28" s="5">
        <f t="shared" si="5"/>
        <v>-4.7543796225334939E-3</v>
      </c>
      <c r="Y28" s="5">
        <f t="shared" si="6"/>
        <v>-3.6395962396422226</v>
      </c>
      <c r="Z28" s="5">
        <f t="shared" si="7"/>
        <v>1.254964257347102E-2</v>
      </c>
    </row>
    <row r="29" spans="1:26" x14ac:dyDescent="0.25">
      <c r="A29" t="s">
        <v>50</v>
      </c>
      <c r="B29" t="s">
        <v>51</v>
      </c>
      <c r="C29" s="65">
        <v>28812</v>
      </c>
      <c r="D29" s="6">
        <v>28812</v>
      </c>
      <c r="E29" s="94"/>
      <c r="F29" s="94"/>
      <c r="G29" s="94"/>
      <c r="H29" s="94"/>
      <c r="I29" s="94"/>
      <c r="J29" s="94"/>
      <c r="K29" s="94"/>
      <c r="L29" s="94"/>
      <c r="M29" s="94"/>
      <c r="N29" s="15">
        <f t="shared" si="2"/>
        <v>0</v>
      </c>
      <c r="O29" s="15" t="str">
        <f t="shared" si="2"/>
        <v/>
      </c>
      <c r="P29" s="15" t="str">
        <f t="shared" si="2"/>
        <v/>
      </c>
      <c r="Q29" s="15" t="str">
        <f t="shared" si="2"/>
        <v/>
      </c>
      <c r="R29" s="15" t="str">
        <f t="shared" si="3"/>
        <v/>
      </c>
      <c r="S29" s="15" t="str">
        <f t="shared" si="3"/>
        <v/>
      </c>
      <c r="T29" s="15" t="str">
        <f t="shared" si="3"/>
        <v/>
      </c>
      <c r="U29" s="15" t="str">
        <f t="shared" si="3"/>
        <v/>
      </c>
      <c r="V29" s="15" t="str">
        <f t="shared" si="4"/>
        <v/>
      </c>
      <c r="W29" s="15" t="str">
        <f t="shared" si="4"/>
        <v/>
      </c>
      <c r="X29" s="5">
        <f t="shared" si="5"/>
        <v>0</v>
      </c>
      <c r="Y29" s="5">
        <f t="shared" si="6"/>
        <v>0</v>
      </c>
      <c r="Z29" s="5">
        <f t="shared" si="7"/>
        <v>0</v>
      </c>
    </row>
    <row r="30" spans="1:26" x14ac:dyDescent="0.25">
      <c r="A30" t="s">
        <v>52</v>
      </c>
      <c r="B30" t="s">
        <v>53</v>
      </c>
      <c r="C30" s="65"/>
      <c r="D30" s="6">
        <v>3000</v>
      </c>
      <c r="E30" s="6">
        <v>3000</v>
      </c>
      <c r="F30" s="6">
        <v>3000</v>
      </c>
      <c r="G30" s="6">
        <v>3000</v>
      </c>
      <c r="H30" s="6">
        <v>3000</v>
      </c>
      <c r="I30" s="6">
        <v>3000</v>
      </c>
      <c r="J30" s="6">
        <v>3000</v>
      </c>
      <c r="K30" s="6">
        <v>3000</v>
      </c>
      <c r="L30" s="6">
        <v>3000</v>
      </c>
      <c r="M30" s="6">
        <v>3000</v>
      </c>
      <c r="N30" s="15" t="str">
        <f t="shared" si="2"/>
        <v/>
      </c>
      <c r="O30" s="15">
        <f t="shared" si="2"/>
        <v>0</v>
      </c>
      <c r="P30" s="15">
        <f t="shared" si="2"/>
        <v>0</v>
      </c>
      <c r="Q30" s="15">
        <f t="shared" si="2"/>
        <v>0</v>
      </c>
      <c r="R30" s="15">
        <f t="shared" si="3"/>
        <v>0</v>
      </c>
      <c r="S30" s="15">
        <f t="shared" si="3"/>
        <v>0</v>
      </c>
      <c r="T30" s="15">
        <f t="shared" si="3"/>
        <v>0</v>
      </c>
      <c r="U30" s="15">
        <f t="shared" si="3"/>
        <v>0</v>
      </c>
      <c r="V30" s="15">
        <f t="shared" si="4"/>
        <v>0</v>
      </c>
      <c r="W30" s="15">
        <f t="shared" si="4"/>
        <v>0</v>
      </c>
      <c r="X30" s="5">
        <f t="shared" si="5"/>
        <v>0</v>
      </c>
      <c r="Y30" s="5">
        <f t="shared" si="6"/>
        <v>0</v>
      </c>
      <c r="Z30" s="5">
        <f t="shared" si="7"/>
        <v>0</v>
      </c>
    </row>
    <row r="31" spans="1:26" x14ac:dyDescent="0.25">
      <c r="A31" t="s">
        <v>54</v>
      </c>
      <c r="B31" t="s">
        <v>55</v>
      </c>
      <c r="C31" s="65"/>
      <c r="D31" s="6">
        <v>5187</v>
      </c>
      <c r="E31" s="6">
        <v>5226</v>
      </c>
      <c r="F31" s="6">
        <v>5581</v>
      </c>
      <c r="G31" s="6">
        <v>5927</v>
      </c>
      <c r="H31" s="6">
        <v>5911</v>
      </c>
      <c r="I31" s="6">
        <v>5902</v>
      </c>
      <c r="J31" s="6">
        <v>5893</v>
      </c>
      <c r="K31" s="6">
        <v>6044</v>
      </c>
      <c r="L31" s="6">
        <v>6239</v>
      </c>
      <c r="M31" s="94"/>
      <c r="N31" s="15" t="str">
        <f t="shared" si="2"/>
        <v/>
      </c>
      <c r="O31" s="15">
        <f t="shared" si="2"/>
        <v>-7.4626865671642006E-3</v>
      </c>
      <c r="P31" s="15">
        <f t="shared" si="2"/>
        <v>-6.3608672280953238E-2</v>
      </c>
      <c r="Q31" s="15">
        <f t="shared" si="2"/>
        <v>-5.8376919183398046E-2</v>
      </c>
      <c r="R31" s="15">
        <f t="shared" si="3"/>
        <v>2.7068177973270657E-3</v>
      </c>
      <c r="S31" s="15">
        <f t="shared" si="3"/>
        <v>1.5249068112503927E-3</v>
      </c>
      <c r="T31" s="15">
        <f t="shared" si="3"/>
        <v>1.5272357033768724E-3</v>
      </c>
      <c r="U31" s="15">
        <f t="shared" si="3"/>
        <v>-2.4983454665784222E-2</v>
      </c>
      <c r="V31" s="15">
        <f t="shared" si="4"/>
        <v>-3.125500881551535E-2</v>
      </c>
      <c r="W31" s="15" t="str">
        <f t="shared" si="4"/>
        <v/>
      </c>
      <c r="X31" s="5">
        <f t="shared" si="5"/>
        <v>-2.2490972650107591E-2</v>
      </c>
      <c r="Y31" s="5">
        <f t="shared" si="6"/>
        <v>-0.66819191489575258</v>
      </c>
      <c r="Z31" s="5">
        <f t="shared" si="7"/>
        <v>-7.4626865671642006E-3</v>
      </c>
    </row>
    <row r="32" spans="1:26" x14ac:dyDescent="0.25">
      <c r="A32" t="s">
        <v>56</v>
      </c>
      <c r="B32" t="s">
        <v>57</v>
      </c>
      <c r="C32" s="65"/>
      <c r="D32" s="6">
        <v>1880</v>
      </c>
      <c r="E32" s="6">
        <v>1914</v>
      </c>
      <c r="F32" s="6">
        <v>1947</v>
      </c>
      <c r="G32" s="6">
        <v>1981</v>
      </c>
      <c r="H32" s="6">
        <v>2007</v>
      </c>
      <c r="I32" s="6">
        <v>2008</v>
      </c>
      <c r="J32" s="6">
        <v>2004</v>
      </c>
      <c r="K32" s="6">
        <v>2090</v>
      </c>
      <c r="L32" s="6">
        <v>2165</v>
      </c>
      <c r="M32" s="6">
        <v>2233</v>
      </c>
      <c r="N32" s="15" t="str">
        <f t="shared" si="2"/>
        <v/>
      </c>
      <c r="O32" s="15">
        <f t="shared" si="2"/>
        <v>-1.7763845350052265E-2</v>
      </c>
      <c r="P32" s="15">
        <f t="shared" si="2"/>
        <v>-1.6949152542372836E-2</v>
      </c>
      <c r="Q32" s="15">
        <f t="shared" si="2"/>
        <v>-1.716304896516907E-2</v>
      </c>
      <c r="R32" s="15">
        <f t="shared" si="3"/>
        <v>-1.2954658694569021E-2</v>
      </c>
      <c r="S32" s="15">
        <f t="shared" si="3"/>
        <v>-4.980079681274896E-4</v>
      </c>
      <c r="T32" s="15">
        <f t="shared" si="3"/>
        <v>1.9960079840319889E-3</v>
      </c>
      <c r="U32" s="15">
        <f t="shared" si="3"/>
        <v>-4.1148325358851712E-2</v>
      </c>
      <c r="V32" s="15">
        <f t="shared" si="4"/>
        <v>-3.4642032332563466E-2</v>
      </c>
      <c r="W32" s="15">
        <f t="shared" si="4"/>
        <v>-3.0452306314375233E-2</v>
      </c>
      <c r="X32" s="5">
        <f t="shared" si="5"/>
        <v>-1.8841707726894346E-2</v>
      </c>
      <c r="Y32" s="5">
        <f t="shared" si="6"/>
        <v>-5.7206193433494201E-2</v>
      </c>
      <c r="Z32" s="5">
        <f t="shared" si="7"/>
        <v>-1.7763845350052265E-2</v>
      </c>
    </row>
    <row r="33" spans="1:26" x14ac:dyDescent="0.25">
      <c r="A33" t="s">
        <v>58</v>
      </c>
      <c r="B33" t="s">
        <v>59</v>
      </c>
      <c r="C33" s="65"/>
      <c r="D33" s="6">
        <v>4366</v>
      </c>
      <c r="E33" s="6">
        <v>4402</v>
      </c>
      <c r="F33" s="6">
        <v>4469</v>
      </c>
      <c r="G33" s="6">
        <v>4526</v>
      </c>
      <c r="H33" s="6">
        <v>4584</v>
      </c>
      <c r="I33" s="6">
        <v>4606</v>
      </c>
      <c r="J33" s="6">
        <v>4624</v>
      </c>
      <c r="K33" s="6">
        <v>4636</v>
      </c>
      <c r="L33" s="6">
        <v>4636</v>
      </c>
      <c r="M33" s="6">
        <v>4738</v>
      </c>
      <c r="N33" s="15" t="str">
        <f t="shared" si="2"/>
        <v/>
      </c>
      <c r="O33" s="15">
        <f t="shared" si="2"/>
        <v>-8.1781008632439978E-3</v>
      </c>
      <c r="P33" s="15">
        <f t="shared" si="2"/>
        <v>-1.4992168270306583E-2</v>
      </c>
      <c r="Q33" s="15">
        <f t="shared" si="2"/>
        <v>-1.2593901900132543E-2</v>
      </c>
      <c r="R33" s="15">
        <f t="shared" si="3"/>
        <v>-1.265270506108207E-2</v>
      </c>
      <c r="S33" s="15">
        <f t="shared" si="3"/>
        <v>-4.7763786365609961E-3</v>
      </c>
      <c r="T33" s="15">
        <f t="shared" si="3"/>
        <v>-3.8927335640138727E-3</v>
      </c>
      <c r="U33" s="15">
        <f t="shared" si="3"/>
        <v>-2.5884383088869978E-3</v>
      </c>
      <c r="V33" s="15">
        <f t="shared" si="4"/>
        <v>0</v>
      </c>
      <c r="W33" s="15">
        <f t="shared" si="4"/>
        <v>-2.1528070915998287E-2</v>
      </c>
      <c r="X33" s="5">
        <f t="shared" si="5"/>
        <v>-9.0224997244694825E-3</v>
      </c>
      <c r="Y33" s="5">
        <f t="shared" si="6"/>
        <v>-9.3588128236283707E-2</v>
      </c>
      <c r="Z33" s="5">
        <f t="shared" si="7"/>
        <v>-8.1781008632439978E-3</v>
      </c>
    </row>
    <row r="34" spans="1:26" x14ac:dyDescent="0.25">
      <c r="A34" t="s">
        <v>60</v>
      </c>
      <c r="B34" t="s">
        <v>61</v>
      </c>
      <c r="C34" s="65"/>
      <c r="D34" s="6">
        <v>907.08</v>
      </c>
      <c r="E34" s="6">
        <v>918.94</v>
      </c>
      <c r="F34" s="6">
        <v>935.39</v>
      </c>
      <c r="G34" s="6">
        <v>959.2</v>
      </c>
      <c r="H34" s="6">
        <v>987.8</v>
      </c>
      <c r="I34" s="6">
        <v>987.4</v>
      </c>
      <c r="J34" s="6">
        <v>1003</v>
      </c>
      <c r="K34" s="6">
        <v>1018</v>
      </c>
      <c r="L34" s="6">
        <v>1025</v>
      </c>
      <c r="M34" s="6">
        <v>1032</v>
      </c>
      <c r="N34" s="15" t="str">
        <f t="shared" si="2"/>
        <v/>
      </c>
      <c r="O34" s="15">
        <f t="shared" si="2"/>
        <v>-1.290617450540843E-2</v>
      </c>
      <c r="P34" s="15">
        <f t="shared" si="2"/>
        <v>-1.7586247447588632E-2</v>
      </c>
      <c r="Q34" s="15">
        <f t="shared" si="2"/>
        <v>-2.4822768974145148E-2</v>
      </c>
      <c r="R34" s="15">
        <f t="shared" si="3"/>
        <v>-2.8953229398663627E-2</v>
      </c>
      <c r="S34" s="15">
        <f t="shared" si="3"/>
        <v>4.0510431436091565E-4</v>
      </c>
      <c r="T34" s="15">
        <f t="shared" si="3"/>
        <v>-1.555333998005981E-2</v>
      </c>
      <c r="U34" s="15">
        <f t="shared" si="3"/>
        <v>-1.4734774066797685E-2</v>
      </c>
      <c r="V34" s="15">
        <f t="shared" si="4"/>
        <v>-6.8292682926829329E-3</v>
      </c>
      <c r="W34" s="15">
        <f t="shared" si="4"/>
        <v>-6.7829457364341206E-3</v>
      </c>
      <c r="X34" s="5">
        <f t="shared" si="5"/>
        <v>-1.4195960454157719E-2</v>
      </c>
      <c r="Y34" s="5">
        <f t="shared" si="6"/>
        <v>-9.0855842612011184E-2</v>
      </c>
      <c r="Z34" s="5">
        <f t="shared" si="7"/>
        <v>-1.290617450540843E-2</v>
      </c>
    </row>
    <row r="35" spans="1:26" x14ac:dyDescent="0.25">
      <c r="A35" t="s">
        <v>62</v>
      </c>
      <c r="B35" t="s">
        <v>63</v>
      </c>
      <c r="C35" s="65"/>
      <c r="D35" s="6">
        <v>1158</v>
      </c>
      <c r="E35" s="6">
        <v>1205</v>
      </c>
      <c r="F35" s="6">
        <v>1203</v>
      </c>
      <c r="G35" s="6">
        <v>1185</v>
      </c>
      <c r="H35" s="6">
        <v>1172</v>
      </c>
      <c r="I35" s="6">
        <v>1150</v>
      </c>
      <c r="J35" s="94"/>
      <c r="K35" s="94"/>
      <c r="L35" s="94"/>
      <c r="M35" s="94"/>
      <c r="N35" s="15" t="str">
        <f t="shared" si="2"/>
        <v/>
      </c>
      <c r="O35" s="15">
        <f t="shared" si="2"/>
        <v>-3.9004149377593333E-2</v>
      </c>
      <c r="P35" s="15">
        <f t="shared" si="2"/>
        <v>1.6625103906899863E-3</v>
      </c>
      <c r="Q35" s="15">
        <f t="shared" si="2"/>
        <v>1.51898734177216E-2</v>
      </c>
      <c r="R35" s="15">
        <f t="shared" si="3"/>
        <v>1.1092150170648463E-2</v>
      </c>
      <c r="S35" s="15">
        <f t="shared" si="3"/>
        <v>1.9130434782608674E-2</v>
      </c>
      <c r="T35" s="15" t="str">
        <f t="shared" si="3"/>
        <v/>
      </c>
      <c r="U35" s="15" t="str">
        <f t="shared" si="3"/>
        <v/>
      </c>
      <c r="V35" s="15" t="str">
        <f t="shared" si="4"/>
        <v/>
      </c>
      <c r="W35" s="15" t="str">
        <f t="shared" si="4"/>
        <v/>
      </c>
      <c r="X35" s="5">
        <f t="shared" si="5"/>
        <v>1.6141638768150778E-3</v>
      </c>
      <c r="Y35" s="5">
        <f t="shared" si="6"/>
        <v>25.163686189380471</v>
      </c>
      <c r="Z35" s="5">
        <f t="shared" si="7"/>
        <v>-3.9004149377593333E-2</v>
      </c>
    </row>
    <row r="36" spans="1:26" x14ac:dyDescent="0.25">
      <c r="A36" t="s">
        <v>64</v>
      </c>
      <c r="B36" t="s">
        <v>65</v>
      </c>
      <c r="C36" s="65"/>
      <c r="D36" s="65">
        <v>4335</v>
      </c>
      <c r="E36" s="6">
        <v>4335</v>
      </c>
      <c r="F36" s="6">
        <v>4502</v>
      </c>
      <c r="G36" s="6">
        <v>4734</v>
      </c>
      <c r="H36" s="6">
        <v>4979</v>
      </c>
      <c r="I36" s="6">
        <v>4727</v>
      </c>
      <c r="J36" s="6">
        <v>4976</v>
      </c>
      <c r="K36" s="6">
        <v>5382</v>
      </c>
      <c r="L36" s="6">
        <v>5729</v>
      </c>
      <c r="M36" s="6">
        <v>6133</v>
      </c>
      <c r="N36" s="15" t="str">
        <f t="shared" si="2"/>
        <v/>
      </c>
      <c r="O36" s="15">
        <f t="shared" si="2"/>
        <v>0</v>
      </c>
      <c r="P36" s="15">
        <f t="shared" si="2"/>
        <v>-3.7094624611283877E-2</v>
      </c>
      <c r="Q36" s="15">
        <f t="shared" si="2"/>
        <v>-4.9007182087030032E-2</v>
      </c>
      <c r="R36" s="15">
        <f t="shared" si="3"/>
        <v>-4.9206668005623566E-2</v>
      </c>
      <c r="S36" s="15">
        <f t="shared" si="3"/>
        <v>5.3310767928918867E-2</v>
      </c>
      <c r="T36" s="15">
        <f t="shared" si="3"/>
        <v>-5.0040192926045002E-2</v>
      </c>
      <c r="U36" s="15">
        <f t="shared" si="3"/>
        <v>-7.5436640654031994E-2</v>
      </c>
      <c r="V36" s="15">
        <f t="shared" si="4"/>
        <v>-6.0569034735555971E-2</v>
      </c>
      <c r="W36" s="15">
        <f t="shared" si="4"/>
        <v>-6.5873145279634726E-2</v>
      </c>
      <c r="X36" s="5">
        <f t="shared" si="5"/>
        <v>-3.7101857818920697E-2</v>
      </c>
      <c r="Y36" s="5">
        <f t="shared" si="6"/>
        <v>-1</v>
      </c>
      <c r="Z36" s="5">
        <f t="shared" si="7"/>
        <v>0</v>
      </c>
    </row>
    <row r="37" spans="1:26" x14ac:dyDescent="0.25">
      <c r="A37" t="s">
        <v>66</v>
      </c>
      <c r="B37" t="s">
        <v>67</v>
      </c>
      <c r="C37" s="65"/>
      <c r="D37" s="6">
        <v>10057</v>
      </c>
      <c r="E37" s="6">
        <v>10061</v>
      </c>
      <c r="F37" s="6">
        <v>10406</v>
      </c>
      <c r="G37" s="6">
        <v>10573</v>
      </c>
      <c r="H37" s="6">
        <v>10615</v>
      </c>
      <c r="I37" s="6">
        <v>10663</v>
      </c>
      <c r="J37" s="6">
        <v>10537</v>
      </c>
      <c r="K37" s="6">
        <v>9988</v>
      </c>
      <c r="L37" s="6">
        <v>10277</v>
      </c>
      <c r="M37" s="6">
        <v>10484</v>
      </c>
      <c r="N37" s="15" t="str">
        <f t="shared" si="2"/>
        <v/>
      </c>
      <c r="O37" s="15">
        <f t="shared" si="2"/>
        <v>-3.9757479375812643E-4</v>
      </c>
      <c r="P37" s="15">
        <f t="shared" si="2"/>
        <v>-3.3153949644435854E-2</v>
      </c>
      <c r="Q37" s="15">
        <f t="shared" si="2"/>
        <v>-1.5794949399413616E-2</v>
      </c>
      <c r="R37" s="15">
        <f t="shared" si="3"/>
        <v>-3.9566650965614514E-3</v>
      </c>
      <c r="S37" s="15">
        <f t="shared" si="3"/>
        <v>-4.5015474069211026E-3</v>
      </c>
      <c r="T37" s="15">
        <f t="shared" si="3"/>
        <v>1.1957862769289118E-2</v>
      </c>
      <c r="U37" s="15">
        <f t="shared" si="3"/>
        <v>5.4965959150981236E-2</v>
      </c>
      <c r="V37" s="15">
        <f t="shared" si="4"/>
        <v>-2.8121046998151211E-2</v>
      </c>
      <c r="W37" s="15">
        <f t="shared" si="4"/>
        <v>-1.9744372376955366E-2</v>
      </c>
      <c r="X37" s="5">
        <f t="shared" si="5"/>
        <v>-4.3051426439918196E-3</v>
      </c>
      <c r="Y37" s="5">
        <f t="shared" si="6"/>
        <v>-0.90765119146215167</v>
      </c>
      <c r="Z37" s="5">
        <f t="shared" si="7"/>
        <v>-3.9757479375812643E-4</v>
      </c>
    </row>
    <row r="38" spans="1:26" x14ac:dyDescent="0.25">
      <c r="A38" t="s">
        <v>68</v>
      </c>
      <c r="B38" t="s">
        <v>69</v>
      </c>
      <c r="C38" s="65"/>
      <c r="D38" s="6">
        <v>430.26</v>
      </c>
      <c r="E38" s="6">
        <v>446.36</v>
      </c>
      <c r="F38" s="6">
        <v>465.15</v>
      </c>
      <c r="G38" s="6">
        <v>485.47</v>
      </c>
      <c r="H38" s="6">
        <v>507.5</v>
      </c>
      <c r="I38" s="6">
        <v>515.1</v>
      </c>
      <c r="J38" s="6">
        <v>442.5</v>
      </c>
      <c r="K38" s="6">
        <v>390.8</v>
      </c>
      <c r="L38" s="6">
        <v>425.8</v>
      </c>
      <c r="M38" s="6">
        <v>437.2</v>
      </c>
      <c r="N38" s="15" t="str">
        <f t="shared" si="2"/>
        <v/>
      </c>
      <c r="O38" s="15">
        <f t="shared" si="2"/>
        <v>-3.6069540281387313E-2</v>
      </c>
      <c r="P38" s="15">
        <f t="shared" si="2"/>
        <v>-4.0395571321079182E-2</v>
      </c>
      <c r="Q38" s="15">
        <f t="shared" si="2"/>
        <v>-4.1856345397244032E-2</v>
      </c>
      <c r="R38" s="15">
        <f t="shared" si="3"/>
        <v>-4.3408866995073847E-2</v>
      </c>
      <c r="S38" s="15">
        <f t="shared" si="3"/>
        <v>-1.4754416618132482E-2</v>
      </c>
      <c r="T38" s="15">
        <f t="shared" si="3"/>
        <v>0.16406779661016957</v>
      </c>
      <c r="U38" s="15">
        <f t="shared" si="3"/>
        <v>0.13229273285568066</v>
      </c>
      <c r="V38" s="15">
        <f t="shared" si="4"/>
        <v>-8.2198215124471563E-2</v>
      </c>
      <c r="W38" s="15">
        <f t="shared" si="4"/>
        <v>-2.6075022872827036E-2</v>
      </c>
      <c r="X38" s="5">
        <f t="shared" si="5"/>
        <v>1.2891723172927527E-3</v>
      </c>
      <c r="Y38" s="5">
        <f t="shared" si="6"/>
        <v>28.978835565700745</v>
      </c>
      <c r="Z38" s="5">
        <f t="shared" si="7"/>
        <v>-3.6069540281387313E-2</v>
      </c>
    </row>
    <row r="39" spans="1:26" x14ac:dyDescent="0.25">
      <c r="A39" t="s">
        <v>70</v>
      </c>
      <c r="B39" t="s">
        <v>71</v>
      </c>
      <c r="C39" s="65"/>
      <c r="D39" s="6">
        <v>990.52</v>
      </c>
      <c r="E39" s="6">
        <v>1054</v>
      </c>
      <c r="F39" s="6">
        <v>1117</v>
      </c>
      <c r="G39" s="6">
        <v>1163</v>
      </c>
      <c r="H39" s="6">
        <v>1220</v>
      </c>
      <c r="I39" s="6">
        <v>1305</v>
      </c>
      <c r="J39" s="6">
        <v>1339</v>
      </c>
      <c r="K39" s="6">
        <v>1385</v>
      </c>
      <c r="L39" s="6">
        <v>1507</v>
      </c>
      <c r="M39" s="6">
        <v>1574</v>
      </c>
      <c r="N39" s="15" t="str">
        <f t="shared" si="2"/>
        <v/>
      </c>
      <c r="O39" s="15">
        <f t="shared" si="2"/>
        <v>-6.0227703984819803E-2</v>
      </c>
      <c r="P39" s="15">
        <f t="shared" si="2"/>
        <v>-5.6401074306177246E-2</v>
      </c>
      <c r="Q39" s="15">
        <f t="shared" si="2"/>
        <v>-3.9552880481513286E-2</v>
      </c>
      <c r="R39" s="15">
        <f t="shared" si="3"/>
        <v>-4.672131147540981E-2</v>
      </c>
      <c r="S39" s="15">
        <f t="shared" si="3"/>
        <v>-6.5134099616858232E-2</v>
      </c>
      <c r="T39" s="15">
        <f t="shared" si="3"/>
        <v>-2.5392083644510843E-2</v>
      </c>
      <c r="U39" s="15">
        <f t="shared" si="3"/>
        <v>-3.3212996389891725E-2</v>
      </c>
      <c r="V39" s="15">
        <f t="shared" si="4"/>
        <v>-8.095554080955536E-2</v>
      </c>
      <c r="W39" s="15">
        <f t="shared" si="4"/>
        <v>-4.2566709021600979E-2</v>
      </c>
      <c r="X39" s="5">
        <f t="shared" si="5"/>
        <v>-5.001826663670414E-2</v>
      </c>
      <c r="Y39" s="5">
        <f t="shared" si="6"/>
        <v>0.20411417737182891</v>
      </c>
      <c r="Z39" s="5">
        <f t="shared" si="7"/>
        <v>-6.0227703984819803E-2</v>
      </c>
    </row>
    <row r="40" spans="1:26" x14ac:dyDescent="0.25">
      <c r="A40" t="s">
        <v>72</v>
      </c>
      <c r="B40" t="s">
        <v>73</v>
      </c>
      <c r="C40" s="65"/>
      <c r="D40" s="6">
        <v>3715</v>
      </c>
      <c r="E40" s="6">
        <v>3756</v>
      </c>
      <c r="F40" s="6">
        <v>3804</v>
      </c>
      <c r="G40" s="6">
        <v>3773</v>
      </c>
      <c r="H40" s="6">
        <v>3910</v>
      </c>
      <c r="I40" s="6">
        <v>3942</v>
      </c>
      <c r="J40" s="6">
        <v>3733</v>
      </c>
      <c r="K40" s="6">
        <v>3367</v>
      </c>
      <c r="L40" s="6">
        <v>3462</v>
      </c>
      <c r="M40" s="6">
        <v>3487</v>
      </c>
      <c r="N40" s="15" t="str">
        <f t="shared" si="2"/>
        <v/>
      </c>
      <c r="O40" s="15">
        <f t="shared" si="2"/>
        <v>-1.091586794462196E-2</v>
      </c>
      <c r="P40" s="15">
        <f t="shared" si="2"/>
        <v>-1.2618296529968487E-2</v>
      </c>
      <c r="Q40" s="15">
        <f t="shared" si="2"/>
        <v>8.216273522396067E-3</v>
      </c>
      <c r="R40" s="15">
        <f t="shared" si="3"/>
        <v>-3.5038363171355447E-2</v>
      </c>
      <c r="S40" s="15">
        <f t="shared" si="3"/>
        <v>-8.1177067478437337E-3</v>
      </c>
      <c r="T40" s="15">
        <f t="shared" si="3"/>
        <v>5.5987141709081145E-2</v>
      </c>
      <c r="U40" s="15">
        <f t="shared" si="3"/>
        <v>0.10870210870210872</v>
      </c>
      <c r="V40" s="15">
        <f t="shared" si="4"/>
        <v>-2.7440785673021328E-2</v>
      </c>
      <c r="W40" s="15">
        <f t="shared" si="4"/>
        <v>-7.1694866647548094E-3</v>
      </c>
      <c r="X40" s="5">
        <f t="shared" si="5"/>
        <v>7.9561130224466859E-3</v>
      </c>
      <c r="Y40" s="5">
        <f t="shared" si="6"/>
        <v>2.3720101654947432</v>
      </c>
      <c r="Z40" s="5">
        <f t="shared" si="7"/>
        <v>-1.091586794462196E-2</v>
      </c>
    </row>
    <row r="41" spans="1:26" x14ac:dyDescent="0.25">
      <c r="A41" t="s">
        <v>74</v>
      </c>
      <c r="B41" t="s">
        <v>75</v>
      </c>
      <c r="C41" s="65"/>
      <c r="D41" s="6">
        <v>2783</v>
      </c>
      <c r="E41" s="6">
        <v>2821</v>
      </c>
      <c r="F41" s="6">
        <v>2778</v>
      </c>
      <c r="G41" s="6">
        <v>2724</v>
      </c>
      <c r="H41" s="6">
        <v>2738</v>
      </c>
      <c r="I41" s="6">
        <v>2754</v>
      </c>
      <c r="J41" s="6">
        <v>2769</v>
      </c>
      <c r="K41" s="6">
        <v>2840</v>
      </c>
      <c r="L41" s="6">
        <v>2893</v>
      </c>
      <c r="M41" s="6">
        <v>2975</v>
      </c>
      <c r="N41" s="15" t="str">
        <f t="shared" si="2"/>
        <v/>
      </c>
      <c r="O41" s="15">
        <f t="shared" si="2"/>
        <v>-1.3470400567174745E-2</v>
      </c>
      <c r="P41" s="15">
        <f t="shared" si="2"/>
        <v>1.5478761699064147E-2</v>
      </c>
      <c r="Q41" s="15">
        <f t="shared" si="2"/>
        <v>1.982378854625555E-2</v>
      </c>
      <c r="R41" s="15">
        <f t="shared" si="3"/>
        <v>-5.1132213294375894E-3</v>
      </c>
      <c r="S41" s="15">
        <f t="shared" si="3"/>
        <v>-5.8097312999273454E-3</v>
      </c>
      <c r="T41" s="15">
        <f t="shared" si="3"/>
        <v>-5.4171180931744667E-3</v>
      </c>
      <c r="U41" s="15">
        <f t="shared" si="3"/>
        <v>-2.5000000000000022E-2</v>
      </c>
      <c r="V41" s="15">
        <f t="shared" si="4"/>
        <v>-1.8320082958866224E-2</v>
      </c>
      <c r="W41" s="15">
        <f t="shared" si="4"/>
        <v>-2.7563025210084025E-2</v>
      </c>
      <c r="X41" s="5">
        <f t="shared" si="5"/>
        <v>-7.2656699125938579E-3</v>
      </c>
      <c r="Y41" s="5">
        <f t="shared" si="6"/>
        <v>0.85397915529110335</v>
      </c>
      <c r="Z41" s="5">
        <f t="shared" si="7"/>
        <v>-1.3470400567174745E-2</v>
      </c>
    </row>
    <row r="42" spans="1:26" x14ac:dyDescent="0.25">
      <c r="A42" t="s">
        <v>76</v>
      </c>
      <c r="B42" t="s">
        <v>77</v>
      </c>
      <c r="C42" s="65"/>
      <c r="D42" s="6">
        <v>587.33000000000004</v>
      </c>
      <c r="E42" s="6">
        <v>596.30999999999995</v>
      </c>
      <c r="F42" s="6">
        <v>593.37</v>
      </c>
      <c r="G42" s="6"/>
      <c r="H42" s="6"/>
      <c r="I42" s="6"/>
      <c r="J42" s="6"/>
      <c r="K42" s="6"/>
      <c r="L42" s="6"/>
      <c r="M42" s="6"/>
      <c r="N42" s="15" t="str">
        <f t="shared" si="2"/>
        <v/>
      </c>
      <c r="O42" s="15">
        <f t="shared" si="2"/>
        <v>-1.5059281246331491E-2</v>
      </c>
      <c r="P42" s="15">
        <f t="shared" si="2"/>
        <v>4.9547499873603407E-3</v>
      </c>
      <c r="Q42" s="15" t="str">
        <f t="shared" si="2"/>
        <v/>
      </c>
      <c r="R42" s="15" t="str">
        <f t="shared" si="3"/>
        <v/>
      </c>
      <c r="S42" s="15" t="str">
        <f t="shared" si="3"/>
        <v/>
      </c>
      <c r="T42" s="15" t="str">
        <f t="shared" si="3"/>
        <v/>
      </c>
      <c r="U42" s="15" t="str">
        <f t="shared" si="3"/>
        <v/>
      </c>
      <c r="V42" s="15" t="str">
        <f t="shared" si="4"/>
        <v/>
      </c>
      <c r="W42" s="15" t="str">
        <f t="shared" si="4"/>
        <v/>
      </c>
      <c r="X42" s="5">
        <f t="shared" si="5"/>
        <v>-5.052265629485575E-3</v>
      </c>
      <c r="Y42" s="5">
        <f t="shared" si="6"/>
        <v>1.9806986312128716</v>
      </c>
      <c r="Z42" s="5">
        <f t="shared" si="7"/>
        <v>-1.5059281246331491E-2</v>
      </c>
    </row>
    <row r="43" spans="1:26" x14ac:dyDescent="0.25">
      <c r="A43" t="s">
        <v>78</v>
      </c>
      <c r="B43" t="s">
        <v>79</v>
      </c>
      <c r="C43" s="65"/>
      <c r="D43" s="6">
        <v>962.9</v>
      </c>
      <c r="E43" s="6">
        <v>990.4</v>
      </c>
      <c r="F43" s="6">
        <v>1003</v>
      </c>
      <c r="G43" s="6">
        <v>1021</v>
      </c>
      <c r="H43" s="6">
        <v>1054</v>
      </c>
      <c r="I43" s="6">
        <v>1107</v>
      </c>
      <c r="J43" s="6">
        <v>1115</v>
      </c>
      <c r="K43" s="6">
        <v>1165</v>
      </c>
      <c r="L43" s="6">
        <v>1204</v>
      </c>
      <c r="M43" s="6">
        <v>1263</v>
      </c>
      <c r="N43" s="15" t="str">
        <f t="shared" si="2"/>
        <v/>
      </c>
      <c r="O43" s="15">
        <f t="shared" si="2"/>
        <v>-2.7766558966074273E-2</v>
      </c>
      <c r="P43" s="15">
        <f t="shared" si="2"/>
        <v>-1.2562313060817565E-2</v>
      </c>
      <c r="Q43" s="15">
        <f t="shared" si="2"/>
        <v>-1.7629774730656189E-2</v>
      </c>
      <c r="R43" s="15">
        <f t="shared" si="3"/>
        <v>-3.1309297912713419E-2</v>
      </c>
      <c r="S43" s="15">
        <f t="shared" si="3"/>
        <v>-4.7877145438121049E-2</v>
      </c>
      <c r="T43" s="15">
        <f t="shared" si="3"/>
        <v>-7.1748878923766357E-3</v>
      </c>
      <c r="U43" s="15">
        <f t="shared" si="3"/>
        <v>-4.2918454935622297E-2</v>
      </c>
      <c r="V43" s="15">
        <f t="shared" si="4"/>
        <v>-3.2392026578073052E-2</v>
      </c>
      <c r="W43" s="15">
        <f t="shared" si="4"/>
        <v>-4.6714172604908955E-2</v>
      </c>
      <c r="X43" s="5">
        <f t="shared" si="5"/>
        <v>-2.9593848013262605E-2</v>
      </c>
      <c r="Y43" s="5">
        <f t="shared" si="6"/>
        <v>-6.1745571119018572E-2</v>
      </c>
      <c r="Z43" s="5">
        <f t="shared" si="7"/>
        <v>-2.7766558966074273E-2</v>
      </c>
    </row>
    <row r="44" spans="1:26" x14ac:dyDescent="0.25">
      <c r="A44" t="s">
        <v>80</v>
      </c>
      <c r="B44" t="s">
        <v>81</v>
      </c>
      <c r="C44" s="65"/>
      <c r="D44" s="6">
        <v>2838</v>
      </c>
      <c r="E44" s="6">
        <v>2928</v>
      </c>
      <c r="F44" s="6">
        <v>3027</v>
      </c>
      <c r="G44" s="6">
        <v>3041</v>
      </c>
      <c r="H44" s="6">
        <v>3082</v>
      </c>
      <c r="I44" s="6">
        <v>3108</v>
      </c>
      <c r="J44" s="94"/>
      <c r="K44" s="94"/>
      <c r="L44" s="94"/>
      <c r="M44" s="94"/>
      <c r="N44" s="15" t="str">
        <f t="shared" si="2"/>
        <v/>
      </c>
      <c r="O44" s="15">
        <f t="shared" si="2"/>
        <v>-3.0737704918032738E-2</v>
      </c>
      <c r="P44" s="15">
        <f t="shared" si="2"/>
        <v>-3.2705649157581784E-2</v>
      </c>
      <c r="Q44" s="15">
        <f t="shared" si="2"/>
        <v>-4.6037487668529886E-3</v>
      </c>
      <c r="R44" s="15">
        <f t="shared" si="3"/>
        <v>-1.3303049967553493E-2</v>
      </c>
      <c r="S44" s="15">
        <f t="shared" si="3"/>
        <v>-8.3655083655083118E-3</v>
      </c>
      <c r="T44" s="15" t="str">
        <f t="shared" si="3"/>
        <v/>
      </c>
      <c r="U44" s="15" t="str">
        <f t="shared" si="3"/>
        <v/>
      </c>
      <c r="V44" s="15" t="str">
        <f t="shared" si="4"/>
        <v/>
      </c>
      <c r="W44" s="15" t="str">
        <f t="shared" si="4"/>
        <v/>
      </c>
      <c r="X44" s="5">
        <f t="shared" si="5"/>
        <v>-1.7943132235105862E-2</v>
      </c>
      <c r="Y44" s="5">
        <f t="shared" si="6"/>
        <v>0.71306238594698668</v>
      </c>
      <c r="Z44" s="5">
        <f t="shared" si="7"/>
        <v>-3.0737704918032738E-2</v>
      </c>
    </row>
    <row r="45" spans="1:26" x14ac:dyDescent="0.25">
      <c r="A45" t="s">
        <v>82</v>
      </c>
      <c r="B45" t="s">
        <v>83</v>
      </c>
      <c r="C45" s="65"/>
      <c r="D45" s="6">
        <v>8239</v>
      </c>
      <c r="E45" s="6">
        <v>8328</v>
      </c>
      <c r="F45" s="6">
        <v>8381</v>
      </c>
      <c r="G45" s="6">
        <v>8376</v>
      </c>
      <c r="H45" s="6">
        <v>8668</v>
      </c>
      <c r="I45" s="6">
        <v>8908</v>
      </c>
      <c r="J45" s="6">
        <v>9151</v>
      </c>
      <c r="K45" s="6">
        <v>9380</v>
      </c>
      <c r="L45" s="6">
        <v>10062</v>
      </c>
      <c r="M45" s="6">
        <v>10710</v>
      </c>
      <c r="N45" s="15" t="str">
        <f t="shared" si="2"/>
        <v/>
      </c>
      <c r="O45" s="15">
        <f t="shared" si="2"/>
        <v>-1.0686839577329521E-2</v>
      </c>
      <c r="P45" s="15">
        <f t="shared" si="2"/>
        <v>-6.3238277055244208E-3</v>
      </c>
      <c r="Q45" s="15">
        <f t="shared" si="2"/>
        <v>5.9694364851958781E-4</v>
      </c>
      <c r="R45" s="15">
        <f t="shared" si="3"/>
        <v>-3.3687125057683454E-2</v>
      </c>
      <c r="S45" s="15">
        <f t="shared" si="3"/>
        <v>-2.6942074539739513E-2</v>
      </c>
      <c r="T45" s="15">
        <f t="shared" si="3"/>
        <v>-2.6554474920773674E-2</v>
      </c>
      <c r="U45" s="15">
        <f t="shared" si="3"/>
        <v>-2.4413646055437055E-2</v>
      </c>
      <c r="V45" s="15">
        <f t="shared" si="4"/>
        <v>-6.7779765454184071E-2</v>
      </c>
      <c r="W45" s="15">
        <f t="shared" si="4"/>
        <v>-6.0504201680672276E-2</v>
      </c>
      <c r="X45" s="5">
        <f t="shared" si="5"/>
        <v>-2.8477223482536045E-2</v>
      </c>
      <c r="Y45" s="5">
        <f t="shared" si="6"/>
        <v>-0.6247232605424704</v>
      </c>
      <c r="Z45" s="5">
        <f t="shared" si="7"/>
        <v>-1.0686839577329521E-2</v>
      </c>
    </row>
    <row r="46" spans="1:26" x14ac:dyDescent="0.25">
      <c r="A46" t="s">
        <v>84</v>
      </c>
      <c r="B46" t="s">
        <v>85</v>
      </c>
      <c r="C46" s="65"/>
      <c r="D46" s="6">
        <v>1664</v>
      </c>
      <c r="E46" s="6">
        <v>1705</v>
      </c>
      <c r="F46" s="6">
        <v>1778</v>
      </c>
      <c r="G46" s="6">
        <v>1768</v>
      </c>
      <c r="H46" s="6">
        <v>1749</v>
      </c>
      <c r="I46" s="6">
        <v>1478</v>
      </c>
      <c r="J46" s="6">
        <v>1469</v>
      </c>
      <c r="K46" s="6">
        <v>1534</v>
      </c>
      <c r="L46" s="6">
        <v>1636</v>
      </c>
      <c r="M46" s="6">
        <v>1670</v>
      </c>
      <c r="N46" s="15" t="str">
        <f t="shared" si="2"/>
        <v/>
      </c>
      <c r="O46" s="15">
        <f t="shared" si="2"/>
        <v>-2.404692082111437E-2</v>
      </c>
      <c r="P46" s="15">
        <f t="shared" si="2"/>
        <v>-4.1057367829021363E-2</v>
      </c>
      <c r="Q46" s="15">
        <f t="shared" si="2"/>
        <v>5.6561085972850478E-3</v>
      </c>
      <c r="R46" s="15">
        <f t="shared" si="3"/>
        <v>1.0863350485992074E-2</v>
      </c>
      <c r="S46" s="15">
        <f t="shared" si="3"/>
        <v>0.18335588633288236</v>
      </c>
      <c r="T46" s="15">
        <f t="shared" si="3"/>
        <v>6.1266167460858334E-3</v>
      </c>
      <c r="U46" s="15">
        <f t="shared" si="3"/>
        <v>-4.2372881355932202E-2</v>
      </c>
      <c r="V46" s="15">
        <f t="shared" si="4"/>
        <v>-6.2347188264058717E-2</v>
      </c>
      <c r="W46" s="15">
        <f t="shared" si="4"/>
        <v>-2.0359281437125731E-2</v>
      </c>
      <c r="X46" s="5">
        <f t="shared" si="5"/>
        <v>1.7575913838881031E-3</v>
      </c>
      <c r="Y46" s="5">
        <f t="shared" si="6"/>
        <v>14.681747100920765</v>
      </c>
      <c r="Z46" s="5">
        <f t="shared" si="7"/>
        <v>-2.404692082111437E-2</v>
      </c>
    </row>
    <row r="47" spans="1:26" x14ac:dyDescent="0.25">
      <c r="A47" t="s">
        <v>86</v>
      </c>
      <c r="B47" t="s">
        <v>87</v>
      </c>
      <c r="C47" s="65"/>
      <c r="D47" s="6">
        <v>485.26</v>
      </c>
      <c r="E47" s="6">
        <v>529.03</v>
      </c>
      <c r="F47" s="6">
        <v>534.37</v>
      </c>
      <c r="G47" s="6">
        <v>535.29999999999995</v>
      </c>
      <c r="H47" s="6">
        <v>540.4</v>
      </c>
      <c r="I47" s="6">
        <v>545.9</v>
      </c>
      <c r="J47" s="6">
        <v>548.6</v>
      </c>
      <c r="K47" s="6">
        <v>545.6</v>
      </c>
      <c r="L47" s="6">
        <v>543.20000000000005</v>
      </c>
      <c r="M47" s="6">
        <v>536.4</v>
      </c>
      <c r="N47" s="15" t="str">
        <f t="shared" si="2"/>
        <v/>
      </c>
      <c r="O47" s="15">
        <f t="shared" si="2"/>
        <v>-8.2736328752622712E-2</v>
      </c>
      <c r="P47" s="15">
        <f t="shared" si="2"/>
        <v>-9.9930759586055462E-3</v>
      </c>
      <c r="Q47" s="15">
        <f t="shared" si="2"/>
        <v>-1.7373435456752295E-3</v>
      </c>
      <c r="R47" s="15">
        <f t="shared" si="3"/>
        <v>-9.4374537379718904E-3</v>
      </c>
      <c r="S47" s="15">
        <f t="shared" si="3"/>
        <v>-1.0075105330646594E-2</v>
      </c>
      <c r="T47" s="15">
        <f t="shared" si="3"/>
        <v>-4.921618665694627E-3</v>
      </c>
      <c r="U47" s="15">
        <f t="shared" si="3"/>
        <v>5.4985337243402821E-3</v>
      </c>
      <c r="V47" s="15">
        <f t="shared" si="4"/>
        <v>4.4182621502208974E-3</v>
      </c>
      <c r="W47" s="15">
        <f t="shared" si="4"/>
        <v>1.2677106636838298E-2</v>
      </c>
      <c r="X47" s="5">
        <f t="shared" si="5"/>
        <v>-1.0700780386646347E-2</v>
      </c>
      <c r="Y47" s="5">
        <f t="shared" si="6"/>
        <v>6.7318032669720544</v>
      </c>
      <c r="Z47" s="5">
        <f t="shared" si="7"/>
        <v>-8.2736328752622712E-2</v>
      </c>
    </row>
    <row r="48" spans="1:26" x14ac:dyDescent="0.25">
      <c r="A48" t="s">
        <v>88</v>
      </c>
      <c r="B48" t="s">
        <v>89</v>
      </c>
      <c r="C48" s="65"/>
      <c r="D48" s="6">
        <v>4464</v>
      </c>
      <c r="E48" s="6">
        <v>4646</v>
      </c>
      <c r="F48" s="6">
        <v>4905</v>
      </c>
      <c r="G48" s="6">
        <v>5068</v>
      </c>
      <c r="H48" s="6">
        <v>5026</v>
      </c>
      <c r="I48" s="6">
        <v>5007</v>
      </c>
      <c r="J48" s="6">
        <v>5150</v>
      </c>
      <c r="K48" s="6">
        <v>5107</v>
      </c>
      <c r="L48" s="6">
        <v>5232</v>
      </c>
      <c r="M48" s="6">
        <v>5145</v>
      </c>
      <c r="N48" s="15" t="str">
        <f t="shared" si="2"/>
        <v/>
      </c>
      <c r="O48" s="15">
        <f t="shared" si="2"/>
        <v>-3.9173482565647899E-2</v>
      </c>
      <c r="P48" s="15">
        <f t="shared" si="2"/>
        <v>-5.2803261977573901E-2</v>
      </c>
      <c r="Q48" s="15">
        <f t="shared" si="2"/>
        <v>-3.2162588792423064E-2</v>
      </c>
      <c r="R48" s="15">
        <f t="shared" si="3"/>
        <v>8.3565459610028814E-3</v>
      </c>
      <c r="S48" s="15">
        <f t="shared" si="3"/>
        <v>3.794687437587374E-3</v>
      </c>
      <c r="T48" s="15">
        <f t="shared" si="3"/>
        <v>-2.7766990291262172E-2</v>
      </c>
      <c r="U48" s="15">
        <f t="shared" si="3"/>
        <v>8.4198159389072824E-3</v>
      </c>
      <c r="V48" s="15">
        <f t="shared" si="4"/>
        <v>-2.3891437308868446E-2</v>
      </c>
      <c r="W48" s="15">
        <f t="shared" si="4"/>
        <v>1.6909620991253593E-2</v>
      </c>
      <c r="X48" s="5">
        <f t="shared" si="5"/>
        <v>-1.5368565623002706E-2</v>
      </c>
      <c r="Y48" s="5">
        <f t="shared" si="6"/>
        <v>1.5489355042357036</v>
      </c>
      <c r="Z48" s="5">
        <f t="shared" si="7"/>
        <v>-3.9173482565647899E-2</v>
      </c>
    </row>
    <row r="49" spans="1:26" x14ac:dyDescent="0.25">
      <c r="A49" t="s">
        <v>90</v>
      </c>
      <c r="B49" t="s">
        <v>91</v>
      </c>
      <c r="C49" s="65"/>
      <c r="D49" s="6">
        <v>1482</v>
      </c>
      <c r="E49" s="6">
        <v>1522</v>
      </c>
      <c r="F49" s="6">
        <v>1543</v>
      </c>
      <c r="G49" s="6">
        <v>1564</v>
      </c>
      <c r="H49" s="6">
        <v>1581</v>
      </c>
      <c r="I49" s="6">
        <v>1565</v>
      </c>
      <c r="J49" s="6">
        <v>1553</v>
      </c>
      <c r="K49" s="6">
        <v>1605</v>
      </c>
      <c r="L49" s="6">
        <v>1638</v>
      </c>
      <c r="M49" s="6">
        <v>1656</v>
      </c>
      <c r="N49" s="15" t="str">
        <f t="shared" si="2"/>
        <v/>
      </c>
      <c r="O49" s="15">
        <f t="shared" si="2"/>
        <v>-2.6281208935611033E-2</v>
      </c>
      <c r="P49" s="15">
        <f t="shared" si="2"/>
        <v>-1.3609850939727774E-2</v>
      </c>
      <c r="Q49" s="15">
        <f t="shared" si="2"/>
        <v>-1.3427109974424534E-2</v>
      </c>
      <c r="R49" s="15">
        <f t="shared" si="3"/>
        <v>-1.0752688172043001E-2</v>
      </c>
      <c r="S49" s="15">
        <f t="shared" si="3"/>
        <v>1.0223642172523917E-2</v>
      </c>
      <c r="T49" s="15">
        <f t="shared" si="3"/>
        <v>7.726980038634812E-3</v>
      </c>
      <c r="U49" s="15">
        <f t="shared" si="3"/>
        <v>-3.2398753894080978E-2</v>
      </c>
      <c r="V49" s="15">
        <f t="shared" si="4"/>
        <v>-2.0146520146520186E-2</v>
      </c>
      <c r="W49" s="15">
        <f t="shared" si="4"/>
        <v>-1.0869565217391353E-2</v>
      </c>
      <c r="X49" s="5">
        <f t="shared" si="5"/>
        <v>-1.2170563896515571E-2</v>
      </c>
      <c r="Y49" s="5">
        <f t="shared" si="6"/>
        <v>1.1594076625435026</v>
      </c>
      <c r="Z49" s="5">
        <f t="shared" si="7"/>
        <v>-2.6281208935611033E-2</v>
      </c>
    </row>
    <row r="50" spans="1:26" x14ac:dyDescent="0.25">
      <c r="A50" t="s">
        <v>92</v>
      </c>
      <c r="B50" t="s">
        <v>93</v>
      </c>
      <c r="C50" s="65"/>
      <c r="D50" s="6">
        <v>6291</v>
      </c>
      <c r="E50" s="6">
        <v>6399</v>
      </c>
      <c r="F50" s="6">
        <v>7276</v>
      </c>
      <c r="G50" s="6">
        <v>7575</v>
      </c>
      <c r="H50" s="6">
        <v>8012</v>
      </c>
      <c r="I50" s="6">
        <v>8070</v>
      </c>
      <c r="J50" s="94"/>
      <c r="K50" s="94"/>
      <c r="L50" s="94"/>
      <c r="M50" s="94"/>
      <c r="N50" s="15" t="str">
        <f t="shared" si="2"/>
        <v/>
      </c>
      <c r="O50" s="15">
        <f t="shared" si="2"/>
        <v>-1.6877637130801704E-2</v>
      </c>
      <c r="P50" s="15">
        <f t="shared" si="2"/>
        <v>-0.12053326003298515</v>
      </c>
      <c r="Q50" s="15">
        <f t="shared" si="2"/>
        <v>-3.947194719471947E-2</v>
      </c>
      <c r="R50" s="15">
        <f t="shared" si="3"/>
        <v>-5.4543185222166723E-2</v>
      </c>
      <c r="S50" s="15">
        <f t="shared" si="3"/>
        <v>-7.1871127633209575E-3</v>
      </c>
      <c r="T50" s="15" t="str">
        <f t="shared" si="3"/>
        <v/>
      </c>
      <c r="U50" s="15" t="str">
        <f t="shared" si="3"/>
        <v/>
      </c>
      <c r="V50" s="15" t="str">
        <f t="shared" si="4"/>
        <v/>
      </c>
      <c r="W50" s="15" t="str">
        <f t="shared" si="4"/>
        <v/>
      </c>
      <c r="X50" s="5">
        <f t="shared" si="5"/>
        <v>-4.7722628468798801E-2</v>
      </c>
      <c r="Y50" s="5">
        <f t="shared" si="6"/>
        <v>-0.64633890310890241</v>
      </c>
      <c r="Z50" s="5">
        <f t="shared" si="7"/>
        <v>-1.6877637130801704E-2</v>
      </c>
    </row>
    <row r="51" spans="1:26" x14ac:dyDescent="0.25">
      <c r="A51" t="s">
        <v>94</v>
      </c>
      <c r="B51" t="s">
        <v>95</v>
      </c>
      <c r="C51" s="65"/>
      <c r="D51" s="6">
        <v>1547</v>
      </c>
      <c r="E51" s="6">
        <v>1589</v>
      </c>
      <c r="F51" s="6">
        <v>1564</v>
      </c>
      <c r="G51" s="6">
        <v>1726</v>
      </c>
      <c r="H51" s="6">
        <v>1802</v>
      </c>
      <c r="I51" s="6">
        <v>1887</v>
      </c>
      <c r="J51" s="6">
        <v>2007</v>
      </c>
      <c r="K51" s="6"/>
      <c r="L51" s="6"/>
      <c r="M51" s="6"/>
      <c r="N51" s="15" t="str">
        <f t="shared" si="2"/>
        <v/>
      </c>
      <c r="O51" s="15">
        <f t="shared" si="2"/>
        <v>-2.6431718061673992E-2</v>
      </c>
      <c r="P51" s="15">
        <f t="shared" si="2"/>
        <v>1.5984654731457715E-2</v>
      </c>
      <c r="Q51" s="15">
        <f t="shared" si="2"/>
        <v>-9.3858632676709131E-2</v>
      </c>
      <c r="R51" s="15">
        <f t="shared" si="3"/>
        <v>-4.2175360710321907E-2</v>
      </c>
      <c r="S51" s="15">
        <f t="shared" si="3"/>
        <v>-4.5045045045045029E-2</v>
      </c>
      <c r="T51" s="15">
        <f t="shared" si="3"/>
        <v>-5.9790732436472371E-2</v>
      </c>
      <c r="U51" s="15" t="str">
        <f t="shared" si="3"/>
        <v/>
      </c>
      <c r="V51" s="15" t="str">
        <f t="shared" si="4"/>
        <v/>
      </c>
      <c r="W51" s="15" t="str">
        <f t="shared" si="4"/>
        <v/>
      </c>
      <c r="X51" s="5">
        <f t="shared" si="5"/>
        <v>-4.1886139033127455E-2</v>
      </c>
      <c r="Y51" s="5">
        <f t="shared" si="6"/>
        <v>-0.36896265275800832</v>
      </c>
      <c r="Z51" s="5">
        <f t="shared" si="7"/>
        <v>-2.6431718061673992E-2</v>
      </c>
    </row>
    <row r="52" spans="1:26" x14ac:dyDescent="0.25">
      <c r="A52" t="s">
        <v>96</v>
      </c>
      <c r="B52" t="s">
        <v>97</v>
      </c>
      <c r="C52" s="65"/>
      <c r="D52" s="6">
        <v>2711</v>
      </c>
      <c r="E52" s="6">
        <v>2742</v>
      </c>
      <c r="F52" s="6">
        <v>2748</v>
      </c>
      <c r="G52" s="6">
        <v>2766</v>
      </c>
      <c r="H52" s="6">
        <v>2844</v>
      </c>
      <c r="I52" s="6">
        <v>2915</v>
      </c>
      <c r="J52" s="6">
        <v>3033</v>
      </c>
      <c r="K52" s="6">
        <v>3132</v>
      </c>
      <c r="L52" s="6">
        <v>3179</v>
      </c>
      <c r="M52" s="94"/>
      <c r="N52" s="15" t="str">
        <f t="shared" si="2"/>
        <v/>
      </c>
      <c r="O52" s="15">
        <f t="shared" si="2"/>
        <v>-1.1305616338439073E-2</v>
      </c>
      <c r="P52" s="15">
        <f t="shared" si="2"/>
        <v>-2.1834061135370675E-3</v>
      </c>
      <c r="Q52" s="15">
        <f t="shared" si="2"/>
        <v>-6.5075921908893664E-3</v>
      </c>
      <c r="R52" s="15">
        <f t="shared" si="3"/>
        <v>-2.7426160337552741E-2</v>
      </c>
      <c r="S52" s="15">
        <f t="shared" si="3"/>
        <v>-2.4356775300171551E-2</v>
      </c>
      <c r="T52" s="15">
        <f t="shared" si="3"/>
        <v>-3.8905374216946953E-2</v>
      </c>
      <c r="U52" s="15">
        <f t="shared" si="3"/>
        <v>-3.1609195402298895E-2</v>
      </c>
      <c r="V52" s="15">
        <f t="shared" si="4"/>
        <v>-1.478452343504244E-2</v>
      </c>
      <c r="W52" s="15" t="str">
        <f t="shared" si="4"/>
        <v/>
      </c>
      <c r="X52" s="5">
        <f t="shared" si="5"/>
        <v>-1.9634830416859761E-2</v>
      </c>
      <c r="Y52" s="5">
        <f t="shared" si="6"/>
        <v>-0.42420606145234008</v>
      </c>
      <c r="Z52" s="5">
        <f t="shared" si="7"/>
        <v>-1.1305616338439073E-2</v>
      </c>
    </row>
    <row r="53" spans="1:26" x14ac:dyDescent="0.25">
      <c r="A53" t="s">
        <v>98</v>
      </c>
      <c r="B53" t="s">
        <v>99</v>
      </c>
      <c r="C53" s="65">
        <v>4155</v>
      </c>
      <c r="D53" s="6">
        <v>4155</v>
      </c>
      <c r="E53" s="94"/>
      <c r="F53" s="94"/>
      <c r="G53" s="94"/>
      <c r="H53" s="94"/>
      <c r="I53" s="94"/>
      <c r="J53" s="94"/>
      <c r="K53" s="94"/>
      <c r="L53" s="94"/>
      <c r="M53" s="94"/>
      <c r="N53" s="15">
        <f t="shared" si="2"/>
        <v>0</v>
      </c>
      <c r="O53" s="15" t="str">
        <f t="shared" si="2"/>
        <v/>
      </c>
      <c r="P53" s="15" t="str">
        <f t="shared" si="2"/>
        <v/>
      </c>
      <c r="Q53" s="15" t="str">
        <f t="shared" si="2"/>
        <v/>
      </c>
      <c r="R53" s="15" t="str">
        <f t="shared" si="3"/>
        <v/>
      </c>
      <c r="S53" s="15" t="str">
        <f t="shared" si="3"/>
        <v/>
      </c>
      <c r="T53" s="15" t="str">
        <f t="shared" si="3"/>
        <v/>
      </c>
      <c r="U53" s="15" t="str">
        <f t="shared" si="3"/>
        <v/>
      </c>
      <c r="V53" s="15" t="str">
        <f t="shared" si="4"/>
        <v/>
      </c>
      <c r="W53" s="15" t="str">
        <f t="shared" si="4"/>
        <v/>
      </c>
      <c r="X53" s="5">
        <f t="shared" si="5"/>
        <v>0</v>
      </c>
      <c r="Y53" s="5">
        <f t="shared" si="6"/>
        <v>0</v>
      </c>
      <c r="Z53" s="5">
        <f t="shared" si="7"/>
        <v>0</v>
      </c>
    </row>
    <row r="54" spans="1:26" x14ac:dyDescent="0.25">
      <c r="A54" t="s">
        <v>100</v>
      </c>
      <c r="B54" t="s">
        <v>101</v>
      </c>
      <c r="C54" s="65"/>
      <c r="D54" s="6">
        <v>3233</v>
      </c>
      <c r="E54" s="6">
        <v>3314</v>
      </c>
      <c r="F54" s="6">
        <v>3418</v>
      </c>
      <c r="G54" s="6">
        <v>3516</v>
      </c>
      <c r="H54" s="6">
        <v>3759</v>
      </c>
      <c r="I54" s="6">
        <v>3925</v>
      </c>
      <c r="J54" s="6">
        <v>3973</v>
      </c>
      <c r="K54" s="6">
        <v>4131</v>
      </c>
      <c r="L54" s="6">
        <v>4165</v>
      </c>
      <c r="M54" s="6">
        <v>4234</v>
      </c>
      <c r="N54" s="15" t="str">
        <f t="shared" si="2"/>
        <v/>
      </c>
      <c r="O54" s="15">
        <f t="shared" si="2"/>
        <v>-2.4441762220881125E-2</v>
      </c>
      <c r="P54" s="15">
        <f t="shared" si="2"/>
        <v>-3.0427150380339385E-2</v>
      </c>
      <c r="Q54" s="15">
        <f t="shared" si="2"/>
        <v>-2.7872582480091057E-2</v>
      </c>
      <c r="R54" s="15">
        <f t="shared" si="3"/>
        <v>-6.464485235434958E-2</v>
      </c>
      <c r="S54" s="15">
        <f t="shared" si="3"/>
        <v>-4.2292993630573261E-2</v>
      </c>
      <c r="T54" s="15">
        <f t="shared" si="3"/>
        <v>-1.2081550465643076E-2</v>
      </c>
      <c r="U54" s="15">
        <f t="shared" si="3"/>
        <v>-3.8247397724521903E-2</v>
      </c>
      <c r="V54" s="15">
        <f t="shared" si="4"/>
        <v>-8.1632653061224358E-3</v>
      </c>
      <c r="W54" s="15">
        <f t="shared" si="4"/>
        <v>-1.6296646197449194E-2</v>
      </c>
      <c r="X54" s="5">
        <f t="shared" si="5"/>
        <v>-2.938535563999678E-2</v>
      </c>
      <c r="Y54" s="5">
        <f t="shared" si="6"/>
        <v>-0.16823323425723213</v>
      </c>
      <c r="Z54" s="5">
        <f t="shared" si="7"/>
        <v>-2.4441762220881125E-2</v>
      </c>
    </row>
    <row r="55" spans="1:26" x14ac:dyDescent="0.25">
      <c r="A55" t="s">
        <v>102</v>
      </c>
      <c r="B55" t="s">
        <v>103</v>
      </c>
      <c r="C55" s="65"/>
      <c r="D55" s="65">
        <v>1608</v>
      </c>
      <c r="E55" s="6">
        <v>1608</v>
      </c>
      <c r="F55" s="6">
        <v>1607</v>
      </c>
      <c r="G55" s="6">
        <v>1606</v>
      </c>
      <c r="H55" s="6">
        <v>1605</v>
      </c>
      <c r="I55" s="6">
        <v>1604</v>
      </c>
      <c r="J55" s="6"/>
      <c r="K55" s="6"/>
      <c r="L55" s="6"/>
      <c r="M55" s="6"/>
      <c r="N55" s="15" t="str">
        <f t="shared" si="2"/>
        <v/>
      </c>
      <c r="O55" s="15">
        <f t="shared" si="2"/>
        <v>0</v>
      </c>
      <c r="P55" s="15">
        <f t="shared" si="2"/>
        <v>6.2227753578092404E-4</v>
      </c>
      <c r="Q55" s="15">
        <f t="shared" si="2"/>
        <v>6.2266500622665255E-4</v>
      </c>
      <c r="R55" s="15">
        <f t="shared" si="3"/>
        <v>6.2305295950149109E-4</v>
      </c>
      <c r="S55" s="15">
        <f t="shared" si="3"/>
        <v>6.2344139650871711E-4</v>
      </c>
      <c r="T55" s="15" t="str">
        <f t="shared" si="3"/>
        <v/>
      </c>
      <c r="U55" s="15" t="str">
        <f t="shared" si="3"/>
        <v/>
      </c>
      <c r="V55" s="15" t="str">
        <f t="shared" si="4"/>
        <v/>
      </c>
      <c r="W55" s="15" t="str">
        <f t="shared" si="4"/>
        <v/>
      </c>
      <c r="X55" s="5">
        <f t="shared" si="5"/>
        <v>4.9828737960355696E-4</v>
      </c>
      <c r="Y55" s="5">
        <f t="shared" si="6"/>
        <v>-99.999989999999997</v>
      </c>
      <c r="Z55" s="5">
        <f t="shared" si="7"/>
        <v>0</v>
      </c>
    </row>
    <row r="56" spans="1:26" x14ac:dyDescent="0.25">
      <c r="A56" t="s">
        <v>104</v>
      </c>
      <c r="B56" t="s">
        <v>105</v>
      </c>
      <c r="C56" s="65"/>
      <c r="D56" s="65">
        <v>0.14000000000000001</v>
      </c>
      <c r="E56" s="6">
        <v>0.14000000000000001</v>
      </c>
      <c r="F56" s="6">
        <v>0.14000000000000001</v>
      </c>
      <c r="G56" s="6">
        <v>0.14000000000000001</v>
      </c>
      <c r="H56" s="6">
        <v>0.14000000000000001</v>
      </c>
      <c r="I56" s="6">
        <v>0.1</v>
      </c>
      <c r="J56" s="6">
        <v>0.1</v>
      </c>
      <c r="K56" s="6">
        <v>0.1</v>
      </c>
      <c r="L56" s="6">
        <v>0.1</v>
      </c>
      <c r="M56" s="6">
        <v>0.1</v>
      </c>
      <c r="N56" s="15" t="str">
        <f t="shared" si="2"/>
        <v/>
      </c>
      <c r="O56" s="15">
        <f t="shared" si="2"/>
        <v>0</v>
      </c>
      <c r="P56" s="15">
        <f t="shared" si="2"/>
        <v>0</v>
      </c>
      <c r="Q56" s="15">
        <f t="shared" si="2"/>
        <v>0</v>
      </c>
      <c r="R56" s="15">
        <f t="shared" si="3"/>
        <v>0</v>
      </c>
      <c r="S56" s="15">
        <f t="shared" si="3"/>
        <v>0.40000000000000013</v>
      </c>
      <c r="T56" s="15">
        <f t="shared" si="3"/>
        <v>0</v>
      </c>
      <c r="U56" s="15">
        <f t="shared" si="3"/>
        <v>0</v>
      </c>
      <c r="V56" s="15">
        <f t="shared" si="4"/>
        <v>0</v>
      </c>
      <c r="W56" s="15">
        <f t="shared" si="4"/>
        <v>0</v>
      </c>
      <c r="X56" s="5">
        <f t="shared" si="5"/>
        <v>4.444444444444446E-2</v>
      </c>
      <c r="Y56" s="5">
        <f t="shared" si="6"/>
        <v>-99.999989999999997</v>
      </c>
      <c r="Z56" s="5">
        <f t="shared" si="7"/>
        <v>0</v>
      </c>
    </row>
    <row r="57" spans="1:26" x14ac:dyDescent="0.25">
      <c r="A57" t="s">
        <v>107</v>
      </c>
      <c r="B57" t="s">
        <v>108</v>
      </c>
      <c r="C57" s="65"/>
      <c r="D57" s="6">
        <v>437.96</v>
      </c>
      <c r="E57" s="6">
        <v>437.96</v>
      </c>
      <c r="F57" s="6">
        <v>437.96</v>
      </c>
      <c r="G57" s="6">
        <v>438</v>
      </c>
      <c r="H57" s="6">
        <v>438</v>
      </c>
      <c r="I57" s="6">
        <v>438</v>
      </c>
      <c r="J57" s="6">
        <v>438</v>
      </c>
      <c r="K57" s="6">
        <v>438</v>
      </c>
      <c r="L57" s="6">
        <v>438</v>
      </c>
      <c r="M57" s="6">
        <v>438</v>
      </c>
      <c r="N57" s="15" t="str">
        <f t="shared" si="2"/>
        <v/>
      </c>
      <c r="O57" s="15">
        <f t="shared" si="2"/>
        <v>0</v>
      </c>
      <c r="P57" s="15">
        <f t="shared" si="2"/>
        <v>0</v>
      </c>
      <c r="Q57" s="15">
        <f t="shared" si="2"/>
        <v>-9.1324200913289744E-5</v>
      </c>
      <c r="R57" s="15">
        <f t="shared" si="3"/>
        <v>0</v>
      </c>
      <c r="S57" s="15">
        <f t="shared" si="3"/>
        <v>0</v>
      </c>
      <c r="T57" s="15">
        <f t="shared" si="3"/>
        <v>0</v>
      </c>
      <c r="U57" s="15">
        <f t="shared" si="3"/>
        <v>0</v>
      </c>
      <c r="V57" s="15">
        <f t="shared" si="4"/>
        <v>0</v>
      </c>
      <c r="W57" s="15">
        <f t="shared" si="4"/>
        <v>0</v>
      </c>
      <c r="X57" s="5">
        <f t="shared" si="5"/>
        <v>-1.0147133434809971E-5</v>
      </c>
      <c r="Y57" s="5">
        <f t="shared" si="6"/>
        <v>-1</v>
      </c>
      <c r="Z57" s="5">
        <f t="shared" si="7"/>
        <v>0</v>
      </c>
    </row>
    <row r="58" spans="1:26" x14ac:dyDescent="0.25">
      <c r="A58" t="s">
        <v>109</v>
      </c>
      <c r="B58" t="s">
        <v>110</v>
      </c>
      <c r="C58" s="65"/>
      <c r="D58" s="65">
        <v>605.9</v>
      </c>
      <c r="E58" s="6">
        <v>605.9</v>
      </c>
      <c r="F58" s="6">
        <v>608.80999999999995</v>
      </c>
      <c r="G58" s="6">
        <v>602.98</v>
      </c>
      <c r="H58" s="6">
        <v>601</v>
      </c>
      <c r="I58" s="6">
        <v>599</v>
      </c>
      <c r="J58" s="6">
        <v>602.4</v>
      </c>
      <c r="K58" s="6">
        <v>618</v>
      </c>
      <c r="L58" s="6">
        <v>639.6</v>
      </c>
      <c r="M58" s="6">
        <v>658.8</v>
      </c>
      <c r="N58" s="15" t="str">
        <f t="shared" si="2"/>
        <v/>
      </c>
      <c r="O58" s="15">
        <f t="shared" si="2"/>
        <v>0</v>
      </c>
      <c r="P58" s="15">
        <f t="shared" si="2"/>
        <v>-4.7798163630689006E-3</v>
      </c>
      <c r="Q58" s="15">
        <f t="shared" si="2"/>
        <v>9.668645726226277E-3</v>
      </c>
      <c r="R58" s="15">
        <f t="shared" si="3"/>
        <v>3.294509151414271E-3</v>
      </c>
      <c r="S58" s="15">
        <f t="shared" si="3"/>
        <v>3.3388981636059967E-3</v>
      </c>
      <c r="T58" s="15">
        <f t="shared" si="3"/>
        <v>-5.6440903054448821E-3</v>
      </c>
      <c r="U58" s="15">
        <f t="shared" si="3"/>
        <v>-2.5242718446601975E-2</v>
      </c>
      <c r="V58" s="15">
        <f t="shared" si="4"/>
        <v>-3.3771106941838713E-2</v>
      </c>
      <c r="W58" s="15">
        <f t="shared" si="4"/>
        <v>-2.914389799635686E-2</v>
      </c>
      <c r="X58" s="5">
        <f t="shared" si="5"/>
        <v>-9.142175223562754E-3</v>
      </c>
      <c r="Y58" s="5">
        <f t="shared" si="6"/>
        <v>-1</v>
      </c>
      <c r="Z58" s="5">
        <f t="shared" si="7"/>
        <v>0</v>
      </c>
    </row>
    <row r="59" spans="1:26" x14ac:dyDescent="0.25">
      <c r="A59" t="s">
        <v>111</v>
      </c>
      <c r="B59" t="s">
        <v>112</v>
      </c>
      <c r="C59" s="65"/>
      <c r="D59" s="6">
        <v>1319</v>
      </c>
      <c r="E59" s="6">
        <v>1324</v>
      </c>
      <c r="F59" s="6">
        <v>1326</v>
      </c>
      <c r="G59" s="6">
        <v>1341</v>
      </c>
      <c r="H59" s="6">
        <v>1311</v>
      </c>
      <c r="I59" s="6">
        <v>1319</v>
      </c>
      <c r="J59" s="6">
        <v>1316</v>
      </c>
      <c r="K59" s="6">
        <v>1366</v>
      </c>
      <c r="L59" s="6">
        <v>1359</v>
      </c>
      <c r="M59" s="6">
        <v>1396</v>
      </c>
      <c r="N59" s="15" t="str">
        <f t="shared" si="2"/>
        <v/>
      </c>
      <c r="O59" s="15">
        <f t="shared" si="2"/>
        <v>-3.7764350453172169E-3</v>
      </c>
      <c r="P59" s="15">
        <f t="shared" si="2"/>
        <v>-1.5082956259426794E-3</v>
      </c>
      <c r="Q59" s="15">
        <f t="shared" si="2"/>
        <v>-1.1185682326621871E-2</v>
      </c>
      <c r="R59" s="15">
        <f t="shared" si="3"/>
        <v>2.2883295194507935E-2</v>
      </c>
      <c r="S59" s="15">
        <f t="shared" si="3"/>
        <v>-6.0652009097801329E-3</v>
      </c>
      <c r="T59" s="15">
        <f t="shared" si="3"/>
        <v>2.2796352583587254E-3</v>
      </c>
      <c r="U59" s="15">
        <f t="shared" si="3"/>
        <v>-3.6603221083455373E-2</v>
      </c>
      <c r="V59" s="15">
        <f t="shared" si="4"/>
        <v>5.1508462104488117E-3</v>
      </c>
      <c r="W59" s="15">
        <f t="shared" si="4"/>
        <v>-2.6504297994269344E-2</v>
      </c>
      <c r="X59" s="5">
        <f t="shared" si="5"/>
        <v>-6.1477062580079051E-3</v>
      </c>
      <c r="Y59" s="5">
        <f t="shared" si="6"/>
        <v>-0.38571641408564505</v>
      </c>
      <c r="Z59" s="5">
        <f t="shared" si="7"/>
        <v>-3.7764350453172169E-3</v>
      </c>
    </row>
    <row r="60" spans="1:26" x14ac:dyDescent="0.25">
      <c r="A60" t="s">
        <v>113</v>
      </c>
      <c r="B60" t="s">
        <v>114</v>
      </c>
      <c r="C60" s="65"/>
      <c r="D60" s="6">
        <v>2754</v>
      </c>
      <c r="E60" s="6">
        <v>2754</v>
      </c>
      <c r="F60" s="6">
        <v>2754</v>
      </c>
      <c r="G60" s="6">
        <v>2754</v>
      </c>
      <c r="H60" s="6">
        <v>2754</v>
      </c>
      <c r="I60" s="6">
        <v>2822</v>
      </c>
      <c r="J60" s="6">
        <v>2803</v>
      </c>
      <c r="K60" s="6">
        <v>2931</v>
      </c>
      <c r="L60" s="6">
        <v>3051</v>
      </c>
      <c r="M60" s="6">
        <v>3060</v>
      </c>
      <c r="N60" s="15" t="str">
        <f t="shared" si="2"/>
        <v/>
      </c>
      <c r="O60" s="15">
        <f t="shared" si="2"/>
        <v>0</v>
      </c>
      <c r="P60" s="15">
        <f t="shared" si="2"/>
        <v>0</v>
      </c>
      <c r="Q60" s="15">
        <f t="shared" si="2"/>
        <v>0</v>
      </c>
      <c r="R60" s="15">
        <f t="shared" si="3"/>
        <v>0</v>
      </c>
      <c r="S60" s="15">
        <f t="shared" si="3"/>
        <v>-2.4096385542168641E-2</v>
      </c>
      <c r="T60" s="15">
        <f t="shared" si="3"/>
        <v>6.7784516589368682E-3</v>
      </c>
      <c r="U60" s="15">
        <f t="shared" si="3"/>
        <v>-4.3671102012964869E-2</v>
      </c>
      <c r="V60" s="15">
        <f t="shared" si="4"/>
        <v>-3.9331366764995046E-2</v>
      </c>
      <c r="W60" s="15">
        <f t="shared" si="4"/>
        <v>-2.9411764705882248E-3</v>
      </c>
      <c r="X60" s="5">
        <f t="shared" si="5"/>
        <v>-1.1473508792419991E-2</v>
      </c>
      <c r="Y60" s="5">
        <f t="shared" si="6"/>
        <v>-1</v>
      </c>
      <c r="Z60" s="5">
        <f t="shared" si="7"/>
        <v>0</v>
      </c>
    </row>
    <row r="61" spans="1:26" x14ac:dyDescent="0.25">
      <c r="A61" t="s">
        <v>115</v>
      </c>
      <c r="B61" t="s">
        <v>116</v>
      </c>
      <c r="C61" s="65"/>
      <c r="D61" s="6">
        <v>1673</v>
      </c>
      <c r="E61" s="6">
        <v>1670</v>
      </c>
      <c r="F61" s="6">
        <v>1664</v>
      </c>
      <c r="G61" s="6">
        <v>1659</v>
      </c>
      <c r="H61" s="6">
        <v>1641</v>
      </c>
      <c r="I61" s="6">
        <v>1585</v>
      </c>
      <c r="J61" s="6">
        <v>1506</v>
      </c>
      <c r="K61" s="6">
        <v>1506</v>
      </c>
      <c r="L61" s="6"/>
      <c r="M61" s="6"/>
      <c r="N61" s="15" t="str">
        <f t="shared" si="2"/>
        <v/>
      </c>
      <c r="O61" s="15">
        <f t="shared" si="2"/>
        <v>1.796407185628679E-3</v>
      </c>
      <c r="P61" s="15">
        <f t="shared" si="2"/>
        <v>3.6057692307691624E-3</v>
      </c>
      <c r="Q61" s="15">
        <f t="shared" si="2"/>
        <v>3.0138637733574392E-3</v>
      </c>
      <c r="R61" s="15">
        <f t="shared" si="3"/>
        <v>1.0968921389396646E-2</v>
      </c>
      <c r="S61" s="15">
        <f t="shared" si="3"/>
        <v>3.5331230283911719E-2</v>
      </c>
      <c r="T61" s="15">
        <f t="shared" si="3"/>
        <v>5.2456839309428904E-2</v>
      </c>
      <c r="U61" s="15">
        <f t="shared" si="3"/>
        <v>0</v>
      </c>
      <c r="V61" s="15" t="str">
        <f t="shared" si="4"/>
        <v/>
      </c>
      <c r="W61" s="15" t="str">
        <f t="shared" si="4"/>
        <v/>
      </c>
      <c r="X61" s="5">
        <f t="shared" si="5"/>
        <v>1.5310433024641792E-2</v>
      </c>
      <c r="Y61" s="5">
        <f t="shared" si="6"/>
        <v>-99.999989999999997</v>
      </c>
      <c r="Z61" s="5">
        <f t="shared" si="7"/>
        <v>1.796407185628679E-3</v>
      </c>
    </row>
    <row r="62" spans="1:26" x14ac:dyDescent="0.25">
      <c r="A62" t="s">
        <v>117</v>
      </c>
      <c r="B62" t="s">
        <v>118</v>
      </c>
      <c r="C62" s="65"/>
      <c r="D62" s="6">
        <v>5355</v>
      </c>
      <c r="E62" s="6">
        <v>5342</v>
      </c>
      <c r="F62" s="6">
        <v>5398</v>
      </c>
      <c r="G62" s="6">
        <v>5550</v>
      </c>
      <c r="H62" s="6">
        <v>5668</v>
      </c>
      <c r="I62" s="6">
        <v>5665</v>
      </c>
      <c r="J62" s="6">
        <v>5661</v>
      </c>
      <c r="K62" s="6">
        <v>6013</v>
      </c>
      <c r="L62" s="6">
        <v>5992</v>
      </c>
      <c r="M62" s="6">
        <v>5963</v>
      </c>
      <c r="N62" s="15" t="str">
        <f t="shared" si="2"/>
        <v/>
      </c>
      <c r="O62" s="15">
        <f t="shared" si="2"/>
        <v>2.4335454885811014E-3</v>
      </c>
      <c r="P62" s="15">
        <f t="shared" si="2"/>
        <v>-1.0374212671359739E-2</v>
      </c>
      <c r="Q62" s="15">
        <f t="shared" si="2"/>
        <v>-2.7387387387387441E-2</v>
      </c>
      <c r="R62" s="15">
        <f t="shared" si="3"/>
        <v>-2.0818630910374059E-2</v>
      </c>
      <c r="S62" s="15">
        <f t="shared" si="3"/>
        <v>5.2956751985888673E-4</v>
      </c>
      <c r="T62" s="15">
        <f t="shared" si="3"/>
        <v>7.0658894188313504E-4</v>
      </c>
      <c r="U62" s="15">
        <f t="shared" si="3"/>
        <v>-5.853983036753696E-2</v>
      </c>
      <c r="V62" s="15">
        <f t="shared" si="4"/>
        <v>3.5046728971963592E-3</v>
      </c>
      <c r="W62" s="15">
        <f t="shared" si="4"/>
        <v>4.8633238302868698E-3</v>
      </c>
      <c r="X62" s="5">
        <f t="shared" si="5"/>
        <v>-1.167581807320576E-2</v>
      </c>
      <c r="Y62" s="5">
        <f t="shared" si="6"/>
        <v>-1.2084261225485964</v>
      </c>
      <c r="Z62" s="5">
        <f t="shared" si="7"/>
        <v>2.4335454885811014E-3</v>
      </c>
    </row>
    <row r="63" spans="1:26" x14ac:dyDescent="0.25">
      <c r="A63" t="s">
        <v>119</v>
      </c>
      <c r="B63" t="s">
        <v>120</v>
      </c>
      <c r="C63" s="65"/>
      <c r="D63" s="65">
        <v>736.5</v>
      </c>
      <c r="E63" s="6">
        <v>736.5</v>
      </c>
      <c r="F63" s="6">
        <v>734.2</v>
      </c>
      <c r="G63" s="6">
        <v>728.6</v>
      </c>
      <c r="H63" s="6">
        <v>725.9</v>
      </c>
      <c r="I63" s="6">
        <v>722.6</v>
      </c>
      <c r="J63" s="6">
        <v>722.6</v>
      </c>
      <c r="K63" s="6">
        <v>722.4</v>
      </c>
      <c r="L63" s="6"/>
      <c r="M63" s="6"/>
      <c r="N63" s="15" t="str">
        <f t="shared" si="2"/>
        <v/>
      </c>
      <c r="O63" s="15">
        <f t="shared" si="2"/>
        <v>0</v>
      </c>
      <c r="P63" s="15">
        <f t="shared" si="2"/>
        <v>3.132661400163439E-3</v>
      </c>
      <c r="Q63" s="15">
        <f t="shared" si="2"/>
        <v>7.6859730990941344E-3</v>
      </c>
      <c r="R63" s="15">
        <f t="shared" si="3"/>
        <v>3.7195205951232602E-3</v>
      </c>
      <c r="S63" s="15">
        <f t="shared" si="3"/>
        <v>4.5668419595903398E-3</v>
      </c>
      <c r="T63" s="15">
        <f t="shared" si="3"/>
        <v>0</v>
      </c>
      <c r="U63" s="15">
        <f t="shared" si="3"/>
        <v>2.7685492801787781E-4</v>
      </c>
      <c r="V63" s="15" t="str">
        <f t="shared" si="4"/>
        <v/>
      </c>
      <c r="W63" s="15" t="str">
        <f t="shared" si="4"/>
        <v/>
      </c>
      <c r="X63" s="5">
        <f t="shared" si="5"/>
        <v>2.7688359974270072E-3</v>
      </c>
      <c r="Y63" s="5">
        <f t="shared" si="6"/>
        <v>-99.999989999999997</v>
      </c>
      <c r="Z63" s="5">
        <f t="shared" si="7"/>
        <v>0</v>
      </c>
    </row>
    <row r="64" spans="1:26" x14ac:dyDescent="0.25">
      <c r="A64" t="s">
        <v>121</v>
      </c>
      <c r="B64" t="s">
        <v>122</v>
      </c>
      <c r="C64" s="65"/>
      <c r="D64" s="6">
        <v>1972</v>
      </c>
      <c r="E64" s="6">
        <v>1993</v>
      </c>
      <c r="F64" s="6">
        <v>2010</v>
      </c>
      <c r="G64" s="6">
        <v>2046</v>
      </c>
      <c r="H64" s="6">
        <v>2089</v>
      </c>
      <c r="I64" s="6">
        <v>2081</v>
      </c>
      <c r="J64" s="6">
        <v>2061</v>
      </c>
      <c r="K64" s="6">
        <v>2108</v>
      </c>
      <c r="L64" s="6">
        <v>2097</v>
      </c>
      <c r="M64" s="6">
        <v>2084</v>
      </c>
      <c r="N64" s="15" t="str">
        <f t="shared" si="2"/>
        <v/>
      </c>
      <c r="O64" s="15">
        <f t="shared" si="2"/>
        <v>-1.0536879076768702E-2</v>
      </c>
      <c r="P64" s="15">
        <f t="shared" si="2"/>
        <v>-8.4577114427860645E-3</v>
      </c>
      <c r="Q64" s="15">
        <f t="shared" si="2"/>
        <v>-1.7595307917888547E-2</v>
      </c>
      <c r="R64" s="15">
        <f t="shared" si="3"/>
        <v>-2.0584011488750553E-2</v>
      </c>
      <c r="S64" s="15">
        <f t="shared" si="3"/>
        <v>3.844305622296984E-3</v>
      </c>
      <c r="T64" s="15">
        <f t="shared" si="3"/>
        <v>9.7040271712760529E-3</v>
      </c>
      <c r="U64" s="15">
        <f t="shared" si="3"/>
        <v>-2.2296015180265694E-2</v>
      </c>
      <c r="V64" s="15">
        <f t="shared" si="4"/>
        <v>5.2455889365761177E-3</v>
      </c>
      <c r="W64" s="15">
        <f t="shared" si="4"/>
        <v>6.2380038387714887E-3</v>
      </c>
      <c r="X64" s="5">
        <f t="shared" si="5"/>
        <v>-6.0486666152821016E-3</v>
      </c>
      <c r="Y64" s="5">
        <f t="shared" si="6"/>
        <v>0.74201683560258114</v>
      </c>
      <c r="Z64" s="5">
        <f t="shared" si="7"/>
        <v>-1.0536879076768702E-2</v>
      </c>
    </row>
    <row r="65" spans="1:26" x14ac:dyDescent="0.25">
      <c r="A65" t="s">
        <v>123</v>
      </c>
      <c r="B65" t="s">
        <v>124</v>
      </c>
      <c r="C65" s="65"/>
      <c r="D65" s="6">
        <v>1376</v>
      </c>
      <c r="E65" s="6">
        <v>1464</v>
      </c>
      <c r="F65" s="6">
        <v>1907</v>
      </c>
      <c r="G65" s="6">
        <v>1907</v>
      </c>
      <c r="H65" s="6">
        <v>141.1</v>
      </c>
      <c r="I65" s="6">
        <v>141.69999999999999</v>
      </c>
      <c r="J65" s="6">
        <v>134.5</v>
      </c>
      <c r="K65" s="6">
        <v>126.5</v>
      </c>
      <c r="L65" s="6">
        <v>130.1</v>
      </c>
      <c r="M65" s="6">
        <v>129.80000000000001</v>
      </c>
      <c r="N65" s="15" t="str">
        <f t="shared" si="2"/>
        <v/>
      </c>
      <c r="O65" s="15">
        <f t="shared" si="2"/>
        <v>-6.0109289617486295E-2</v>
      </c>
      <c r="P65" s="15">
        <f t="shared" si="2"/>
        <v>-0.23230204509701102</v>
      </c>
      <c r="Q65" s="15">
        <f t="shared" si="2"/>
        <v>0</v>
      </c>
      <c r="R65" s="15">
        <f t="shared" si="3"/>
        <v>12.515237420269314</v>
      </c>
      <c r="S65" s="15">
        <f t="shared" si="3"/>
        <v>-4.2342978122794639E-3</v>
      </c>
      <c r="T65" s="15">
        <f t="shared" si="3"/>
        <v>5.3531598513011147E-2</v>
      </c>
      <c r="U65" s="15">
        <f t="shared" si="3"/>
        <v>6.3241106719367668E-2</v>
      </c>
      <c r="V65" s="15">
        <f t="shared" si="4"/>
        <v>-2.7671022290545744E-2</v>
      </c>
      <c r="W65" s="15">
        <f t="shared" si="4"/>
        <v>2.3112480739597707E-3</v>
      </c>
      <c r="X65" s="5">
        <f t="shared" si="5"/>
        <v>1.3677783020842587</v>
      </c>
      <c r="Y65" s="5">
        <f t="shared" si="6"/>
        <v>1.0439466611847037</v>
      </c>
      <c r="Z65" s="5">
        <f t="shared" si="7"/>
        <v>-6.0109289617486295E-2</v>
      </c>
    </row>
    <row r="66" spans="1:26" x14ac:dyDescent="0.25">
      <c r="A66" t="s">
        <v>125</v>
      </c>
      <c r="B66" t="s">
        <v>126</v>
      </c>
      <c r="C66" s="65"/>
      <c r="D66" s="6">
        <v>164.79</v>
      </c>
      <c r="E66" s="6">
        <v>166.59</v>
      </c>
      <c r="F66" s="6">
        <v>168.88</v>
      </c>
      <c r="G66" s="6">
        <v>138.46</v>
      </c>
      <c r="H66" s="6">
        <v>131.19999999999999</v>
      </c>
      <c r="I66" s="6"/>
      <c r="J66" s="6"/>
      <c r="K66" s="6"/>
      <c r="L66" s="6"/>
      <c r="M66" s="6"/>
      <c r="N66" s="15" t="str">
        <f t="shared" si="2"/>
        <v/>
      </c>
      <c r="O66" s="15">
        <f t="shared" si="2"/>
        <v>-1.0804970286331761E-2</v>
      </c>
      <c r="P66" s="15">
        <f t="shared" si="2"/>
        <v>-1.3559924206537177E-2</v>
      </c>
      <c r="Q66" s="15">
        <f t="shared" si="2"/>
        <v>0.21970244113823467</v>
      </c>
      <c r="R66" s="15">
        <f t="shared" si="3"/>
        <v>5.5335365853658613E-2</v>
      </c>
      <c r="S66" s="15" t="str">
        <f t="shared" si="3"/>
        <v/>
      </c>
      <c r="T66" s="15" t="str">
        <f t="shared" si="3"/>
        <v/>
      </c>
      <c r="U66" s="15" t="str">
        <f t="shared" si="3"/>
        <v/>
      </c>
      <c r="V66" s="15" t="str">
        <f t="shared" si="4"/>
        <v/>
      </c>
      <c r="W66" s="15" t="str">
        <f t="shared" si="4"/>
        <v/>
      </c>
      <c r="X66" s="5">
        <f t="shared" si="5"/>
        <v>6.2668228124756087E-2</v>
      </c>
      <c r="Y66" s="5">
        <f t="shared" si="6"/>
        <v>1.1724154425560251</v>
      </c>
      <c r="Z66" s="5">
        <f t="shared" si="7"/>
        <v>-1.0804970286331761E-2</v>
      </c>
    </row>
    <row r="67" spans="1:26" x14ac:dyDescent="0.25">
      <c r="A67" t="s">
        <v>127</v>
      </c>
      <c r="B67" t="s">
        <v>128</v>
      </c>
      <c r="C67" s="65"/>
      <c r="D67" s="6">
        <v>612.5</v>
      </c>
      <c r="E67" s="6">
        <v>640.79999999999995</v>
      </c>
      <c r="F67" s="6">
        <v>648.5</v>
      </c>
      <c r="G67" s="6">
        <v>644.79999999999995</v>
      </c>
      <c r="H67" s="6">
        <v>651.20000000000005</v>
      </c>
      <c r="I67" s="6">
        <v>650.79999999999995</v>
      </c>
      <c r="J67" s="6">
        <v>595</v>
      </c>
      <c r="K67" s="6">
        <v>680</v>
      </c>
      <c r="L67" s="6">
        <v>712</v>
      </c>
      <c r="M67" s="6">
        <v>738</v>
      </c>
      <c r="N67" s="15" t="str">
        <f t="shared" si="2"/>
        <v/>
      </c>
      <c r="O67" s="15">
        <f t="shared" si="2"/>
        <v>-4.4163545568039919E-2</v>
      </c>
      <c r="P67" s="15">
        <f t="shared" si="2"/>
        <v>-1.1873554356206739E-2</v>
      </c>
      <c r="Q67" s="15">
        <f t="shared" si="2"/>
        <v>5.7382133995038664E-3</v>
      </c>
      <c r="R67" s="15">
        <f t="shared" si="3"/>
        <v>-9.8280098280100203E-3</v>
      </c>
      <c r="S67" s="15">
        <f t="shared" si="3"/>
        <v>6.1462814996948723E-4</v>
      </c>
      <c r="T67" s="15">
        <f t="shared" si="3"/>
        <v>9.3781512605041861E-2</v>
      </c>
      <c r="U67" s="15">
        <f t="shared" si="3"/>
        <v>-0.125</v>
      </c>
      <c r="V67" s="15">
        <f t="shared" si="4"/>
        <v>-4.49438202247191E-2</v>
      </c>
      <c r="W67" s="15">
        <f t="shared" si="4"/>
        <v>-3.5230352303523005E-2</v>
      </c>
      <c r="X67" s="5">
        <f t="shared" si="5"/>
        <v>-1.8989436458442619E-2</v>
      </c>
      <c r="Y67" s="5">
        <f t="shared" si="6"/>
        <v>1.3256901627749467</v>
      </c>
      <c r="Z67" s="5">
        <f t="shared" si="7"/>
        <v>-4.4163545568039919E-2</v>
      </c>
    </row>
    <row r="68" spans="1:26" x14ac:dyDescent="0.25">
      <c r="A68" t="s">
        <v>129</v>
      </c>
      <c r="B68" t="s">
        <v>130</v>
      </c>
      <c r="C68" s="65"/>
      <c r="D68" s="6">
        <v>365.3</v>
      </c>
      <c r="E68" s="6">
        <v>380.8</v>
      </c>
      <c r="F68" s="6">
        <v>389.3</v>
      </c>
      <c r="G68" s="6">
        <v>395.7</v>
      </c>
      <c r="H68" s="6">
        <v>406.9</v>
      </c>
      <c r="I68" s="6">
        <v>416.3</v>
      </c>
      <c r="J68" s="6">
        <v>413.6</v>
      </c>
      <c r="K68" s="6">
        <v>420.9</v>
      </c>
      <c r="L68" s="6">
        <v>455.6</v>
      </c>
      <c r="M68" s="6">
        <v>461.5</v>
      </c>
      <c r="N68" s="15" t="str">
        <f t="shared" si="2"/>
        <v/>
      </c>
      <c r="O68" s="15">
        <f t="shared" si="2"/>
        <v>-4.0703781512605008E-2</v>
      </c>
      <c r="P68" s="15">
        <f t="shared" si="2"/>
        <v>-2.183406113537123E-2</v>
      </c>
      <c r="Q68" s="15">
        <f t="shared" ref="Q68" si="8">IF(F68&lt;&gt;"",IF(G68&lt;&gt;"",(F68/G68)-1,""),"")</f>
        <v>-1.6173869092746984E-2</v>
      </c>
      <c r="R68" s="15">
        <f t="shared" si="3"/>
        <v>-2.7525190464487537E-2</v>
      </c>
      <c r="S68" s="15">
        <f t="shared" si="3"/>
        <v>-2.2579870285851622E-2</v>
      </c>
      <c r="T68" s="15">
        <f t="shared" si="3"/>
        <v>6.5280464216634915E-3</v>
      </c>
      <c r="U68" s="15">
        <f t="shared" ref="U68" si="9">IF(J68&lt;&gt;"",IF(K68&lt;&gt;"",(J68/K68)-1,""),"")</f>
        <v>-1.7343787122831911E-2</v>
      </c>
      <c r="V68" s="15">
        <f t="shared" si="4"/>
        <v>-7.6163301141352169E-2</v>
      </c>
      <c r="W68" s="15">
        <f t="shared" si="4"/>
        <v>-1.2784398699891564E-2</v>
      </c>
      <c r="X68" s="5">
        <f t="shared" si="5"/>
        <v>-2.5397801448163837E-2</v>
      </c>
      <c r="Y68" s="5">
        <f t="shared" si="6"/>
        <v>0.60264980398717682</v>
      </c>
      <c r="Z68" s="5">
        <f t="shared" si="7"/>
        <v>-4.0703781512605008E-2</v>
      </c>
    </row>
  </sheetData>
  <autoFilter ref="A3:Z3"/>
  <mergeCells count="1">
    <mergeCell ref="N1:W1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4.7109375" bestFit="1" customWidth="1"/>
    <col min="17" max="17" width="18" customWidth="1"/>
    <col min="18" max="18" width="30.140625" customWidth="1"/>
  </cols>
  <sheetData>
    <row r="1" spans="1:18" x14ac:dyDescent="0.25">
      <c r="A1" s="1"/>
      <c r="B1" s="1"/>
      <c r="C1" s="76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8"/>
      <c r="P1" s="1"/>
      <c r="Q1" s="1"/>
      <c r="R1" s="1"/>
    </row>
    <row r="2" spans="1:18" x14ac:dyDescent="0.25">
      <c r="A2" s="1"/>
      <c r="B2" s="1"/>
      <c r="C2" s="59">
        <v>2017</v>
      </c>
      <c r="D2" s="38">
        <v>2016</v>
      </c>
      <c r="E2" s="38">
        <v>2015</v>
      </c>
      <c r="F2" s="38">
        <v>2014</v>
      </c>
      <c r="G2" s="38">
        <v>2013</v>
      </c>
      <c r="H2" s="38">
        <v>2012</v>
      </c>
      <c r="I2" s="38">
        <v>2011</v>
      </c>
      <c r="J2" s="38">
        <v>2010</v>
      </c>
      <c r="K2" s="38">
        <v>2009</v>
      </c>
      <c r="L2" s="38">
        <v>2008</v>
      </c>
      <c r="M2" s="38">
        <v>2007</v>
      </c>
      <c r="N2" s="38">
        <v>2006</v>
      </c>
      <c r="O2" s="60">
        <v>2005</v>
      </c>
      <c r="P2" s="1"/>
      <c r="Q2" s="1"/>
      <c r="R2" s="1"/>
    </row>
    <row r="3" spans="1:18" x14ac:dyDescent="0.25">
      <c r="A3" s="1" t="s">
        <v>0</v>
      </c>
      <c r="B3" s="1" t="s">
        <v>1</v>
      </c>
      <c r="C3" s="59" t="s">
        <v>201</v>
      </c>
      <c r="D3" s="38" t="s">
        <v>141</v>
      </c>
      <c r="E3" s="38" t="s">
        <v>142</v>
      </c>
      <c r="F3" s="38" t="s">
        <v>131</v>
      </c>
      <c r="G3" s="38" t="s">
        <v>132</v>
      </c>
      <c r="H3" s="38" t="s">
        <v>133</v>
      </c>
      <c r="I3" s="38" t="s">
        <v>134</v>
      </c>
      <c r="J3" s="38" t="s">
        <v>135</v>
      </c>
      <c r="K3" s="38" t="s">
        <v>136</v>
      </c>
      <c r="L3" s="38" t="s">
        <v>137</v>
      </c>
      <c r="M3" s="38" t="s">
        <v>138</v>
      </c>
      <c r="N3" s="38" t="s">
        <v>139</v>
      </c>
      <c r="O3" s="60" t="s">
        <v>140</v>
      </c>
      <c r="P3" s="1" t="s">
        <v>143</v>
      </c>
      <c r="Q3" s="1" t="s">
        <v>190</v>
      </c>
      <c r="R3" s="1" t="s">
        <v>145</v>
      </c>
    </row>
    <row r="4" spans="1:18" x14ac:dyDescent="0.25">
      <c r="A4" t="s">
        <v>106</v>
      </c>
      <c r="B4" t="s">
        <v>197</v>
      </c>
      <c r="C4" s="80">
        <f>IF(VLOOKUP(A4,Ergebnis_je_Aktie_verwässert!A3:AJ68,6,FALSE)&gt;0, IF(VLOOKUP(A4,Schlußkurse!A5:AU70,35,FALSE) &gt;0,VLOOKUP(A4,Schlußkurse!A5:AU70,35,FALSE) /VLOOKUP(A4,Ergebnis_je_Aktie_verwässert!A3:AJ68,6,FALSE),""),"")</f>
        <v>14.799218407079644</v>
      </c>
      <c r="D4" s="81">
        <f>IF(VLOOKUP(A4,Ergebnis_je_Aktie_verwässert!A3:AJ68,7,FALSE)&gt;0,IF(VLOOKUP(A4,Schlußkurse!A5:AU70,36,FALSE) &gt;0,VLOOKUP(A4,Schlußkurse!A5:AU70,36,FALSE)/VLOOKUP(A4,Ergebnis_je_Aktie_verwässert!A3:AJ68,7,FALSE),""),"")</f>
        <v>16.475977142857143</v>
      </c>
      <c r="E4" s="81">
        <f>IF(VLOOKUP(A4,Ergebnis_je_Aktie_verwässert!A3:AJ68,8,FALSE)&gt;0,IF(VLOOKUP(A4,Schlußkurse!A5:AU70,37,FALSE) &gt;0,VLOOKUP(A4,Schlußkurse!A5:AU70,37,FALSE)/VLOOKUP(A4,Ergebnis_je_Aktie_verwässert!A3:AJ68,8,FALSE),""),"")</f>
        <v>18.191186440677967</v>
      </c>
      <c r="F4" s="81">
        <f>IF(VLOOKUP(A4,Ergebnis_je_Aktie_verwässert!A3:AJ68,9,FALSE)&gt;0,IF(VLOOKUP(A4,Schlußkurse!A5:AU70,38,FALSE) &gt;0,VLOOKUP(A4,Schlußkurse!A5:AU70,38,FALSE)/VLOOKUP(A4,Ergebnis_je_Aktie_verwässert!A3:AJ68,9,FALSE),""),"")</f>
        <v>22.664181818181813</v>
      </c>
      <c r="G4" s="81">
        <f>IF(VLOOKUP(A4,Ergebnis_je_Aktie_verwässert!A3:AJ68,10,FALSE)&gt;0,IF(VLOOKUP(A4,Schlußkurse!A5:AU70,39,FALSE) &gt;0,VLOOKUP(A4,Schlußkurse!A5:AU70,39,FALSE)/VLOOKUP(A4,Ergebnis_je_Aktie_verwässert!A3:AJ68,10,FALSE),""),"")</f>
        <v>22.519714285714286</v>
      </c>
      <c r="H4" s="81">
        <f>IF(VLOOKUP(A4,Ergebnis_je_Aktie_verwässert!A3:AJ68,11,FALSE)&gt;0,IF(VLOOKUP(A4,Schlußkurse!A5:AU70,40,FALSE) &gt;0,VLOOKUP(A4,Schlußkurse!A5:AU70,40,FALSE)/VLOOKUP(A4,Ergebnis_je_Aktie_verwässert!A3:AJ68,11,FALSE),""),"")</f>
        <v>14.414493110236219</v>
      </c>
      <c r="I4" s="81">
        <f>IF(VLOOKUP(A4,Ergebnis_je_Aktie_verwässert!A3:AJ68,12,FALSE)&gt;0,IF(VLOOKUP(A4,Schlußkurse!A5:AU70,41,FALSE) &gt;0,VLOOKUP(A4,Schlußkurse!A5:AU70,41,FALSE)/VLOOKUP(A4,Ergebnis_je_Aktie_verwässert!A3:AJ68,12,FALSE),""),"")</f>
        <v>16.910863662622763</v>
      </c>
      <c r="J4" s="81">
        <f>IF(VLOOKUP(A4,Ergebnis_je_Aktie_verwässert!A3:AJ68,13,FALSE)&gt;0,IF(VLOOKUP(A4,Schlußkurse!A5:AU70,42,FALSE) &gt;0,VLOOKUP(A4,Schlußkurse!A5:AU70,42,FALSE)/VLOOKUP(A4,Ergebnis_je_Aktie_verwässert!A3:AJ68,13,FALSE),""),"")</f>
        <v>18.718054703135419</v>
      </c>
      <c r="K4" s="81">
        <f>IF(VLOOKUP(A4,Ergebnis_je_Aktie_verwässert!A3:AJ68,14,FALSE)&gt;0,IF(VLOOKUP(A4,Schlußkurse!A5:AU70,43,FALSE) &gt;0,VLOOKUP(A4,Schlußkurse!A5:AU70,43,FALSE)/VLOOKUP(A4,Ergebnis_je_Aktie_verwässert!A3:AJ68,14,FALSE),""),"")</f>
        <v>12.794347469220247</v>
      </c>
      <c r="L4" s="81">
        <f>IF(VLOOKUP(A4,Ergebnis_je_Aktie_verwässert!A3:AJ68,15,FALSE)&gt;0,IF(VLOOKUP(A4,Schlußkurse!A5:AU70,44,FALSE) &gt;0,VLOOKUP(A4,Schlußkurse!A5:AU70,44,FALSE)/VLOOKUP(A4,Ergebnis_je_Aktie_verwässert!A3:AJ68,15,FALSE),""),"")</f>
        <v>17.398738892686257</v>
      </c>
      <c r="M4" s="81">
        <f>IF(VLOOKUP(A4,Ergebnis_je_Aktie_verwässert!A3:AJ68,16,FALSE)&gt;0,IF(VLOOKUP(A4,Schlußkurse!A5:AU70,45,FALSE) &gt;0,VLOOKUP(A4,Schlußkurse!A5:AU70,45,FALSE)/VLOOKUP(A4,Ergebnis_je_Aktie_verwässert!A3:AJ68,16,FALSE),""),"")</f>
        <v>16.291829246935201</v>
      </c>
      <c r="N4" s="81">
        <f>IF(VLOOKUP(A4,Ergebnis_je_Aktie_verwässert!A3:AJ68,17,FALSE)&gt;0,IF(VLOOKUP(A4,Schlußkurse!A5:AU70,46,FALSE) &gt;0,VLOOKUP(A4,Schlußkurse!A5:AU70,46,FALSE)/VLOOKUP(A4,Ergebnis_je_Aktie_verwässert!A3:AJ68,17,FALSE),""),"")</f>
        <v>19.59425196850394</v>
      </c>
      <c r="O4" s="82">
        <f>IF(VLOOKUP(A4,Ergebnis_je_Aktie_verwässert!A3:AJ68,18,FALSE)&gt;0,IF(VLOOKUP(A4,Schlußkurse!A5:AU70,47,FALSE) &gt;0,VLOOKUP(A4,Schlußkurse!A5:AU70,47,FALSE)/VLOOKUP(A4,Ergebnis_je_Aktie_verwässert!A3:AJ68,18,FALSE),""),"")</f>
        <v>17.28247960848287</v>
      </c>
      <c r="P4" s="3">
        <f>MEDIAN(C4:O4)</f>
        <v>17.28247960848287</v>
      </c>
      <c r="Q4" s="3">
        <f ca="1">VLOOKUP(A4,Schlußkurse!A5:AU70,35,FALSE)/VLOOKUP(A4,Ergebnis_je_Aktie_verwässert!A3:AK68,23,FALSE)</f>
        <v>18.349605437532386</v>
      </c>
      <c r="R4" s="5">
        <f t="shared" ref="R4:R35" ca="1" si="0">(Q4/P4)-1</f>
        <v>6.1746106648129961E-2</v>
      </c>
    </row>
    <row r="5" spans="1:18" x14ac:dyDescent="0.25">
      <c r="A5" t="s">
        <v>2</v>
      </c>
      <c r="B5" t="s">
        <v>3</v>
      </c>
      <c r="C5" s="80">
        <f>IF(VLOOKUP(A5,Ergebnis_je_Aktie_verwässert!A3:AJ68,6,FALSE)&gt;0, IF(VLOOKUP(A5,Schlußkurse!A5:AU70,35,FALSE) &gt;0,VLOOKUP(A5,Schlußkurse!A5:AU70,35,FALSE) /VLOOKUP(A5,Ergebnis_je_Aktie_verwässert!A3:AJ68,6,FALSE),""),"")</f>
        <v>18.398174476190476</v>
      </c>
      <c r="D5" s="81">
        <f>IF(VLOOKUP(A5,Ergebnis_je_Aktie_verwässert!A3:AJ68,7,FALSE)&gt;0,IF(VLOOKUP(A5,Schlußkurse!A5:AU70,36,FALSE) &gt;0,VLOOKUP(A5,Schlußkurse!A5:AU70,36,FALSE)/VLOOKUP(A5,Ergebnis_je_Aktie_verwässert!A3:AJ68,7,FALSE),""),"")</f>
        <v>21.228662857142858</v>
      </c>
      <c r="E5" s="81">
        <f>IF(VLOOKUP(A5,Ergebnis_je_Aktie_verwässert!A3:AJ68,8,FALSE)&gt;0,IF(VLOOKUP(A5,Schlußkurse!A5:AU70,37,FALSE) &gt;0,VLOOKUP(A5,Schlußkurse!A5:AU70,37,FALSE)/VLOOKUP(A5,Ergebnis_je_Aktie_verwässert!A3:AJ68,8,FALSE),""),"")</f>
        <v>20.37775657894737</v>
      </c>
      <c r="F5" s="81">
        <f>IF(VLOOKUP(A5,Ergebnis_je_Aktie_verwässert!A3:AJ68,9,FALSE)&gt;0,IF(VLOOKUP(A5,Schlußkurse!A5:AU70,38,FALSE) &gt;0,VLOOKUP(A5,Schlußkurse!A5:AU70,38,FALSE)/VLOOKUP(A5,Ergebnis_je_Aktie_verwässert!A3:AJ68,9,FALSE),""),"")</f>
        <v>18.551647331786544</v>
      </c>
      <c r="G5" s="81">
        <f>IF(VLOOKUP(A5,Ergebnis_je_Aktie_verwässert!A3:AJ68,10,FALSE)&gt;0,IF(VLOOKUP(A5,Schlußkurse!A5:AU70,39,FALSE) &gt;0,VLOOKUP(A5,Schlußkurse!A5:AU70,39,FALSE)/VLOOKUP(A5,Ergebnis_je_Aktie_verwässert!A3:AJ68,10,FALSE),""),"")</f>
        <v>16.958618918918919</v>
      </c>
      <c r="H5" s="81">
        <f>IF(VLOOKUP(A5,Ergebnis_je_Aktie_verwässert!A3:AJ68,11,FALSE)&gt;0,IF(VLOOKUP(A5,Schlußkurse!A5:AU70,40,FALSE) &gt;0,VLOOKUP(A5,Schlußkurse!A5:AU70,40,FALSE)/VLOOKUP(A5,Ergebnis_je_Aktie_verwässert!A3:AJ68,11,FALSE),""),"")</f>
        <v>14.703308483290488</v>
      </c>
      <c r="I5" s="81">
        <f>IF(VLOOKUP(A5,Ergebnis_je_Aktie_verwässert!A3:AJ68,12,FALSE)&gt;0,IF(VLOOKUP(A5,Schlußkurse!A5:AU70,41,FALSE) &gt;0,VLOOKUP(A5,Schlußkurse!A5:AU70,41,FALSE)/VLOOKUP(A5,Ergebnis_je_Aktie_verwässert!A3:AJ68,12,FALSE),""),"")</f>
        <v>15.558990740740743</v>
      </c>
      <c r="J5" s="81">
        <f>IF(VLOOKUP(A5,Ergebnis_je_Aktie_verwässert!A3:AJ68,13,FALSE)&gt;0,IF(VLOOKUP(A5,Schlußkurse!A5:AU70,42,FALSE) &gt;0,VLOOKUP(A5,Schlußkurse!A5:AU70,42,FALSE)/VLOOKUP(A5,Ergebnis_je_Aktie_verwässert!A3:AJ68,13,FALSE),""),"")</f>
        <v>12.801361502347419</v>
      </c>
      <c r="K5" s="81">
        <f>IF(VLOOKUP(A5,Ergebnis_je_Aktie_verwässert!A3:AJ68,14,FALSE)&gt;0,IF(VLOOKUP(A5,Schlußkurse!A5:AU70,43,FALSE) &gt;0,VLOOKUP(A5,Schlußkurse!A5:AU70,43,FALSE)/VLOOKUP(A5,Ergebnis_je_Aktie_verwässert!A3:AJ68,14,FALSE),""),"")</f>
        <v>13.330672086720869</v>
      </c>
      <c r="L5" s="81">
        <f>IF(VLOOKUP(A5,Ergebnis_je_Aktie_verwässert!A3:AJ68,15,FALSE)&gt;0,IF(VLOOKUP(A5,Schlußkurse!A5:AU70,44,FALSE) &gt;0,VLOOKUP(A5,Schlußkurse!A5:AU70,44,FALSE)/VLOOKUP(A5,Ergebnis_je_Aktie_verwässert!A3:AJ68,15,FALSE),""),"")</f>
        <v>15.262069637883009</v>
      </c>
      <c r="M5" s="81">
        <f>IF(VLOOKUP(A5,Ergebnis_je_Aktie_verwässert!A3:AJ68,16,FALSE)&gt;0,IF(VLOOKUP(A5,Schlußkurse!A5:AU70,45,FALSE) &gt;0,VLOOKUP(A5,Schlußkurse!A5:AU70,45,FALSE)/VLOOKUP(A5,Ergebnis_je_Aktie_verwässert!A3:AJ68,16,FALSE),""),"")</f>
        <v>20.517500000000002</v>
      </c>
      <c r="N5" s="81">
        <f>IF(VLOOKUP(A5,Ergebnis_je_Aktie_verwässert!A3:AJ68,17,FALSE)&gt;0,IF(VLOOKUP(A5,Schlußkurse!A5:AU70,46,FALSE) &gt;0,VLOOKUP(A5,Schlußkurse!A5:AU70,46,FALSE)/VLOOKUP(A5,Ergebnis_je_Aktie_verwässert!A3:AJ68,17,FALSE),""),"")</f>
        <v>17.285213815789472</v>
      </c>
      <c r="O5" s="82">
        <f>IF(VLOOKUP(A5,Ergebnis_je_Aktie_verwässert!A3:AJ68,18,FALSE)&gt;0,IF(VLOOKUP(A5,Schlußkurse!A5:AU70,47,FALSE) &gt;0,VLOOKUP(A5,Schlußkurse!A5:AU70,47,FALSE)/VLOOKUP(A5,Ergebnis_je_Aktie_verwässert!A3:AJ68,18,FALSE),""),"")</f>
        <v>19.180190839694657</v>
      </c>
      <c r="P5" s="3">
        <f t="shared" ref="P5:P68" si="1">MEDIAN(C5:O5)</f>
        <v>17.285213815789472</v>
      </c>
      <c r="Q5" s="3">
        <f ca="1">VLOOKUP(A5,Schlußkurse!A5:AU70,35,FALSE)/VLOOKUP(A5,Ergebnis_je_Aktie_verwässert!A3:AK68,23,FALSE)</f>
        <v>21.191532394400532</v>
      </c>
      <c r="R5" s="5">
        <f t="shared" ca="1" si="0"/>
        <v>0.22599191541632924</v>
      </c>
    </row>
    <row r="6" spans="1:18" x14ac:dyDescent="0.25">
      <c r="A6" t="s">
        <v>4</v>
      </c>
      <c r="B6" t="s">
        <v>5</v>
      </c>
      <c r="C6" s="80">
        <f>IF(VLOOKUP(A6,Ergebnis_je_Aktie_verwässert!A3:AJ68,6,FALSE)&gt;0, IF(VLOOKUP(A6,Schlußkurse!A5:AU70,35,FALSE) &gt;0,VLOOKUP(A6,Schlußkurse!A5:AU70,35,FALSE) /VLOOKUP(A6,Ergebnis_je_Aktie_verwässert!A3:AJ68,6,FALSE),""),"")</f>
        <v>17.162337662337663</v>
      </c>
      <c r="D6" s="81">
        <f>IF(VLOOKUP(A6,Ergebnis_je_Aktie_verwässert!A3:AJ68,7,FALSE)&gt;0,IF(VLOOKUP(A6,Schlußkurse!A5:AU70,36,FALSE) &gt;0,VLOOKUP(A6,Schlußkurse!A5:AU70,36,FALSE)/VLOOKUP(A6,Ergebnis_je_Aktie_verwässert!A3:AJ68,7,FALSE),""),"")</f>
        <v>18.482517482517483</v>
      </c>
      <c r="E6" s="81">
        <f>IF(VLOOKUP(A6,Ergebnis_je_Aktie_verwässert!A3:AJ68,8,FALSE)&gt;0,IF(VLOOKUP(A6,Schlußkurse!A5:AU70,37,FALSE) &gt;0,VLOOKUP(A6,Schlußkurse!A5:AU70,37,FALSE)/VLOOKUP(A6,Ergebnis_je_Aktie_verwässert!A3:AJ68,8,FALSE),""),"")</f>
        <v>20.603053435114504</v>
      </c>
      <c r="F6" s="81">
        <f>IF(VLOOKUP(A6,Ergebnis_je_Aktie_verwässert!A3:AJ68,9,FALSE)&gt;0,IF(VLOOKUP(A6,Schlußkurse!A5:AU70,38,FALSE) &gt;0,VLOOKUP(A6,Schlußkurse!A5:AU70,38,FALSE)/VLOOKUP(A6,Ergebnis_je_Aktie_verwässert!A3:AJ68,9,FALSE),""),"")</f>
        <v>23.052728954671597</v>
      </c>
      <c r="G6" s="81">
        <f>IF(VLOOKUP(A6,Ergebnis_je_Aktie_verwässert!A3:AJ68,10,FALSE)&gt;0,IF(VLOOKUP(A6,Schlußkurse!A5:AU70,39,FALSE) &gt;0,VLOOKUP(A6,Schlußkurse!A5:AU70,39,FALSE)/VLOOKUP(A6,Ergebnis_je_Aktie_verwässert!A3:AJ68,10,FALSE),""),"")</f>
        <v>14.23047177107502</v>
      </c>
      <c r="H6" s="81">
        <f>IF(VLOOKUP(A6,Ergebnis_je_Aktie_verwässert!A3:AJ68,11,FALSE)&gt;0,IF(VLOOKUP(A6,Schlußkurse!A5:AU70,40,FALSE) &gt;0,VLOOKUP(A6,Schlußkurse!A5:AU70,40,FALSE)/VLOOKUP(A6,Ergebnis_je_Aktie_verwässert!A3:AJ68,11,FALSE),""),"")</f>
        <v>14.265232974910393</v>
      </c>
      <c r="I6" s="81">
        <f>IF(VLOOKUP(A6,Ergebnis_je_Aktie_verwässert!A3:AJ68,12,FALSE)&gt;0,IF(VLOOKUP(A6,Schlußkurse!A5:AU70,41,FALSE) &gt;0,VLOOKUP(A6,Schlußkurse!A5:AU70,41,FALSE)/VLOOKUP(A6,Ergebnis_je_Aktie_verwässert!A3:AJ68,12,FALSE),""),"")</f>
        <v>12.477231329690346</v>
      </c>
      <c r="J6" s="81">
        <f>IF(VLOOKUP(A6,Ergebnis_je_Aktie_verwässert!A3:AJ68,13,FALSE)&gt;0,IF(VLOOKUP(A6,Schlußkurse!A5:AU70,42,FALSE) &gt;0,VLOOKUP(A6,Schlußkurse!A5:AU70,42,FALSE)/VLOOKUP(A6,Ergebnis_je_Aktie_verwässert!A3:AJ68,13,FALSE),""),"")</f>
        <v>17.388724035608309</v>
      </c>
      <c r="K6" s="81">
        <f>IF(VLOOKUP(A6,Ergebnis_je_Aktie_verwässert!A3:AJ68,14,FALSE)&gt;0,IF(VLOOKUP(A6,Schlußkurse!A5:AU70,43,FALSE) &gt;0,VLOOKUP(A6,Schlußkurse!A5:AU70,43,FALSE)/VLOOKUP(A6,Ergebnis_je_Aktie_verwässert!A3:AJ68,14,FALSE),""),"")</f>
        <v>18.015521064301552</v>
      </c>
      <c r="L6" s="81">
        <f>IF(VLOOKUP(A6,Ergebnis_je_Aktie_verwässert!A3:AJ68,15,FALSE)&gt;0,IF(VLOOKUP(A6,Schlußkurse!A5:AU70,44,FALSE) &gt;0,VLOOKUP(A6,Schlußkurse!A5:AU70,44,FALSE)/VLOOKUP(A6,Ergebnis_je_Aktie_verwässert!A3:AJ68,15,FALSE),""),"")</f>
        <v>19.120234604105569</v>
      </c>
      <c r="M6" s="81">
        <f>IF(VLOOKUP(A6,Ergebnis_je_Aktie_verwässert!A3:AJ68,16,FALSE)&gt;0,IF(VLOOKUP(A6,Schlußkurse!A5:AU70,45,FALSE) &gt;0,VLOOKUP(A6,Schlußkurse!A5:AU70,45,FALSE)/VLOOKUP(A6,Ergebnis_je_Aktie_verwässert!A3:AJ68,16,FALSE),""),"")</f>
        <v>19.578853046594983</v>
      </c>
      <c r="N6" s="81">
        <f>IF(VLOOKUP(A6,Ergebnis_je_Aktie_verwässert!A3:AJ68,17,FALSE)&gt;0,IF(VLOOKUP(A6,Schlußkurse!A5:AU70,46,FALSE) &gt;0,VLOOKUP(A6,Schlußkurse!A5:AU70,46,FALSE)/VLOOKUP(A6,Ergebnis_je_Aktie_verwässert!A3:AJ68,17,FALSE),""),"")</f>
        <v>21.80110497237569</v>
      </c>
      <c r="O6" s="82">
        <f>IF(VLOOKUP(A6,Ergebnis_je_Aktie_verwässert!A3:AJ68,18,FALSE)&gt;0,IF(VLOOKUP(A6,Schlußkurse!A5:AU70,47,FALSE) &gt;0,VLOOKUP(A6,Schlußkurse!A5:AU70,47,FALSE)/VLOOKUP(A6,Ergebnis_je_Aktie_verwässert!A3:AJ68,18,FALSE),""),"")</f>
        <v>19.508196721311478</v>
      </c>
      <c r="P6" s="3">
        <f t="shared" si="1"/>
        <v>18.482517482517483</v>
      </c>
      <c r="Q6" s="3">
        <f ca="1">VLOOKUP(A6,Schlußkurse!A5:AU70,35,FALSE)/VLOOKUP(A6,Ergebnis_je_Aktie_verwässert!A3:AK68,23,FALSE)</f>
        <v>19.807644266799905</v>
      </c>
      <c r="R6" s="5">
        <f t="shared" ca="1" si="0"/>
        <v>7.1696227829128434E-2</v>
      </c>
    </row>
    <row r="7" spans="1:18" x14ac:dyDescent="0.25">
      <c r="A7" t="s">
        <v>6</v>
      </c>
      <c r="B7" t="s">
        <v>7</v>
      </c>
      <c r="C7" s="80">
        <f>IF(VLOOKUP(A7,Ergebnis_je_Aktie_verwässert!A3:AJ68,6,FALSE)&gt;0, IF(VLOOKUP(A7,Schlußkurse!A5:AU70,35,FALSE) &gt;0,VLOOKUP(A7,Schlußkurse!A5:AU70,35,FALSE) /VLOOKUP(A7,Ergebnis_je_Aktie_verwässert!A3:AJ68,6,FALSE),""),"")</f>
        <v>19.894459102902378</v>
      </c>
      <c r="D7" s="81">
        <f>IF(VLOOKUP(A7,Ergebnis_je_Aktie_verwässert!A3:AJ68,7,FALSE)&gt;0,IF(VLOOKUP(A7,Schlußkurse!A5:AU70,36,FALSE) &gt;0,VLOOKUP(A7,Schlußkurse!A5:AU70,36,FALSE)/VLOOKUP(A7,Ergebnis_je_Aktie_verwässert!A3:AJ68,7,FALSE),""),"")</f>
        <v>20.714285714285715</v>
      </c>
      <c r="E7" s="81">
        <f>IF(VLOOKUP(A7,Ergebnis_je_Aktie_verwässert!A3:AJ68,8,FALSE)&gt;0,IF(VLOOKUP(A7,Schlußkurse!A5:AU70,37,FALSE) &gt;0,VLOOKUP(A7,Schlußkurse!A5:AU70,37,FALSE)/VLOOKUP(A7,Ergebnis_je_Aktie_verwässert!A3:AJ68,8,FALSE),""),"")</f>
        <v>21.582840236686391</v>
      </c>
      <c r="F7" s="81">
        <f>IF(VLOOKUP(A7,Ergebnis_je_Aktie_verwässert!A3:AJ68,9,FALSE)&gt;0,IF(VLOOKUP(A7,Schlußkurse!A5:AU70,38,FALSE) &gt;0,VLOOKUP(A7,Schlußkurse!A5:AU70,38,FALSE)/VLOOKUP(A7,Ergebnis_je_Aktie_verwässert!A3:AJ68,9,FALSE),""),"")</f>
        <v>14.446902654867257</v>
      </c>
      <c r="G7" s="81">
        <f>IF(VLOOKUP(A7,Ergebnis_je_Aktie_verwässert!A3:AJ68,10,FALSE)&gt;0,IF(VLOOKUP(A7,Schlußkurse!A5:AU70,39,FALSE) &gt;0,VLOOKUP(A7,Schlußkurse!A5:AU70,39,FALSE)/VLOOKUP(A7,Ergebnis_je_Aktie_verwässert!A3:AJ68,10,FALSE),""),"")</f>
        <v>19.04153354632588</v>
      </c>
      <c r="H7" s="81">
        <f>IF(VLOOKUP(A7,Ergebnis_je_Aktie_verwässert!A3:AJ68,11,FALSE)&gt;0,IF(VLOOKUP(A7,Schlußkurse!A5:AU70,40,FALSE) &gt;0,VLOOKUP(A7,Schlußkurse!A5:AU70,40,FALSE)/VLOOKUP(A7,Ergebnis_je_Aktie_verwässert!A3:AJ68,11,FALSE),""),"")</f>
        <v>16.265060240963855</v>
      </c>
      <c r="I7" s="81">
        <f>IF(VLOOKUP(A7,Ergebnis_je_Aktie_verwässert!A3:AJ68,12,FALSE)&gt;0,IF(VLOOKUP(A7,Schlußkurse!A5:AU70,41,FALSE) &gt;0,VLOOKUP(A7,Schlußkurse!A5:AU70,41,FALSE)/VLOOKUP(A7,Ergebnis_je_Aktie_verwässert!A3:AJ68,12,FALSE),""),"")</f>
        <v>18.496621621621621</v>
      </c>
      <c r="J7" s="81">
        <f>IF(VLOOKUP(A7,Ergebnis_je_Aktie_verwässert!A3:AJ68,13,FALSE)&gt;0,IF(VLOOKUP(A7,Schlußkurse!A5:AU70,42,FALSE) &gt;0,VLOOKUP(A7,Schlußkurse!A5:AU70,42,FALSE)/VLOOKUP(A7,Ergebnis_je_Aktie_verwässert!A3:AJ68,13,FALSE),""),"")</f>
        <v>23.568075117370896</v>
      </c>
      <c r="K7" s="81">
        <f>IF(VLOOKUP(A7,Ergebnis_je_Aktie_verwässert!A3:AJ68,14,FALSE)&gt;0,IF(VLOOKUP(A7,Schlußkurse!A5:AU70,43,FALSE) &gt;0,VLOOKUP(A7,Schlußkurse!A5:AU70,43,FALSE)/VLOOKUP(A7,Ergebnis_je_Aktie_verwässert!A3:AJ68,14,FALSE),""),"")</f>
        <v>14.295532646048109</v>
      </c>
      <c r="L7" s="81">
        <f>IF(VLOOKUP(A7,Ergebnis_je_Aktie_verwässert!A3:AJ68,15,FALSE)&gt;0,IF(VLOOKUP(A7,Schlußkurse!A5:AU70,44,FALSE) &gt;0,VLOOKUP(A7,Schlußkurse!A5:AU70,44,FALSE)/VLOOKUP(A7,Ergebnis_je_Aktie_verwässert!A3:AJ68,15,FALSE),""),"")</f>
        <v>21.311475409836067</v>
      </c>
      <c r="M7" s="81">
        <f>IF(VLOOKUP(A7,Ergebnis_je_Aktie_verwässert!A3:AJ68,16,FALSE)&gt;0,IF(VLOOKUP(A7,Schlußkurse!A5:AU70,45,FALSE) &gt;0,VLOOKUP(A7,Schlußkurse!A5:AU70,45,FALSE)/VLOOKUP(A7,Ergebnis_je_Aktie_verwässert!A3:AJ68,16,FALSE),""),"")</f>
        <v>15.688405797101449</v>
      </c>
      <c r="N7" s="81">
        <f>IF(VLOOKUP(A7,Ergebnis_je_Aktie_verwässert!A3:AJ68,17,FALSE)&gt;0,IF(VLOOKUP(A7,Schlußkurse!A5:AU70,46,FALSE) &gt;0,VLOOKUP(A7,Schlußkurse!A5:AU70,46,FALSE)/VLOOKUP(A7,Ergebnis_je_Aktie_verwässert!A3:AJ68,17,FALSE),""),"")</f>
        <v>16.652542372881356</v>
      </c>
      <c r="O7" s="82">
        <f>IF(VLOOKUP(A7,Ergebnis_je_Aktie_verwässert!A3:AJ68,18,FALSE)&gt;0,IF(VLOOKUP(A7,Schlußkurse!A5:AU70,47,FALSE) &gt;0,VLOOKUP(A7,Schlußkurse!A5:AU70,47,FALSE)/VLOOKUP(A7,Ergebnis_je_Aktie_verwässert!A3:AJ68,18,FALSE),""),"")</f>
        <v>14.583333333333334</v>
      </c>
      <c r="P7" s="3">
        <f t="shared" si="1"/>
        <v>18.496621621621621</v>
      </c>
      <c r="Q7" s="3">
        <f ca="1">VLOOKUP(A7,Schlußkurse!A5:AU70,35,FALSE)/VLOOKUP(A7,Ergebnis_je_Aktie_verwässert!A3:AK68,23,FALSE)</f>
        <v>21.965074689669684</v>
      </c>
      <c r="R7" s="5">
        <f t="shared" ca="1" si="0"/>
        <v>0.18751819326798658</v>
      </c>
    </row>
    <row r="8" spans="1:18" x14ac:dyDescent="0.25">
      <c r="A8" t="s">
        <v>8</v>
      </c>
      <c r="B8" t="s">
        <v>9</v>
      </c>
      <c r="C8" s="80">
        <f>IF(VLOOKUP(A8,Ergebnis_je_Aktie_verwässert!A3:AJ68,6,FALSE)&gt;0, IF(VLOOKUP(A8,Schlußkurse!A5:AU70,35,FALSE) &gt;0,VLOOKUP(A8,Schlußkurse!A5:AU70,35,FALSE) /VLOOKUP(A8,Ergebnis_je_Aktie_verwässert!A3:AJ68,6,FALSE),""),"")</f>
        <v>7.6653944020356235</v>
      </c>
      <c r="D8" s="81">
        <f>IF(VLOOKUP(A8,Ergebnis_je_Aktie_verwässert!A3:AJ68,7,FALSE)&gt;0,IF(VLOOKUP(A8,Schlußkurse!A5:AU70,36,FALSE) &gt;0,VLOOKUP(A8,Schlußkurse!A5:AU70,36,FALSE)/VLOOKUP(A8,Ergebnis_je_Aktie_verwässert!A3:AJ68,7,FALSE),""),"")</f>
        <v>8.509887005649718</v>
      </c>
      <c r="E8" s="81">
        <f>IF(VLOOKUP(A8,Ergebnis_je_Aktie_verwässert!A3:AJ68,8,FALSE)&gt;0,IF(VLOOKUP(A8,Schlußkurse!A5:AU70,37,FALSE) &gt;0,VLOOKUP(A8,Schlußkurse!A5:AU70,37,FALSE)/VLOOKUP(A8,Ergebnis_je_Aktie_verwässert!A3:AJ68,8,FALSE),""),"")</f>
        <v>10.367219917012447</v>
      </c>
      <c r="F8" s="81">
        <f>IF(VLOOKUP(A8,Ergebnis_je_Aktie_verwässert!A3:AJ68,9,FALSE)&gt;0,IF(VLOOKUP(A8,Schlußkurse!A5:AU70,38,FALSE) &gt;0,VLOOKUP(A8,Schlußkurse!A5:AU70,38,FALSE)/VLOOKUP(A8,Ergebnis_je_Aktie_verwässert!A3:AJ68,9,FALSE),""),"")</f>
        <v>26.469465648854957</v>
      </c>
      <c r="G8" s="81">
        <f>IF(VLOOKUP(A8,Ergebnis_je_Aktie_verwässert!A3:AJ68,10,FALSE)&gt;0,IF(VLOOKUP(A8,Schlußkurse!A5:AU70,39,FALSE) &gt;0,VLOOKUP(A8,Schlußkurse!A5:AU70,39,FALSE)/VLOOKUP(A8,Ergebnis_je_Aktie_verwässert!A3:AJ68,10,FALSE),""),"")</f>
        <v>50.692307692307693</v>
      </c>
      <c r="H8" s="81">
        <f>IF(VLOOKUP(A8,Ergebnis_je_Aktie_verwässert!A3:AJ68,11,FALSE)&gt;0,IF(VLOOKUP(A8,Schlußkurse!A5:AU70,40,FALSE) &gt;0,VLOOKUP(A8,Schlußkurse!A5:AU70,40,FALSE)/VLOOKUP(A8,Ergebnis_je_Aktie_verwässert!A3:AJ68,11,FALSE),""),"")</f>
        <v>117.74</v>
      </c>
      <c r="I8" s="81">
        <f>IF(VLOOKUP(A8,Ergebnis_je_Aktie_verwässert!A3:AJ68,12,FALSE)&gt;0,IF(VLOOKUP(A8,Schlußkurse!A5:AU70,41,FALSE) &gt;0,VLOOKUP(A8,Schlußkurse!A5:AU70,41,FALSE)/VLOOKUP(A8,Ergebnis_je_Aktie_verwässert!A3:AJ68,12,FALSE),""),"")</f>
        <v>9.0930232558139537</v>
      </c>
      <c r="J8" s="81">
        <f>IF(VLOOKUP(A8,Ergebnis_je_Aktie_verwässert!A3:AJ68,13,FALSE)&gt;0,IF(VLOOKUP(A8,Schlußkurse!A5:AU70,42,FALSE) &gt;0,VLOOKUP(A8,Schlußkurse!A5:AU70,42,FALSE)/VLOOKUP(A8,Ergebnis_je_Aktie_verwässert!A3:AJ68,13,FALSE),""),"")</f>
        <v>16.924657534246577</v>
      </c>
      <c r="K8" s="81">
        <f>IF(VLOOKUP(A8,Ergebnis_je_Aktie_verwässert!A3:AJ68,14,FALSE)&gt;0,IF(VLOOKUP(A8,Schlußkurse!A5:AU70,43,FALSE) &gt;0,VLOOKUP(A8,Schlußkurse!A5:AU70,43,FALSE)/VLOOKUP(A8,Ergebnis_je_Aktie_verwässert!A3:AJ68,14,FALSE),""),"")</f>
        <v>4.0100864553314119</v>
      </c>
      <c r="L8" s="81" t="str">
        <f>IF(VLOOKUP(A8,Ergebnis_je_Aktie_verwässert!A3:AJ68,15,FALSE)&gt;0,IF(VLOOKUP(A8,Schlußkurse!A5:AU70,44,FALSE) &gt;0,VLOOKUP(A8,Schlußkurse!A5:AU70,44,FALSE)/VLOOKUP(A8,Ergebnis_je_Aktie_verwässert!A3:AJ68,15,FALSE),""),"")</f>
        <v/>
      </c>
      <c r="M8" s="81">
        <f>IF(VLOOKUP(A8,Ergebnis_je_Aktie_verwässert!A3:AJ68,16,FALSE)&gt;0,IF(VLOOKUP(A8,Schlußkurse!A5:AU70,45,FALSE) &gt;0,VLOOKUP(A8,Schlußkurse!A5:AU70,45,FALSE)/VLOOKUP(A8,Ergebnis_je_Aktie_verwässert!A3:AJ68,16,FALSE),""),"")</f>
        <v>7.7655172413793103</v>
      </c>
      <c r="N8" s="81">
        <f>IF(VLOOKUP(A8,Ergebnis_je_Aktie_verwässert!A3:AJ68,17,FALSE)&gt;0,IF(VLOOKUP(A8,Schlußkurse!A5:AU70,46,FALSE) &gt;0,VLOOKUP(A8,Schlußkurse!A5:AU70,46,FALSE)/VLOOKUP(A8,Ergebnis_je_Aktie_verwässert!A3:AJ68,17,FALSE),""),"")</f>
        <v>7.0909090909090908</v>
      </c>
      <c r="O8" s="82">
        <f>IF(VLOOKUP(A8,Ergebnis_je_Aktie_verwässert!A3:AJ68,18,FALSE)&gt;0,IF(VLOOKUP(A8,Schlußkurse!A5:AU70,47,FALSE) &gt;0,VLOOKUP(A8,Schlußkurse!A5:AU70,47,FALSE)/VLOOKUP(A8,Ergebnis_je_Aktie_verwässert!A3:AJ68,18,FALSE),""),"")</f>
        <v>9.3985611510791358</v>
      </c>
      <c r="P8" s="3">
        <f t="shared" si="1"/>
        <v>9.2457922034465447</v>
      </c>
      <c r="Q8" s="3">
        <f ca="1">VLOOKUP(A8,Schlußkurse!A5:AU70,35,FALSE)/VLOOKUP(A8,Ergebnis_je_Aktie_verwässert!A3:AK68,23,FALSE)</f>
        <v>11.414708080287131</v>
      </c>
      <c r="R8" s="5">
        <f t="shared" ca="1" si="0"/>
        <v>0.23458410367822036</v>
      </c>
    </row>
    <row r="9" spans="1:18" x14ac:dyDescent="0.25">
      <c r="A9" t="s">
        <v>10</v>
      </c>
      <c r="B9" t="s">
        <v>11</v>
      </c>
      <c r="C9" s="80">
        <f>IF(VLOOKUP(A9,Ergebnis_je_Aktie_verwässert!A3:AJ68,6,FALSE)&gt;0, IF(VLOOKUP(A9,Schlußkurse!A5:AU70,35,FALSE) &gt;0,VLOOKUP(A9,Schlußkurse!A5:AU70,35,FALSE) /VLOOKUP(A9,Ergebnis_je_Aktie_verwässert!A3:AJ68,6,FALSE),""),"")</f>
        <v>24.436363636363637</v>
      </c>
      <c r="D9" s="81">
        <f>IF(VLOOKUP(A9,Ergebnis_je_Aktie_verwässert!A3:AJ68,7,FALSE)&gt;0,IF(VLOOKUP(A9,Schlußkurse!A5:AU70,36,FALSE) &gt;0,VLOOKUP(A9,Schlußkurse!A5:AU70,36,FALSE)/VLOOKUP(A9,Ergebnis_je_Aktie_verwässert!A3:AJ68,7,FALSE),""),"")</f>
        <v>26.88</v>
      </c>
      <c r="E9" s="81">
        <f>IF(VLOOKUP(A9,Ergebnis_je_Aktie_verwässert!A3:AJ68,8,FALSE)&gt;0,IF(VLOOKUP(A9,Schlußkurse!A5:AU70,37,FALSE) &gt;0,VLOOKUP(A9,Schlußkurse!A5:AU70,37,FALSE)/VLOOKUP(A9,Ergebnis_je_Aktie_verwässert!A3:AJ68,8,FALSE),""),"")</f>
        <v>24.427536231884062</v>
      </c>
      <c r="F9" s="81">
        <f>IF(VLOOKUP(A9,Ergebnis_je_Aktie_verwässert!A3:AJ68,9,FALSE)&gt;0,IF(VLOOKUP(A9,Schlußkurse!A5:AU70,38,FALSE) &gt;0,VLOOKUP(A9,Schlußkurse!A5:AU70,38,FALSE)/VLOOKUP(A9,Ergebnis_je_Aktie_verwässert!A3:AJ68,9,FALSE),""),"")</f>
        <v>31.878787878787879</v>
      </c>
      <c r="G9" s="81">
        <f>IF(VLOOKUP(A9,Ergebnis_je_Aktie_verwässert!A3:AJ68,10,FALSE)&gt;0,IF(VLOOKUP(A9,Schlußkurse!A5:AU70,39,FALSE) &gt;0,VLOOKUP(A9,Schlußkurse!A5:AU70,39,FALSE)/VLOOKUP(A9,Ergebnis_je_Aktie_verwässert!A3:AJ68,10,FALSE),""),"")</f>
        <v>26.557939914163089</v>
      </c>
      <c r="H9" s="81">
        <f>IF(VLOOKUP(A9,Ergebnis_je_Aktie_verwässert!A3:AJ68,11,FALSE)&gt;0,IF(VLOOKUP(A9,Schlußkurse!A5:AU70,40,FALSE) &gt;0,VLOOKUP(A9,Schlußkurse!A5:AU70,40,FALSE)/VLOOKUP(A9,Ergebnis_je_Aktie_verwässert!A3:AJ68,11,FALSE),""),"")</f>
        <v>21.067307692307693</v>
      </c>
      <c r="I9" s="81">
        <f>IF(VLOOKUP(A9,Ergebnis_je_Aktie_verwässert!A3:AJ68,12,FALSE)&gt;0,IF(VLOOKUP(A9,Schlußkurse!A5:AU70,41,FALSE) &gt;0,VLOOKUP(A9,Schlußkurse!A5:AU70,41,FALSE)/VLOOKUP(A9,Ergebnis_je_Aktie_verwässert!A3:AJ68,12,FALSE),""),"")</f>
        <v>22.205882352941174</v>
      </c>
      <c r="J9" s="81">
        <f>IF(VLOOKUP(A9,Ergebnis_je_Aktie_verwässert!A3:AJ68,13,FALSE)&gt;0,IF(VLOOKUP(A9,Schlußkurse!A5:AU70,42,FALSE) &gt;0,VLOOKUP(A9,Schlußkurse!A5:AU70,42,FALSE)/VLOOKUP(A9,Ergebnis_je_Aktie_verwässert!A3:AJ68,13,FALSE),""),"")</f>
        <v>24.961956521739129</v>
      </c>
      <c r="K9" s="81">
        <f>IF(VLOOKUP(A9,Ergebnis_je_Aktie_verwässert!A3:AJ68,14,FALSE)&gt;0,IF(VLOOKUP(A9,Schlußkurse!A5:AU70,43,FALSE) &gt;0,VLOOKUP(A9,Schlußkurse!A5:AU70,43,FALSE)/VLOOKUP(A9,Ergebnis_je_Aktie_verwässert!A3:AJ68,14,FALSE),""),"")</f>
        <v>25.454545454545457</v>
      </c>
      <c r="L9" s="81">
        <f>IF(VLOOKUP(A9,Ergebnis_je_Aktie_verwässert!A3:AJ68,15,FALSE)&gt;0,IF(VLOOKUP(A9,Schlußkurse!A5:AU70,44,FALSE) &gt;0,VLOOKUP(A9,Schlußkurse!A5:AU70,44,FALSE)/VLOOKUP(A9,Ergebnis_je_Aktie_verwässert!A3:AJ68,15,FALSE),""),"")</f>
        <v>24.200913242009133</v>
      </c>
      <c r="M9" s="81">
        <f>IF(VLOOKUP(A9,Ergebnis_je_Aktie_verwässert!A3:AJ68,16,FALSE)&gt;0,IF(VLOOKUP(A9,Schlußkurse!A5:AU70,45,FALSE) &gt;0,VLOOKUP(A9,Schlußkurse!A5:AU70,45,FALSE)/VLOOKUP(A9,Ergebnis_je_Aktie_verwässert!A3:AJ68,16,FALSE),""),"")</f>
        <v>23.169811320754715</v>
      </c>
      <c r="N9" s="81">
        <f>IF(VLOOKUP(A9,Ergebnis_je_Aktie_verwässert!A3:AJ68,17,FALSE)&gt;0,IF(VLOOKUP(A9,Schlußkurse!A5:AU70,46,FALSE) &gt;0,VLOOKUP(A9,Schlußkurse!A5:AU70,46,FALSE)/VLOOKUP(A9,Ergebnis_je_Aktie_verwässert!A3:AJ68,17,FALSE),""),"")</f>
        <v>20.51284023668639</v>
      </c>
      <c r="O9" s="82">
        <f>IF(VLOOKUP(A9,Ergebnis_je_Aktie_verwässert!A3:AJ68,18,FALSE)&gt;0,IF(VLOOKUP(A9,Schlußkurse!A5:AU70,47,FALSE) &gt;0,VLOOKUP(A9,Schlußkurse!A5:AU70,47,FALSE)/VLOOKUP(A9,Ergebnis_je_Aktie_verwässert!A3:AJ68,18,FALSE),""),"")</f>
        <v>19.678137931034485</v>
      </c>
      <c r="P9" s="3">
        <f t="shared" si="1"/>
        <v>24.427536231884062</v>
      </c>
      <c r="Q9" s="3">
        <f ca="1">VLOOKUP(A9,Schlußkurse!A5:AU70,35,FALSE)/VLOOKUP(A9,Ergebnis_je_Aktie_verwässert!A3:AK68,23,FALSE)</f>
        <v>28.711132209826729</v>
      </c>
      <c r="R9" s="5">
        <f t="shared" ca="1" si="0"/>
        <v>0.17535931324713383</v>
      </c>
    </row>
    <row r="10" spans="1:18" x14ac:dyDescent="0.25">
      <c r="A10" t="s">
        <v>12</v>
      </c>
      <c r="B10" t="s">
        <v>13</v>
      </c>
      <c r="C10" s="80">
        <f>IF(VLOOKUP(A10,Ergebnis_je_Aktie_verwässert!A3:AJ68,6,FALSE)&gt;0,IF(VLOOKUP(A10,Schlußkurse!A5:AU70,35,FALSE)&gt;0,VLOOKUP(A10,Schlußkurse!A5:AU70,35,FALSE)/VLOOKUP(A10,Ergebnis_je_Aktie_verwässert!A3:AJ68,6,FALSE),""),"")</f>
        <v>13.410138248847927</v>
      </c>
      <c r="D10" s="81">
        <f>IF(VLOOKUP(A10,Ergebnis_je_Aktie_verwässert!A3:AJ68,7,FALSE)&gt;0,IF(VLOOKUP(A10,Schlußkurse!A5:AU70,36,FALSE)&gt;0,VLOOKUP(A10,Schlußkurse!A5:AU70,36,FALSE)/VLOOKUP(A10,Ergebnis_je_Aktie_verwässert!A3:AJ68,7,FALSE),""),"")</f>
        <v>14.195121951219514</v>
      </c>
      <c r="E10" s="81">
        <f>IF(VLOOKUP(A10,Ergebnis_je_Aktie_verwässert!A3:AJ68,8,FALSE)&gt;0,IF(VLOOKUP(A10,Schlußkurse!A5:AU70,37,FALSE)&gt;0,VLOOKUP(A10,Schlußkurse!A5:AU70,37,FALSE)/VLOOKUP(A10,Ergebnis_je_Aktie_verwässert!A3:AJ68,8,FALSE),""),"")</f>
        <v>14.859890109890109</v>
      </c>
      <c r="F10" s="81">
        <f>IF(VLOOKUP(A10,Ergebnis_je_Aktie_verwässert!A3:AJ68,9,FALSE)&gt;0,IF(VLOOKUP(A10,Schlußkurse!A5:AU70,38,FALSE)&gt;0,VLOOKUP(A10,Schlußkurse!A5:AU70,38,FALSE)/VLOOKUP(A10,Ergebnis_je_Aktie_verwässert!A3:AJ68,9,FALSE),""),"")</f>
        <v>16.158536585365855</v>
      </c>
      <c r="G10" s="81">
        <f>IF(VLOOKUP(A10,Ergebnis_je_Aktie_verwässert!A3:AJ68,10,FALSE)&gt;0,IF(VLOOKUP(A10,Schlußkurse!A5:AU70,39,FALSE)&gt;0,VLOOKUP(A10,Schlußkurse!A5:AU70,39,FALSE)/VLOOKUP(A10,Ergebnis_je_Aktie_verwässert!A3:AJ68,10,FALSE),""),"")</f>
        <v>10.000000000000002</v>
      </c>
      <c r="H10" s="81">
        <f>IF(VLOOKUP(A10,Ergebnis_je_Aktie_verwässert!A3:AJ68,11,FALSE)&gt;0,IF(VLOOKUP(A10,Schlußkurse!A5:AU70,40,FALSE)&gt;0,VLOOKUP(A10,Schlußkurse!A5:AU70,40,FALSE)/VLOOKUP(A10,Ergebnis_je_Aktie_verwässert!A3:AJ68,11,FALSE),""),"")</f>
        <v>9</v>
      </c>
      <c r="I10" s="81">
        <f>IF(VLOOKUP(A10,Ergebnis_je_Aktie_verwässert!A3:AJ68,12,FALSE)&gt;0,IF(VLOOKUP(A10,Schlußkurse!A5:AU70,41,FALSE)&gt;0,VLOOKUP(A10,Schlußkurse!A5:AU70,41,FALSE)/VLOOKUP(A10,Ergebnis_je_Aktie_verwässert!A3:AJ68,12,FALSE),""),"")</f>
        <v>13.229166666666666</v>
      </c>
      <c r="J10" s="81">
        <f>IF(VLOOKUP(A10,Ergebnis_je_Aktie_verwässert!A3:AJ68,13,FALSE)&gt;0,IF(VLOOKUP(A10,Schlußkurse!A5:AU70,42,FALSE)&gt;0,VLOOKUP(A10,Schlußkurse!A5:AU70,42,FALSE)/VLOOKUP(A10,Ergebnis_je_Aktie_verwässert!A3:AJ68,13,FALSE),""),"")</f>
        <v>6.4214285714285708</v>
      </c>
      <c r="K10" s="81">
        <f>IF(VLOOKUP(A10,Ergebnis_je_Aktie_verwässert!A3:AJ68,14,FALSE)&gt;0,IF(VLOOKUP(A10,Schlußkurse!A5:AU70,43,FALSE)&gt;0,VLOOKUP(A10,Schlußkurse!A5:AU70,43,FALSE)/VLOOKUP(A10,Ergebnis_je_Aktie_verwässert!A3:AJ68,14,FALSE),""),"")</f>
        <v>22.471698113207545</v>
      </c>
      <c r="L10" s="81" t="str">
        <f>IF(VLOOKUP(A10,Ergebnis_je_Aktie_verwässert!A3:AJ68,15,FALSE)&gt;0,IF(VLOOKUP(A10,Schlußkurse!A5:AU70,44,FALSE)&gt;0,VLOOKUP(A10,Schlußkurse!A5:AU70,44,FALSE)/VLOOKUP(A10,Ergebnis_je_Aktie_verwässert!A3:AJ68,15,FALSE),""),"")</f>
        <v/>
      </c>
      <c r="M10" s="81">
        <f>IF(VLOOKUP(A10,Ergebnis_je_Aktie_verwässert!A3:AJ68,16,FALSE)&gt;0,IF(VLOOKUP(A10,Schlußkurse!A5:AU70,45,FALSE)&gt;0,VLOOKUP(A10,Schlußkurse!A5:AU70,45,FALSE)/VLOOKUP(A10,Ergebnis_je_Aktie_verwässert!A3:AJ68,16,FALSE),""),"")</f>
        <v>19.860869565217392</v>
      </c>
      <c r="N10" s="81">
        <f>IF(VLOOKUP(A10,Ergebnis_je_Aktie_verwässert!A3:AJ68,17,FALSE)&gt;0,IF(VLOOKUP(A10,Schlußkurse!A5:AU70,46,FALSE)&gt;0,VLOOKUP(A10,Schlußkurse!A5:AU70,46,FALSE)/VLOOKUP(A10,Ergebnis_je_Aktie_verwässert!A3:AJ68,17,FALSE),""),"")</f>
        <v>12.799999999999999</v>
      </c>
      <c r="O10" s="82">
        <f>IF(VLOOKUP(A10,Ergebnis_je_Aktie_verwässert!A3:AJ68,18,FALSE)&gt;0,IF(VLOOKUP(A10,Schlußkurse!A5:AU70,47,FALSE)&gt;0,VLOOKUP(A10,Schlußkurse!A5:AU70,47,FALSE)/VLOOKUP(A10,Ergebnis_je_Aktie_verwässert!A3:AJ68,18,FALSE),""),"")</f>
        <v>8.4924623115577891</v>
      </c>
      <c r="P10" s="3">
        <f t="shared" si="1"/>
        <v>13.319652457757297</v>
      </c>
      <c r="Q10" s="3">
        <f ca="1">VLOOKUP(A10,Schlußkurse!A5:AU70,35,FALSE)/VLOOKUP(A10,Ergebnis_je_Aktie_verwässert!A3:AK68,23,FALSE)</f>
        <v>15.58951770115627</v>
      </c>
      <c r="R10" s="5">
        <f t="shared" ca="1" si="0"/>
        <v>0.17041474997923212</v>
      </c>
    </row>
    <row r="11" spans="1:18" x14ac:dyDescent="0.25">
      <c r="A11" t="s">
        <v>14</v>
      </c>
      <c r="B11" t="s">
        <v>15</v>
      </c>
      <c r="C11" s="80">
        <f>IF(VLOOKUP(A11,Ergebnis_je_Aktie_verwässert!A3:AJ68,6,FALSE)&gt;0,IF(VLOOKUP(A11,Schlußkurse!A5:AU70,35,FALSE)&gt;0,VLOOKUP(A11,Schlußkurse!A5:AU70,35,FALSE)/VLOOKUP(A11,Ergebnis_je_Aktie_verwässert!A3:AJ68,6,FALSE),""),"")</f>
        <v>18.24468085106383</v>
      </c>
      <c r="D11" s="81">
        <f>IF(VLOOKUP(A11,Ergebnis_je_Aktie_verwässert!A3:AJ68,7,FALSE)&gt;0,IF(VLOOKUP(A11,Schlußkurse!A5:AU70,36,FALSE)&gt;0,VLOOKUP(A11,Schlußkurse!A5:AU70,36,FALSE)/VLOOKUP(A11,Ergebnis_je_Aktie_verwässert!A3:AJ68,7,FALSE),""),"")</f>
        <v>23.175675675675674</v>
      </c>
      <c r="E11" s="81">
        <f>IF(VLOOKUP(A11,Ergebnis_je_Aktie_verwässert!A3:AJ68,8,FALSE)&gt;0,IF(VLOOKUP(A11,Schlußkurse!A5:AU70,37,FALSE)&gt;0,VLOOKUP(A11,Schlußkurse!A5:AU70,37,FALSE)/VLOOKUP(A11,Ergebnis_je_Aktie_verwässert!A3:AJ68,8,FALSE),""),"")</f>
        <v>21.031746031746032</v>
      </c>
      <c r="F11" s="81">
        <f>IF(VLOOKUP(A11,Ergebnis_je_Aktie_verwässert!A3:AJ68,9,FALSE)&gt;0,IF(VLOOKUP(A11,Schlußkurse!A5:AU70,38,FALSE)&gt;0,VLOOKUP(A11,Schlußkurse!A5:AU70,38,FALSE)/VLOOKUP(A11,Ergebnis_je_Aktie_verwässert!A3:AJ68,9,FALSE),""),"")</f>
        <v>23.452830188679243</v>
      </c>
      <c r="G11" s="81">
        <f>IF(VLOOKUP(A11,Ergebnis_je_Aktie_verwässert!A3:AJ68,10,FALSE)&gt;0,IF(VLOOKUP(A11,Schlußkurse!A5:AU70,39,FALSE)&gt;0,VLOOKUP(A11,Schlußkurse!A5:AU70,39,FALSE)/VLOOKUP(A11,Ergebnis_je_Aktie_verwässert!A3:AJ68,10,FALSE),""),"")</f>
        <v>13.642857142857144</v>
      </c>
      <c r="H11" s="81">
        <f>IF(VLOOKUP(A11,Ergebnis_je_Aktie_verwässert!A3:AJ68,11,FALSE)&gt;0,IF(VLOOKUP(A11,Schlußkurse!A5:AU70,40,FALSE)&gt;0,VLOOKUP(A11,Schlußkurse!A5:AU70,40,FALSE)/VLOOKUP(A11,Ergebnis_je_Aktie_verwässert!A3:AJ68,11,FALSE),""),"")</f>
        <v>15.28448275862069</v>
      </c>
      <c r="I11" s="81">
        <f>IF(VLOOKUP(A11,Ergebnis_je_Aktie_verwässert!A3:AJ68,12,FALSE)&gt;0,IF(VLOOKUP(A11,Schlußkurse!A5:AU70,41,FALSE)&gt;0,VLOOKUP(A11,Schlußkurse!A5:AU70,41,FALSE)/VLOOKUP(A11,Ergebnis_je_Aktie_verwässert!A3:AJ68,12,FALSE),""),"")</f>
        <v>14.410447761194028</v>
      </c>
      <c r="J11" s="81">
        <f>IF(VLOOKUP(A11,Ergebnis_je_Aktie_verwässert!A3:AJ68,13,FALSE)&gt;0,IF(VLOOKUP(A11,Schlußkurse!A5:AU70,42,FALSE)&gt;0,VLOOKUP(A11,Schlußkurse!A5:AU70,42,FALSE)/VLOOKUP(A11,Ergebnis_je_Aktie_verwässert!A3:AJ68,13,FALSE),""),"")</f>
        <v>13.025316455696201</v>
      </c>
      <c r="K11" s="81">
        <f>IF(VLOOKUP(A11,Ergebnis_je_Aktie_verwässert!A3:AJ68,14,FALSE)&gt;0,IF(VLOOKUP(A11,Schlußkurse!A5:AU70,43,FALSE)&gt;0,VLOOKUP(A11,Schlußkurse!A5:AU70,43,FALSE)/VLOOKUP(A11,Ergebnis_je_Aktie_verwässert!A3:AJ68,14,FALSE),""),"")</f>
        <v>13.782051282051281</v>
      </c>
      <c r="L11" s="81">
        <f>IF(VLOOKUP(A11,Ergebnis_je_Aktie_verwässert!A3:AJ68,15,FALSE)&gt;0,IF(VLOOKUP(A11,Schlußkurse!A5:AU70,44,FALSE)&gt;0,VLOOKUP(A11,Schlußkurse!A5:AU70,44,FALSE)/VLOOKUP(A11,Ergebnis_je_Aktie_verwässert!A3:AJ68,15,FALSE),""),"")</f>
        <v>19.256410256410255</v>
      </c>
      <c r="M11" s="81">
        <f>IF(VLOOKUP(A11,Ergebnis_je_Aktie_verwässert!A3:AJ68,16,FALSE)&gt;0,IF(VLOOKUP(A11,Schlußkurse!A5:AU70,45,FALSE)&gt;0,VLOOKUP(A11,Schlußkurse!A5:AU70,45,FALSE)/VLOOKUP(A11,Ergebnis_je_Aktie_verwässert!A3:AJ68,16,FALSE),""),"")</f>
        <v>20.057971014492754</v>
      </c>
      <c r="N11" s="81">
        <f>IF(VLOOKUP(A11,Ergebnis_je_Aktie_verwässert!A3:AJ68,17,FALSE)&gt;0,IF(VLOOKUP(A11,Schlußkurse!A5:AU70,46,FALSE)&gt;0,VLOOKUP(A11,Schlußkurse!A5:AU70,46,FALSE)/VLOOKUP(A11,Ergebnis_je_Aktie_verwässert!A3:AJ68,17,FALSE),""),"")</f>
        <v>15.644444444444444</v>
      </c>
      <c r="O11" s="82">
        <f>IF(VLOOKUP(A11,Ergebnis_je_Aktie_verwässert!A3:AJ68,18,FALSE)&gt;0,IF(VLOOKUP(A11,Schlußkurse!A5:AU70,47,FALSE)&gt;0,VLOOKUP(A11,Schlußkurse!A5:AU70,47,FALSE)/VLOOKUP(A11,Ergebnis_je_Aktie_verwässert!A3:AJ68,18,FALSE),""),"")</f>
        <v>15.416666666666664</v>
      </c>
      <c r="P11" s="3">
        <f t="shared" si="1"/>
        <v>15.644444444444444</v>
      </c>
      <c r="Q11" s="3">
        <f ca="1">VLOOKUP(A11,Schlußkurse!A5:AU70,35,FALSE)/VLOOKUP(A11,Ergebnis_je_Aktie_verwässert!A3:AK68,23,FALSE)</f>
        <v>26.291359707022103</v>
      </c>
      <c r="R11" s="5">
        <f t="shared" ca="1" si="0"/>
        <v>0.68055566309090154</v>
      </c>
    </row>
    <row r="12" spans="1:18" x14ac:dyDescent="0.25">
      <c r="A12" t="s">
        <v>16</v>
      </c>
      <c r="B12" t="s">
        <v>17</v>
      </c>
      <c r="C12" s="80">
        <f>IF(VLOOKUP(A12,Ergebnis_je_Aktie_verwässert!A3:AJ68,6,FALSE)&gt;0,IF(VLOOKUP(A12,Schlußkurse!A5:AU70,35,FALSE)&gt;0,VLOOKUP(A12,Schlußkurse!A5:AU70,35,FALSE)/VLOOKUP(A12,Ergebnis_je_Aktie_verwässert!A3:AJ68,6,FALSE),""),"")</f>
        <v>17.299465240641712</v>
      </c>
      <c r="D12" s="81">
        <f>IF(VLOOKUP(A12,Ergebnis_je_Aktie_verwässert!A3:AJ68,7,FALSE)&gt;0,IF(VLOOKUP(A12,Schlußkurse!A5:AU70,36,FALSE)&gt;0,VLOOKUP(A12,Schlußkurse!A5:AU70,36,FALSE)/VLOOKUP(A12,Ergebnis_je_Aktie_verwässert!A3:AJ68,7,FALSE),""),"")</f>
        <v>18.753623188405797</v>
      </c>
      <c r="E12" s="81">
        <f>IF(VLOOKUP(A12,Ergebnis_je_Aktie_verwässert!A3:AJ68,8,FALSE)&gt;0,IF(VLOOKUP(A12,Schlußkurse!A5:AU70,37,FALSE)&gt;0,VLOOKUP(A12,Schlußkurse!A5:AU70,37,FALSE)/VLOOKUP(A12,Ergebnis_je_Aktie_verwässert!A3:AJ68,8,FALSE),""),"")</f>
        <v>18.206249999999997</v>
      </c>
      <c r="F12" s="81">
        <f>IF(VLOOKUP(A12,Ergebnis_je_Aktie_verwässert!A3:AJ68,9,FALSE)&gt;0,IF(VLOOKUP(A12,Schlußkurse!A5:AU70,38,FALSE)&gt;0,VLOOKUP(A12,Schlußkurse!A5:AU70,38,FALSE)/VLOOKUP(A12,Ergebnis_je_Aktie_verwässert!A3:AJ68,9,FALSE),""),"")</f>
        <v>22.740875912408757</v>
      </c>
      <c r="G12" s="81">
        <f>IF(VLOOKUP(A12,Ergebnis_je_Aktie_verwässert!A3:AJ68,10,FALSE)&gt;0,IF(VLOOKUP(A12,Schlußkurse!A5:AU70,39,FALSE)&gt;0,VLOOKUP(A12,Schlußkurse!A5:AU70,39,FALSE)/VLOOKUP(A12,Ergebnis_je_Aktie_verwässert!A3:AJ68,10,FALSE),""),"")</f>
        <v>21.830935251798561</v>
      </c>
      <c r="H12" s="81">
        <f>IF(VLOOKUP(A12,Ergebnis_je_Aktie_verwässert!A3:AJ68,11,FALSE)&gt;0,IF(VLOOKUP(A12,Schlußkurse!A5:AU70,40,FALSE)&gt;0,VLOOKUP(A12,Schlußkurse!A5:AU70,40,FALSE)/VLOOKUP(A12,Ergebnis_je_Aktie_verwässert!A3:AJ68,11,FALSE),""),"")</f>
        <v>17.236286919831223</v>
      </c>
      <c r="I12" s="81">
        <f>IF(VLOOKUP(A12,Ergebnis_je_Aktie_verwässert!A3:AJ68,12,FALSE)&gt;0,IF(VLOOKUP(A12,Schlußkurse!A5:AU70,41,FALSE)&gt;0,VLOOKUP(A12,Schlußkurse!A5:AU70,41,FALSE)/VLOOKUP(A12,Ergebnis_je_Aktie_verwässert!A3:AJ68,12,FALSE),""),"")</f>
        <v>15.425101214574898</v>
      </c>
      <c r="J12" s="81">
        <f>IF(VLOOKUP(A12,Ergebnis_je_Aktie_verwässert!A3:AJ68,13,FALSE)&gt;0,IF(VLOOKUP(A12,Schlußkurse!A5:AU70,42,FALSE)&gt;0,VLOOKUP(A12,Schlußkurse!A5:AU70,42,FALSE)/VLOOKUP(A12,Ergebnis_je_Aktie_verwässert!A3:AJ68,13,FALSE),""),"")</f>
        <v>15.714285714285714</v>
      </c>
      <c r="K12" s="81">
        <f>IF(VLOOKUP(A12,Ergebnis_je_Aktie_verwässert!A3:AJ68,14,FALSE)&gt;0,IF(VLOOKUP(A12,Schlußkurse!A5:AU70,43,FALSE)&gt;0,VLOOKUP(A12,Schlußkurse!A5:AU70,43,FALSE)/VLOOKUP(A12,Ergebnis_je_Aktie_verwässert!A3:AJ68,14,FALSE),""),"")</f>
        <v>17.170068027210885</v>
      </c>
      <c r="L12" s="81">
        <f>IF(VLOOKUP(A12,Ergebnis_je_Aktie_verwässert!A3:AJ68,15,FALSE)&gt;0,IF(VLOOKUP(A12,Schlußkurse!A5:AU70,44,FALSE)&gt;0,VLOOKUP(A12,Schlußkurse!A5:AU70,44,FALSE)/VLOOKUP(A12,Ergebnis_je_Aktie_verwässert!A3:AJ68,15,FALSE),""),"")</f>
        <v>22.92258064516129</v>
      </c>
      <c r="M12" s="81">
        <f>IF(VLOOKUP(A12,Ergebnis_je_Aktie_verwässert!A3:AJ68,16,FALSE)&gt;0,IF(VLOOKUP(A12,Schlußkurse!A5:AU70,45,FALSE)&gt;0,VLOOKUP(A12,Schlußkurse!A5:AU70,45,FALSE)/VLOOKUP(A12,Ergebnis_je_Aktie_verwässert!A3:AJ68,16,FALSE),""),"")</f>
        <v>25.320754716981128</v>
      </c>
      <c r="N12" s="81">
        <f>IF(VLOOKUP(A12,Ergebnis_je_Aktie_verwässert!A3:AJ68,17,FALSE)&gt;0,IF(VLOOKUP(A12,Schlußkurse!A5:AU70,46,FALSE)&gt;0,VLOOKUP(A12,Schlußkurse!A5:AU70,46,FALSE)/VLOOKUP(A12,Ergebnis_je_Aktie_verwässert!A3:AJ68,17,FALSE),""),"")</f>
        <v>25.190789473684209</v>
      </c>
      <c r="O12" s="82">
        <f>IF(VLOOKUP(A12,Ergebnis_je_Aktie_verwässert!A3:AJ68,18,FALSE)&gt;0,IF(VLOOKUP(A12,Schlußkurse!A5:AU70,47,FALSE)&gt;0,VLOOKUP(A12,Schlußkurse!A5:AU70,47,FALSE)/VLOOKUP(A12,Ergebnis_je_Aktie_verwässert!A3:AJ68,18,FALSE),""),"")</f>
        <v>27.375000000000004</v>
      </c>
      <c r="P12" s="3">
        <f t="shared" si="1"/>
        <v>18.753623188405797</v>
      </c>
      <c r="Q12" s="3">
        <f ca="1">VLOOKUP(A12,Schlußkurse!A5:AU70,35,FALSE)/VLOOKUP(A12,Ergebnis_je_Aktie_verwässert!A3:AK68,23,FALSE)</f>
        <v>19.903439436017944</v>
      </c>
      <c r="R12" s="5">
        <f t="shared" ca="1" si="0"/>
        <v>6.1311685537278393E-2</v>
      </c>
    </row>
    <row r="13" spans="1:18" x14ac:dyDescent="0.25">
      <c r="A13" t="s">
        <v>18</v>
      </c>
      <c r="B13" t="s">
        <v>19</v>
      </c>
      <c r="C13" s="80">
        <f>IF(VLOOKUP(A13,Ergebnis_je_Aktie_verwässert!A3:AJ68,6,FALSE)&gt;0,IF(VLOOKUP(A13,Schlußkurse!A5:AU70,35,FALSE)&gt;0,VLOOKUP(A13,Schlußkurse!A5:AU70,35,FALSE)/VLOOKUP(A13,Ergebnis_je_Aktie_verwässert!A3:AJ68,6,FALSE),""),"")</f>
        <v>13.376455368693403</v>
      </c>
      <c r="D13" s="81">
        <f>IF(VLOOKUP(A13,Ergebnis_je_Aktie_verwässert!A3:AJ68,7,FALSE)&gt;0,IF(VLOOKUP(A13,Schlußkurse!A5:AU70,36,FALSE)&gt;0,VLOOKUP(A13,Schlußkurse!A5:AU70,36,FALSE)/VLOOKUP(A13,Ergebnis_je_Aktie_verwässert!A3:AJ68,7,FALSE),""),"")</f>
        <v>14.542897327707454</v>
      </c>
      <c r="E13" s="81">
        <f>IF(VLOOKUP(A13,Ergebnis_je_Aktie_verwässert!A3:AJ68,8,FALSE)&gt;0,IF(VLOOKUP(A13,Schlußkurse!A5:AU70,37,FALSE)&gt;0,VLOOKUP(A13,Schlußkurse!A5:AU70,37,FALSE)/VLOOKUP(A13,Ergebnis_je_Aktie_verwässert!A3:AJ68,8,FALSE),""),"")</f>
        <v>12.271781534460338</v>
      </c>
      <c r="F13" s="81">
        <f>IF(VLOOKUP(A13,Ergebnis_je_Aktie_verwässert!A3:AJ68,9,FALSE)&gt;0,IF(VLOOKUP(A13,Schlußkurse!A5:AU70,38,FALSE)&gt;0,VLOOKUP(A13,Schlußkurse!A5:AU70,38,FALSE)/VLOOKUP(A13,Ergebnis_je_Aktie_verwässert!A3:AJ68,9,FALSE),""),"")</f>
        <v>14.114104595879558</v>
      </c>
      <c r="G13" s="81">
        <f>IF(VLOOKUP(A13,Ergebnis_je_Aktie_verwässert!A3:AJ68,10,FALSE)&gt;0,IF(VLOOKUP(A13,Schlußkurse!A5:AU70,39,FALSE)&gt;0,VLOOKUP(A13,Schlußkurse!A5:AU70,39,FALSE)/VLOOKUP(A13,Ergebnis_je_Aktie_verwässert!A3:AJ68,10,FALSE),""),"")</f>
        <v>15.429423459244532</v>
      </c>
      <c r="H13" s="81">
        <f>IF(VLOOKUP(A13,Ergebnis_je_Aktie_verwässert!A3:AJ68,11,FALSE)&gt;0,IF(VLOOKUP(A13,Schlußkurse!A5:AU70,40,FALSE)&gt;0,VLOOKUP(A13,Schlußkurse!A5:AU70,40,FALSE)/VLOOKUP(A13,Ergebnis_je_Aktie_verwässert!A3:AJ68,11,FALSE),""),"")</f>
        <v>13.515873015873016</v>
      </c>
      <c r="I13" s="81">
        <f>IF(VLOOKUP(A13,Ergebnis_je_Aktie_verwässert!A3:AJ68,12,FALSE)&gt;0,IF(VLOOKUP(A13,Schlußkurse!A5:AU70,41,FALSE)&gt;0,VLOOKUP(A13,Schlußkurse!A5:AU70,41,FALSE)/VLOOKUP(A13,Ergebnis_je_Aktie_verwässert!A3:AJ68,12,FALSE),""),"")</f>
        <v>11.125000000000002</v>
      </c>
      <c r="J13" s="81">
        <f>IF(VLOOKUP(A13,Ergebnis_je_Aktie_verwässert!A3:AJ68,13,FALSE)&gt;0,IF(VLOOKUP(A13,Schlußkurse!A5:AU70,42,FALSE)&gt;0,VLOOKUP(A13,Schlußkurse!A5:AU70,42,FALSE)/VLOOKUP(A13,Ergebnis_je_Aktie_verwässert!A3:AJ68,13,FALSE),""),"")</f>
        <v>14.252252252252251</v>
      </c>
      <c r="K13" s="81">
        <f>IF(VLOOKUP(A13,Ergebnis_je_Aktie_verwässert!A3:AJ68,14,FALSE)&gt;0,IF(VLOOKUP(A13,Schlußkurse!A5:AU70,43,FALSE)&gt;0,VLOOKUP(A13,Schlußkurse!A5:AU70,43,FALSE)/VLOOKUP(A13,Ergebnis_je_Aktie_verwässert!A3:AJ68,14,FALSE),""),"")</f>
        <v>25</v>
      </c>
      <c r="L13" s="81">
        <f>IF(VLOOKUP(A13,Ergebnis_je_Aktie_verwässert!A3:AJ68,15,FALSE)&gt;0,IF(VLOOKUP(A13,Schlußkurse!A5:AU70,44,FALSE)&gt;0,VLOOKUP(A13,Schlußkurse!A5:AU70,44,FALSE)/VLOOKUP(A13,Ergebnis_je_Aktie_verwässert!A3:AJ68,15,FALSE),""),"")</f>
        <v>47.732673267326732</v>
      </c>
      <c r="M13" s="81">
        <f>IF(VLOOKUP(A13,Ergebnis_je_Aktie_verwässert!A3:AJ68,16,FALSE)&gt;0,IF(VLOOKUP(A13,Schlußkurse!A5:AU70,45,FALSE)&gt;0,VLOOKUP(A13,Schlußkurse!A5:AU70,45,FALSE)/VLOOKUP(A13,Ergebnis_je_Aktie_verwässert!A3:AJ68,16,FALSE),""),"")</f>
        <v>17.823834196891191</v>
      </c>
      <c r="N13" s="81">
        <f>IF(VLOOKUP(A13,Ergebnis_je_Aktie_verwässert!A3:AJ68,17,FALSE)&gt;0,IF(VLOOKUP(A13,Schlußkurse!A5:AU70,46,FALSE)&gt;0,VLOOKUP(A13,Schlußkurse!A5:AU70,46,FALSE)/VLOOKUP(A13,Ergebnis_je_Aktie_verwässert!A3:AJ68,17,FALSE),""),"")</f>
        <v>19.662576687116562</v>
      </c>
      <c r="O13" s="82">
        <f>IF(VLOOKUP(A13,Ergebnis_je_Aktie_verwässert!A3:AJ68,18,FALSE)&gt;0,IF(VLOOKUP(A13,Schlußkurse!A5:AU70,47,FALSE)&gt;0,VLOOKUP(A13,Schlußkurse!A5:AU70,47,FALSE)/VLOOKUP(A13,Ergebnis_je_Aktie_verwässert!A3:AJ68,18,FALSE),""),"")</f>
        <v>24.466942148760332</v>
      </c>
      <c r="P13" s="3">
        <f t="shared" si="1"/>
        <v>14.542897327707454</v>
      </c>
      <c r="Q13" s="3">
        <f ca="1">VLOOKUP(A13,Schlußkurse!A5:AU70,35,FALSE)/VLOOKUP(A13,Ergebnis_je_Aktie_verwässert!A3:AK68,23,FALSE)</f>
        <v>13.924467321043812</v>
      </c>
      <c r="R13" s="5">
        <f t="shared" ca="1" si="0"/>
        <v>-4.2524539142925533E-2</v>
      </c>
    </row>
    <row r="14" spans="1:18" x14ac:dyDescent="0.25">
      <c r="A14" t="s">
        <v>20</v>
      </c>
      <c r="B14" t="s">
        <v>21</v>
      </c>
      <c r="C14" s="80">
        <f>IF(VLOOKUP(A14,Ergebnis_je_Aktie_verwässert!A3:AJ68,6,FALSE)&gt;0,IF(VLOOKUP(A14,Schlußkurse!A5:AU70,35,FALSE)&gt;0,VLOOKUP(A14,Schlußkurse!A5:AU70,35,FALSE)/VLOOKUP(A14,Ergebnis_je_Aktie_verwässert!A3:AJ68,6,FALSE),""),"")</f>
        <v>10.874125874125873</v>
      </c>
      <c r="D14" s="81">
        <f>IF(VLOOKUP(A14,Ergebnis_je_Aktie_verwässert!A3:AJ68,7,FALSE)&gt;0,IF(VLOOKUP(A14,Schlußkurse!A5:AU70,36,FALSE)&gt;0,VLOOKUP(A14,Schlußkurse!A5:AU70,36,FALSE)/VLOOKUP(A14,Ergebnis_je_Aktie_verwässert!A3:AJ68,7,FALSE),""),"")</f>
        <v>11.028368794326241</v>
      </c>
      <c r="E14" s="81">
        <f>IF(VLOOKUP(A14,Ergebnis_je_Aktie_verwässert!A3:AJ68,8,FALSE)&gt;0,IF(VLOOKUP(A14,Schlußkurse!A5:AU70,37,FALSE)&gt;0,VLOOKUP(A14,Schlußkurse!A5:AU70,37,FALSE)/VLOOKUP(A14,Ergebnis_je_Aktie_verwässert!A3:AJ68,8,FALSE),""),"")</f>
        <v>9.8107142857142851</v>
      </c>
      <c r="F14" s="81">
        <f>IF(VLOOKUP(A14,Ergebnis_je_Aktie_verwässert!A3:AJ68,9,FALSE)&gt;0,IF(VLOOKUP(A14,Schlußkurse!A5:AU70,38,FALSE)&gt;0,VLOOKUP(A14,Schlußkurse!A5:AU70,38,FALSE)/VLOOKUP(A14,Ergebnis_je_Aktie_verwässert!A3:AJ68,9,FALSE),""),"")</f>
        <v>9.5564516129032242</v>
      </c>
      <c r="G14" s="81">
        <f>IF(VLOOKUP(A14,Ergebnis_je_Aktie_verwässert!A3:AJ68,10,FALSE)&gt;0,IF(VLOOKUP(A14,Schlußkurse!A5:AU70,39,FALSE)&gt;0,VLOOKUP(A14,Schlußkurse!A5:AU70,39,FALSE)/VLOOKUP(A14,Ergebnis_je_Aktie_verwässert!A3:AJ68,10,FALSE),""),"")</f>
        <v>8.0306513409961671</v>
      </c>
      <c r="H14" s="81">
        <f>IF(VLOOKUP(A14,Ergebnis_je_Aktie_verwässert!A3:AJ68,11,FALSE)&gt;0,IF(VLOOKUP(A14,Schlußkurse!A5:AU70,40,FALSE)&gt;0,VLOOKUP(A14,Schlußkurse!A5:AU70,40,FALSE)/VLOOKUP(A14,Ergebnis_je_Aktie_verwässert!A3:AJ68,11,FALSE),""),"")</f>
        <v>6.5176366843033504</v>
      </c>
      <c r="I14" s="81">
        <f>IF(VLOOKUP(A14,Ergebnis_je_Aktie_verwässert!A3:AJ68,12,FALSE)&gt;0,IF(VLOOKUP(A14,Schlußkurse!A5:AU70,41,FALSE)&gt;0,VLOOKUP(A14,Schlußkurse!A5:AU70,41,FALSE)/VLOOKUP(A14,Ergebnis_je_Aktie_verwässert!A3:AJ68,12,FALSE),""),"")</f>
        <v>16.228102189781023</v>
      </c>
      <c r="J14" s="81">
        <f>IF(VLOOKUP(A14,Ergebnis_je_Aktie_verwässert!A3:AJ68,13,FALSE)&gt;0,IF(VLOOKUP(A14,Schlußkurse!A5:AU70,42,FALSE)&gt;0,VLOOKUP(A14,Schlußkurse!A5:AU70,42,FALSE)/VLOOKUP(A14,Ergebnis_je_Aktie_verwässert!A3:AJ68,13,FALSE),""),"")</f>
        <v>7.837230215827339</v>
      </c>
      <c r="K14" s="81">
        <f>IF(VLOOKUP(A14,Ergebnis_je_Aktie_verwässert!A3:AJ68,14,FALSE)&gt;0,IF(VLOOKUP(A14,Schlußkurse!A5:AU70,43,FALSE)&gt;0,VLOOKUP(A14,Schlußkurse!A5:AU70,43,FALSE)/VLOOKUP(A14,Ergebnis_je_Aktie_verwässert!A3:AJ68,14,FALSE),""),"")</f>
        <v>7.8947368421052628</v>
      </c>
      <c r="L14" s="81" t="str">
        <f>IF(VLOOKUP(A14,Ergebnis_je_Aktie_verwässert!A3:AJ68,15,FALSE)&gt;0,IF(VLOOKUP(A14,Schlußkurse!A5:AU70,44,FALSE)&gt;0,VLOOKUP(A14,Schlußkurse!A5:AU70,44,FALSE)/VLOOKUP(A14,Ergebnis_je_Aktie_verwässert!A3:AJ68,15,FALSE),""),"")</f>
        <v/>
      </c>
      <c r="M14" s="81">
        <f>IF(VLOOKUP(A14,Ergebnis_je_Aktie_verwässert!A3:AJ68,16,FALSE)&gt;0,IF(VLOOKUP(A14,Schlußkurse!A5:AU70,45,FALSE)&gt;0,VLOOKUP(A14,Schlußkurse!A5:AU70,45,FALSE)/VLOOKUP(A14,Ergebnis_je_Aktie_verwässert!A3:AJ68,16,FALSE),""),"")</f>
        <v>8.7385657820440414</v>
      </c>
      <c r="N14" s="81">
        <f>IF(VLOOKUP(A14,Ergebnis_je_Aktie_verwässert!A3:AJ68,17,FALSE)&gt;0,IF(VLOOKUP(A14,Schlußkurse!A5:AU70,46,FALSE)&gt;0,VLOOKUP(A14,Schlußkurse!A5:AU70,46,FALSE)/VLOOKUP(A14,Ergebnis_je_Aktie_verwässert!A3:AJ68,17,FALSE),""),"")</f>
        <v>7.6245530393325378</v>
      </c>
      <c r="O14" s="82">
        <f>IF(VLOOKUP(A14,Ergebnis_je_Aktie_verwässert!A3:AJ68,18,FALSE)&gt;0,IF(VLOOKUP(A14,Schlußkurse!A5:AU70,47,FALSE)&gt;0,VLOOKUP(A14,Schlußkurse!A5:AU70,47,FALSE)/VLOOKUP(A14,Ergebnis_je_Aktie_verwässert!A3:AJ68,18,FALSE),""),"")</f>
        <v>8.6832740213523127</v>
      </c>
      <c r="P14" s="3">
        <f t="shared" si="1"/>
        <v>8.7109199016981762</v>
      </c>
      <c r="Q14" s="3">
        <f ca="1">VLOOKUP(A14,Schlußkurse!A5:AU70,35,FALSE)/VLOOKUP(A14,Ergebnis_je_Aktie_verwässert!A3:AK68,23,FALSE)</f>
        <v>11.091078398351593</v>
      </c>
      <c r="R14" s="5">
        <f t="shared" ca="1" si="0"/>
        <v>0.27323847808420432</v>
      </c>
    </row>
    <row r="15" spans="1:18" x14ac:dyDescent="0.25">
      <c r="A15" t="s">
        <v>22</v>
      </c>
      <c r="B15" t="s">
        <v>23</v>
      </c>
      <c r="C15" s="80">
        <f>IF(VLOOKUP(A15,Ergebnis_je_Aktie_verwässert!A3:AJ68,6,FALSE)&gt;0,IF(VLOOKUP(A15,Schlußkurse!A5:AU70,35,FALSE)&gt;0,VLOOKUP(A15,Schlußkurse!A5:AU70,35,FALSE)/VLOOKUP(A15,Ergebnis_je_Aktie_verwässert!A3:AJ68,6,FALSE),""),"")</f>
        <v>11.368421052631579</v>
      </c>
      <c r="D15" s="81">
        <f>IF(VLOOKUP(A15,Ergebnis_je_Aktie_verwässert!A3:AJ68,7,FALSE)&gt;0,IF(VLOOKUP(A15,Schlußkurse!A5:AU70,36,FALSE)&gt;0,VLOOKUP(A15,Schlußkurse!A5:AU70,36,FALSE)/VLOOKUP(A15,Ergebnis_je_Aktie_verwässert!A3:AJ68,7,FALSE),""),"")</f>
        <v>11.435294117647059</v>
      </c>
      <c r="E15" s="81">
        <f>IF(VLOOKUP(A15,Ergebnis_je_Aktie_verwässert!A3:AJ68,8,FALSE)&gt;0,IF(VLOOKUP(A15,Schlußkurse!A5:AU70,37,FALSE)&gt;0,VLOOKUP(A15,Schlußkurse!A5:AU70,37,FALSE)/VLOOKUP(A15,Ergebnis_je_Aktie_verwässert!A3:AJ68,8,FALSE),""),"")</f>
        <v>9.6929824561403493</v>
      </c>
      <c r="F15" s="81">
        <f>IF(VLOOKUP(A15,Ergebnis_je_Aktie_verwässert!A3:AJ68,9,FALSE)&gt;0,IF(VLOOKUP(A15,Schlußkurse!A5:AU70,38,FALSE)&gt;0,VLOOKUP(A15,Schlußkurse!A5:AU70,38,FALSE)/VLOOKUP(A15,Ergebnis_je_Aktie_verwässert!A3:AJ68,9,FALSE),""),"")</f>
        <v>8.7465865647187346</v>
      </c>
      <c r="G15" s="81">
        <f>IF(VLOOKUP(A15,Ergebnis_je_Aktie_verwässert!A3:AJ68,10,FALSE)&gt;0,IF(VLOOKUP(A15,Schlußkurse!A5:AU70,39,FALSE)&gt;0,VLOOKUP(A15,Schlußkurse!A5:AU70,39,FALSE)/VLOOKUP(A15,Ergebnis_je_Aktie_verwässert!A3:AJ68,10,FALSE),""),"")</f>
        <v>7.3513513513513518</v>
      </c>
      <c r="H15" s="81">
        <f>IF(VLOOKUP(A15,Ergebnis_je_Aktie_verwässert!A3:AJ68,11,FALSE)&gt;0,IF(VLOOKUP(A15,Schlußkurse!A5:AU70,40,FALSE)&gt;0,VLOOKUP(A15,Schlußkurse!A5:AU70,40,FALSE)/VLOOKUP(A15,Ergebnis_je_Aktie_verwässert!A3:AJ68,11,FALSE),""),"")</f>
        <v>5.2714126807563959</v>
      </c>
      <c r="I15" s="81">
        <f>IF(VLOOKUP(A15,Ergebnis_je_Aktie_verwässert!A3:AJ68,12,FALSE)&gt;0,IF(VLOOKUP(A15,Schlußkurse!A5:AU70,41,FALSE)&gt;0,VLOOKUP(A15,Schlußkurse!A5:AU70,41,FALSE)/VLOOKUP(A15,Ergebnis_je_Aktie_verwässert!A3:AJ68,12,FALSE),""),"")</f>
        <v>28.794416243654823</v>
      </c>
      <c r="J15" s="81">
        <f>IF(VLOOKUP(A15,Ergebnis_je_Aktie_verwässert!A3:AJ68,13,FALSE)&gt;0,IF(VLOOKUP(A15,Schlußkurse!A5:AU70,42,FALSE)&gt;0,VLOOKUP(A15,Schlußkurse!A5:AU70,42,FALSE)/VLOOKUP(A15,Ergebnis_je_Aktie_verwässert!A3:AJ68,13,FALSE),""),"")</f>
        <v>8.320826952526799</v>
      </c>
      <c r="K15" s="81">
        <f>IF(VLOOKUP(A15,Ergebnis_je_Aktie_verwässert!A3:AJ68,14,FALSE)&gt;0,IF(VLOOKUP(A15,Schlußkurse!A5:AU70,43,FALSE)&gt;0,VLOOKUP(A15,Schlußkurse!A5:AU70,43,FALSE)/VLOOKUP(A15,Ergebnis_je_Aktie_verwässert!A3:AJ68,14,FALSE),""),"")</f>
        <v>8.5714285714285712</v>
      </c>
      <c r="L15" s="81">
        <f>IF(VLOOKUP(A15,Ergebnis_je_Aktie_verwässert!A3:AJ68,15,FALSE)&gt;0,IF(VLOOKUP(A15,Schlußkurse!A5:AU70,44,FALSE)&gt;0,VLOOKUP(A15,Schlußkurse!A5:AU70,44,FALSE)/VLOOKUP(A15,Ergebnis_je_Aktie_verwässert!A3:AJ68,15,FALSE),""),"")</f>
        <v>17.77272727272727</v>
      </c>
      <c r="M15" s="81">
        <f>IF(VLOOKUP(A15,Ergebnis_je_Aktie_verwässert!A3:AJ68,16,FALSE)&gt;0,IF(VLOOKUP(A15,Schlußkurse!A5:AU70,45,FALSE)&gt;0,VLOOKUP(A15,Schlußkurse!A5:AU70,45,FALSE)/VLOOKUP(A15,Ergebnis_je_Aktie_verwässert!A3:AJ68,16,FALSE),""),"")</f>
        <v>7.2860335195530723</v>
      </c>
      <c r="N15" s="81">
        <f>IF(VLOOKUP(A15,Ergebnis_je_Aktie_verwässert!A3:AJ68,17,FALSE)&gt;0,IF(VLOOKUP(A15,Schlußkurse!A5:AU70,46,FALSE)&gt;0,VLOOKUP(A15,Schlußkurse!A5:AU70,46,FALSE)/VLOOKUP(A15,Ergebnis_je_Aktie_verwässert!A3:AJ68,17,FALSE),""),"")</f>
        <v>7.5648148148148149</v>
      </c>
      <c r="O15" s="82">
        <f>IF(VLOOKUP(A15,Ergebnis_je_Aktie_verwässert!A3:AJ68,18,FALSE)&gt;0,IF(VLOOKUP(A15,Schlußkurse!A5:AU70,47,FALSE)&gt;0,VLOOKUP(A15,Schlußkurse!A5:AU70,47,FALSE)/VLOOKUP(A15,Ergebnis_je_Aktie_verwässert!A3:AJ68,18,FALSE),""),"")</f>
        <v>7.7307692307692317</v>
      </c>
      <c r="P15" s="3">
        <f t="shared" si="1"/>
        <v>8.5714285714285712</v>
      </c>
      <c r="Q15" s="3">
        <f ca="1">VLOOKUP(A15,Schlußkurse!A5:AU70,35,FALSE)/VLOOKUP(A15,Ergebnis_je_Aktie_verwässert!A3:AK68,23,FALSE)</f>
        <v>11.381918129035405</v>
      </c>
      <c r="R15" s="5">
        <f t="shared" ca="1" si="0"/>
        <v>0.32789044838746406</v>
      </c>
    </row>
    <row r="16" spans="1:18" x14ac:dyDescent="0.25">
      <c r="A16" t="s">
        <v>24</v>
      </c>
      <c r="B16" t="s">
        <v>25</v>
      </c>
      <c r="C16" s="80">
        <f>IF(VLOOKUP(A16,Ergebnis_je_Aktie_verwässert!A3:AJ68,6,FALSE)&gt;0,IF(VLOOKUP(A16,Schlußkurse!A5:AU70,35,FALSE)&gt;0,VLOOKUP(A16,Schlußkurse!A5:AU70,35,FALSE)/VLOOKUP(A16,Ergebnis_je_Aktie_verwässert!A3:AJ68,6,FALSE),""),"")</f>
        <v>14.438596491228072</v>
      </c>
      <c r="D16" s="81">
        <f>IF(VLOOKUP(A16,Ergebnis_je_Aktie_verwässert!A3:AJ68,7,FALSE)&gt;0,IF(VLOOKUP(A16,Schlußkurse!A5:AU70,36,FALSE)&gt;0,VLOOKUP(A16,Schlußkurse!A5:AU70,36,FALSE)/VLOOKUP(A16,Ergebnis_je_Aktie_verwässert!A3:AJ68,7,FALSE),""),"")</f>
        <v>15.882456140350877</v>
      </c>
      <c r="E16" s="81">
        <f>IF(VLOOKUP(A16,Ergebnis_je_Aktie_verwässert!A3:AJ68,8,FALSE)&gt;0,IF(VLOOKUP(A16,Schlußkurse!A5:AU70,37,FALSE)&gt;0,VLOOKUP(A16,Schlußkurse!A5:AU70,37,FALSE)/VLOOKUP(A16,Ergebnis_je_Aktie_verwässert!A3:AJ68,8,FALSE),""),"")</f>
        <v>13.621832358674464</v>
      </c>
      <c r="F16" s="81">
        <f>IF(VLOOKUP(A16,Ergebnis_je_Aktie_verwässert!A3:AJ68,9,FALSE)&gt;0,IF(VLOOKUP(A16,Schlußkurse!A5:AU70,38,FALSE)&gt;0,VLOOKUP(A16,Schlußkurse!A5:AU70,38,FALSE)/VLOOKUP(A16,Ergebnis_je_Aktie_verwässert!A3:AJ68,9,FALSE),""),"")</f>
        <v>13.8375</v>
      </c>
      <c r="G16" s="81">
        <f>IF(VLOOKUP(A16,Ergebnis_je_Aktie_verwässert!A3:AJ68,10,FALSE)&gt;0,IF(VLOOKUP(A16,Schlußkurse!A5:AU70,39,FALSE)&gt;0,VLOOKUP(A16,Schlußkurse!A5:AU70,39,FALSE)/VLOOKUP(A16,Ergebnis_je_Aktie_verwässert!A3:AJ68,10,FALSE),""),"")</f>
        <v>13.500948766603418</v>
      </c>
      <c r="H16" s="81">
        <f>IF(VLOOKUP(A16,Ergebnis_je_Aktie_verwässert!A3:AJ68,11,FALSE)&gt;0,IF(VLOOKUP(A16,Schlußkurse!A5:AU70,40,FALSE)&gt;0,VLOOKUP(A16,Schlußkurse!A5:AU70,40,FALSE)/VLOOKUP(A16,Ergebnis_je_Aktie_verwässert!A3:AJ68,11,FALSE),""),"")</f>
        <v>10.148775894538607</v>
      </c>
      <c r="I16" s="81">
        <f>IF(VLOOKUP(A16,Ergebnis_je_Aktie_verwässert!A3:AJ68,12,FALSE)&gt;0,IF(VLOOKUP(A16,Schlußkurse!A5:AU70,41,FALSE)&gt;0,VLOOKUP(A16,Schlußkurse!A5:AU70,41,FALSE)/VLOOKUP(A16,Ergebnis_je_Aktie_verwässert!A3:AJ68,12,FALSE),""),"")</f>
        <v>8.8707280832095101</v>
      </c>
      <c r="J16" s="81">
        <f>IF(VLOOKUP(A16,Ergebnis_je_Aktie_verwässert!A3:AJ68,13,FALSE)&gt;0,IF(VLOOKUP(A16,Schlußkurse!A5:AU70,42,FALSE)&gt;0,VLOOKUP(A16,Schlußkurse!A5:AU70,42,FALSE)/VLOOKUP(A16,Ergebnis_je_Aktie_verwässert!A3:AJ68,13,FALSE),""),"")</f>
        <v>8.762096774193548</v>
      </c>
      <c r="K16" s="81">
        <f>IF(VLOOKUP(A16,Ergebnis_je_Aktie_verwässert!A3:AJ68,14,FALSE)&gt;0,IF(VLOOKUP(A16,Schlußkurse!A5:AU70,43,FALSE)&gt;0,VLOOKUP(A16,Schlußkurse!A5:AU70,43,FALSE)/VLOOKUP(A16,Ergebnis_je_Aktie_verwässert!A3:AJ68,14,FALSE),""),"")</f>
        <v>18.006493506493506</v>
      </c>
      <c r="L16" s="81">
        <f>IF(VLOOKUP(A16,Ergebnis_je_Aktie_verwässert!A3:AJ68,15,FALSE)&gt;0,IF(VLOOKUP(A16,Schlußkurse!A5:AU70,44,FALSE)&gt;0,VLOOKUP(A16,Schlußkurse!A5:AU70,44,FALSE)/VLOOKUP(A16,Ergebnis_je_Aktie_verwässert!A3:AJ68,15,FALSE),""),"")</f>
        <v>16.199680511182109</v>
      </c>
      <c r="M16" s="81">
        <f>IF(VLOOKUP(A16,Ergebnis_je_Aktie_verwässert!A3:AJ68,16,FALSE)&gt;0,IF(VLOOKUP(A16,Schlußkurse!A5:AU70,45,FALSE)&gt;0,VLOOKUP(A16,Schlußkurse!A5:AU70,45,FALSE)/VLOOKUP(A16,Ergebnis_je_Aktie_verwässert!A3:AJ68,16,FALSE),""),"")</f>
        <v>8.8762019230769216</v>
      </c>
      <c r="N16" s="81">
        <f>IF(VLOOKUP(A16,Ergebnis_je_Aktie_verwässert!A3:AJ68,17,FALSE)&gt;0,IF(VLOOKUP(A16,Schlußkurse!A5:AU70,46,FALSE)&gt;0,VLOOKUP(A16,Schlußkurse!A5:AU70,46,FALSE)/VLOOKUP(A16,Ergebnis_je_Aktie_verwässert!A3:AJ68,17,FALSE),""),"")</f>
        <v>10.142633228840124</v>
      </c>
      <c r="O16" s="82">
        <f>IF(VLOOKUP(A16,Ergebnis_je_Aktie_verwässert!A3:AJ68,18,FALSE)&gt;0,IF(VLOOKUP(A16,Schlußkurse!A5:AU70,47,FALSE)&gt;0,VLOOKUP(A16,Schlußkurse!A5:AU70,47,FALSE)/VLOOKUP(A16,Ergebnis_je_Aktie_verwässert!A3:AJ68,18,FALSE),""),"")</f>
        <v>9.2334494773519165</v>
      </c>
      <c r="P16" s="3">
        <f t="shared" si="1"/>
        <v>13.500948766603418</v>
      </c>
      <c r="Q16" s="3">
        <f ca="1">VLOOKUP(A16,Schlußkurse!A5:AU70,35,FALSE)/VLOOKUP(A16,Ergebnis_je_Aktie_verwässert!A3:AK68,23,FALSE)</f>
        <v>17.258328435032645</v>
      </c>
      <c r="R16" s="5">
        <f t="shared" ca="1" si="0"/>
        <v>0.27830486089419559</v>
      </c>
    </row>
    <row r="17" spans="1:18" x14ac:dyDescent="0.25">
      <c r="A17" t="s">
        <v>26</v>
      </c>
      <c r="B17" t="s">
        <v>27</v>
      </c>
      <c r="C17" s="80">
        <f>IF(VLOOKUP(A17,Ergebnis_je_Aktie_verwässert!A3:AJ68,6,FALSE)&gt;0,IF(VLOOKUP(A17,Schlußkurse!A5:AU70,35,FALSE)&gt;0,VLOOKUP(A17,Schlußkurse!A5:AU70,35,FALSE)/VLOOKUP(A17,Ergebnis_je_Aktie_verwässert!A3:AJ68,6,FALSE),""),"")</f>
        <v>19.95774647887324</v>
      </c>
      <c r="D17" s="81">
        <f>IF(VLOOKUP(A17,Ergebnis_je_Aktie_verwässert!A3:AJ68,7,FALSE)&gt;0,IF(VLOOKUP(A17,Schlußkurse!A5:AU70,36,FALSE)&gt;0,VLOOKUP(A17,Schlußkurse!A5:AU70,36,FALSE)/VLOOKUP(A17,Ergebnis_je_Aktie_verwässert!A3:AJ68,7,FALSE),""),"")</f>
        <v>22.599681020733652</v>
      </c>
      <c r="E17" s="81">
        <f>IF(VLOOKUP(A17,Ergebnis_je_Aktie_verwässert!A3:AJ68,8,FALSE)&gt;0,IF(VLOOKUP(A17,Schlußkurse!A5:AU70,37,FALSE)&gt;0,VLOOKUP(A17,Schlußkurse!A5:AU70,37,FALSE)/VLOOKUP(A17,Ergebnis_je_Aktie_verwässert!A3:AJ68,8,FALSE),""),"")</f>
        <v>21.8568665377176</v>
      </c>
      <c r="F17" s="81">
        <f>IF(VLOOKUP(A17,Ergebnis_je_Aktie_verwässert!A3:AJ68,9,FALSE)&gt;0,IF(VLOOKUP(A17,Schlußkurse!A5:AU70,38,FALSE)&gt;0,VLOOKUP(A17,Schlußkurse!A5:AU70,38,FALSE)/VLOOKUP(A17,Ergebnis_je_Aktie_verwässert!A3:AJ68,9,FALSE),""),"")</f>
        <v>24.625603864734302</v>
      </c>
      <c r="G17" s="81">
        <f>IF(VLOOKUP(A17,Ergebnis_je_Aktie_verwässert!A3:AJ68,10,FALSE)&gt;0,IF(VLOOKUP(A17,Schlußkurse!A5:AU70,39,FALSE)&gt;0,VLOOKUP(A17,Schlußkurse!A5:AU70,39,FALSE)/VLOOKUP(A17,Ergebnis_je_Aktie_verwässert!A3:AJ68,10,FALSE),""),"")</f>
        <v>18.624352331606218</v>
      </c>
      <c r="H17" s="81">
        <f>IF(VLOOKUP(A17,Ergebnis_je_Aktie_verwässert!A3:AJ68,11,FALSE)&gt;0,IF(VLOOKUP(A17,Schlußkurse!A5:AU70,40,FALSE)&gt;0,VLOOKUP(A17,Schlußkurse!A5:AU70,40,FALSE)/VLOOKUP(A17,Ergebnis_je_Aktie_verwässert!A3:AJ68,11,FALSE),""),"")</f>
        <v>16.689189189189189</v>
      </c>
      <c r="I17" s="81">
        <f>IF(VLOOKUP(A17,Ergebnis_je_Aktie_verwässert!A3:AJ68,12,FALSE)&gt;0,IF(VLOOKUP(A17,Schlußkurse!A5:AU70,41,FALSE)&gt;0,VLOOKUP(A17,Schlußkurse!A5:AU70,41,FALSE)/VLOOKUP(A17,Ergebnis_je_Aktie_verwässert!A3:AJ68,12,FALSE),""),"")</f>
        <v>18.49498327759197</v>
      </c>
      <c r="J17" s="81">
        <f>IF(VLOOKUP(A17,Ergebnis_je_Aktie_verwässert!A3:AJ68,13,FALSE)&gt;0,IF(VLOOKUP(A17,Schlußkurse!A5:AU70,42,FALSE)&gt;0,VLOOKUP(A17,Schlußkurse!A5:AU70,42,FALSE)/VLOOKUP(A17,Ergebnis_je_Aktie_verwässert!A3:AJ68,13,FALSE),""),"")</f>
        <v>35.64331210191083</v>
      </c>
      <c r="K17" s="81">
        <f>IF(VLOOKUP(A17,Ergebnis_je_Aktie_verwässert!A3:AJ68,14,FALSE)&gt;0,IF(VLOOKUP(A17,Schlußkurse!A5:AU70,43,FALSE)&gt;0,VLOOKUP(A17,Schlußkurse!A5:AU70,43,FALSE)/VLOOKUP(A17,Ergebnis_je_Aktie_verwässert!A3:AJ68,14,FALSE),""),"")</f>
        <v>24.441176470588236</v>
      </c>
      <c r="L17" s="81">
        <f>IF(VLOOKUP(A17,Ergebnis_je_Aktie_verwässert!A3:AJ68,15,FALSE)&gt;0,IF(VLOOKUP(A17,Schlußkurse!A5:AU70,44,FALSE)&gt;0,VLOOKUP(A17,Schlußkurse!A5:AU70,44,FALSE)/VLOOKUP(A17,Ergebnis_je_Aktie_verwässert!A3:AJ68,15,FALSE),""),"")</f>
        <v>28.166666666666664</v>
      </c>
      <c r="M17" s="81">
        <f>IF(VLOOKUP(A17,Ergebnis_je_Aktie_verwässert!A3:AJ68,16,FALSE)&gt;0,IF(VLOOKUP(A17,Schlußkurse!A5:AU70,45,FALSE)&gt;0,VLOOKUP(A17,Schlußkurse!A5:AU70,45,FALSE)/VLOOKUP(A17,Ergebnis_je_Aktie_verwässert!A3:AJ68,16,FALSE),""),"")</f>
        <v>10.7</v>
      </c>
      <c r="N17" s="81">
        <f>IF(VLOOKUP(A17,Ergebnis_je_Aktie_verwässert!A3:AJ68,17,FALSE)&gt;0,IF(VLOOKUP(A17,Schlußkurse!A5:AU70,46,FALSE)&gt;0,VLOOKUP(A17,Schlußkurse!A5:AU70,46,FALSE)/VLOOKUP(A17,Ergebnis_je_Aktie_verwässert!A3:AJ68,17,FALSE),""),"")</f>
        <v>15.896396396396394</v>
      </c>
      <c r="O17" s="82">
        <f>IF(VLOOKUP(A17,Ergebnis_je_Aktie_verwässert!A3:AJ68,18,FALSE)&gt;0,IF(VLOOKUP(A17,Schlußkurse!A5:AU70,47,FALSE)&gt;0,VLOOKUP(A17,Schlußkurse!A5:AU70,47,FALSE)/VLOOKUP(A17,Ergebnis_je_Aktie_verwässert!A3:AJ68,18,FALSE),""),"")</f>
        <v>11.388127853881279</v>
      </c>
      <c r="P17" s="3">
        <f t="shared" si="1"/>
        <v>19.95774647887324</v>
      </c>
      <c r="Q17" s="3">
        <f ca="1">VLOOKUP(A17,Schlußkurse!A5:AU70,35,FALSE)/VLOOKUP(A17,Ergebnis_je_Aktie_verwässert!A3:AK68,23,FALSE)</f>
        <v>26.274530002575325</v>
      </c>
      <c r="R17" s="5">
        <f t="shared" ca="1" si="0"/>
        <v>0.31650785475148058</v>
      </c>
    </row>
    <row r="18" spans="1:18" x14ac:dyDescent="0.25">
      <c r="A18" t="s">
        <v>28</v>
      </c>
      <c r="B18" t="s">
        <v>29</v>
      </c>
      <c r="C18" s="80">
        <f>IF(VLOOKUP(A18,Ergebnis_je_Aktie_verwässert!A3:AJ68,6,FALSE)&gt;0,IF(VLOOKUP(A18,Schlußkurse!A5:AU70,35,FALSE)&gt;0,VLOOKUP(A18,Schlußkurse!A5:AU70,35,FALSE)/VLOOKUP(A18,Ergebnis_je_Aktie_verwässert!A3:AJ68,6,FALSE),""),"")</f>
        <v>9.5522388059701484</v>
      </c>
      <c r="D18" s="81">
        <f>IF(VLOOKUP(A18,Ergebnis_je_Aktie_verwässert!A3:AJ68,7,FALSE)&gt;0,IF(VLOOKUP(A18,Schlußkurse!A5:AU70,36,FALSE)&gt;0,VLOOKUP(A18,Schlußkurse!A5:AU70,36,FALSE)/VLOOKUP(A18,Ergebnis_je_Aktie_verwässert!A3:AJ68,7,FALSE),""),"")</f>
        <v>10.491803278688526</v>
      </c>
      <c r="E18" s="81">
        <f>IF(VLOOKUP(A18,Ergebnis_je_Aktie_verwässert!A3:AJ68,8,FALSE)&gt;0,IF(VLOOKUP(A18,Schlußkurse!A5:AU70,37,FALSE)&gt;0,VLOOKUP(A18,Schlußkurse!A5:AU70,37,FALSE)/VLOOKUP(A18,Ergebnis_je_Aktie_verwässert!A3:AJ68,8,FALSE),""),"")</f>
        <v>12.72</v>
      </c>
      <c r="F18" s="81">
        <f>IF(VLOOKUP(A18,Ergebnis_je_Aktie_verwässert!A3:AJ68,9,FALSE)&gt;0,IF(VLOOKUP(A18,Schlußkurse!A5:AU70,38,FALSE)&gt;0,VLOOKUP(A18,Schlußkurse!A5:AU70,38,FALSE)/VLOOKUP(A18,Ergebnis_je_Aktie_verwässert!A3:AJ68,9,FALSE),""),"")</f>
        <v>13.554166666666667</v>
      </c>
      <c r="G18" s="81">
        <f>IF(VLOOKUP(A18,Ergebnis_je_Aktie_verwässert!A3:AJ68,10,FALSE)&gt;0,IF(VLOOKUP(A18,Schlußkurse!A5:AU70,39,FALSE)&gt;0,VLOOKUP(A18,Schlußkurse!A5:AU70,39,FALSE)/VLOOKUP(A18,Ergebnis_je_Aktie_verwässert!A3:AJ68,10,FALSE),""),"")</f>
        <v>15.249999999999998</v>
      </c>
      <c r="H18" s="81">
        <f>IF(VLOOKUP(A18,Ergebnis_je_Aktie_verwässert!A3:AJ68,11,FALSE)&gt;0,IF(VLOOKUP(A18,Schlußkurse!A5:AU70,40,FALSE)&gt;0,VLOOKUP(A18,Schlußkurse!A5:AU70,40,FALSE)/VLOOKUP(A18,Ergebnis_je_Aktie_verwässert!A3:AJ68,11,FALSE),""),"")</f>
        <v>26.681818181818183</v>
      </c>
      <c r="I18" s="81">
        <f>IF(VLOOKUP(A18,Ergebnis_je_Aktie_verwässert!A3:AJ68,12,FALSE)&gt;0,IF(VLOOKUP(A18,Schlußkurse!A5:AU70,41,FALSE)&gt;0,VLOOKUP(A18,Schlußkurse!A5:AU70,41,FALSE)/VLOOKUP(A18,Ergebnis_je_Aktie_verwässert!A3:AJ68,12,FALSE),""),"")</f>
        <v>12.948333333333334</v>
      </c>
      <c r="J18" s="81">
        <f>IF(VLOOKUP(A18,Ergebnis_je_Aktie_verwässert!A3:AJ68,13,FALSE)&gt;0,IF(VLOOKUP(A18,Schlußkurse!A5:AU70,42,FALSE)&gt;0,VLOOKUP(A18,Schlußkurse!A5:AU70,42,FALSE)/VLOOKUP(A18,Ergebnis_je_Aktie_verwässert!A3:AJ68,13,FALSE),""),"")</f>
        <v>12.04148936170213</v>
      </c>
      <c r="K18" s="81">
        <f>IF(VLOOKUP(A18,Ergebnis_je_Aktie_verwässert!A3:AJ68,14,FALSE)&gt;0,IF(VLOOKUP(A18,Schlußkurse!A5:AU70,43,FALSE)&gt;0,VLOOKUP(A18,Schlußkurse!A5:AU70,43,FALSE)/VLOOKUP(A18,Ergebnis_je_Aktie_verwässert!A3:AJ68,14,FALSE),""),"")</f>
        <v>6.3605769230769234</v>
      </c>
      <c r="L18" s="81">
        <f>IF(VLOOKUP(A18,Ergebnis_je_Aktie_verwässert!A3:AJ68,15,FALSE)&gt;0,IF(VLOOKUP(A18,Schlußkurse!A5:AU70,44,FALSE)&gt;0,VLOOKUP(A18,Schlußkurse!A5:AU70,44,FALSE)/VLOOKUP(A18,Ergebnis_je_Aktie_verwässert!A3:AJ68,15,FALSE),""),"")</f>
        <v>11.167768595041322</v>
      </c>
      <c r="M18" s="81">
        <f>IF(VLOOKUP(A18,Ergebnis_je_Aktie_verwässert!A3:AJ68,16,FALSE)&gt;0,IF(VLOOKUP(A18,Schlußkurse!A5:AU70,45,FALSE)&gt;0,VLOOKUP(A18,Schlußkurse!A5:AU70,45,FALSE)/VLOOKUP(A18,Ergebnis_je_Aktie_verwässert!A3:AJ68,16,FALSE),""),"")</f>
        <v>9.1624113475177307</v>
      </c>
      <c r="N18" s="81">
        <f>IF(VLOOKUP(A18,Ergebnis_je_Aktie_verwässert!A3:AJ68,17,FALSE)&gt;0,IF(VLOOKUP(A18,Schlußkurse!A5:AU70,46,FALSE)&gt;0,VLOOKUP(A18,Schlußkurse!A5:AU70,46,FALSE)/VLOOKUP(A18,Ergebnis_je_Aktie_verwässert!A3:AJ68,17,FALSE),""),"")</f>
        <v>8.4190082644628088</v>
      </c>
      <c r="O18" s="82">
        <f>IF(VLOOKUP(A18,Ergebnis_je_Aktie_verwässert!A3:AJ68,18,FALSE)&gt;0,IF(VLOOKUP(A18,Schlußkurse!A5:AU70,47,FALSE)&gt;0,VLOOKUP(A18,Schlußkurse!A5:AU70,47,FALSE)/VLOOKUP(A18,Ergebnis_je_Aktie_verwässert!A3:AJ68,18,FALSE),""),"")</f>
        <v>8.3420000000000005</v>
      </c>
      <c r="P18" s="3">
        <f t="shared" si="1"/>
        <v>11.167768595041322</v>
      </c>
      <c r="Q18" s="3">
        <f ca="1">VLOOKUP(A18,Schlußkurse!A5:AU70,35,FALSE)/VLOOKUP(A18,Ergebnis_je_Aktie_verwässert!A3:AK68,23,FALSE)</f>
        <v>11.384524162466647</v>
      </c>
      <c r="R18" s="5">
        <f t="shared" ca="1" si="0"/>
        <v>1.9409031050443559E-2</v>
      </c>
    </row>
    <row r="19" spans="1:18" x14ac:dyDescent="0.25">
      <c r="A19" t="s">
        <v>30</v>
      </c>
      <c r="B19" t="s">
        <v>31</v>
      </c>
      <c r="C19" s="80">
        <f>IF(VLOOKUP(A19,Ergebnis_je_Aktie_verwässert!A3:AJ68,6,FALSE)&gt;0,IF(VLOOKUP(A19,Schlußkurse!A5:AU70,35,FALSE)&gt;0,VLOOKUP(A19,Schlußkurse!A5:AU70,35,FALSE)/VLOOKUP(A19,Ergebnis_je_Aktie_verwässert!A3:AJ68,6,FALSE),""),"")</f>
        <v>12.490566037735849</v>
      </c>
      <c r="D19" s="81">
        <f>IF(VLOOKUP(A19,Ergebnis_je_Aktie_verwässert!A3:AJ68,7,FALSE)&gt;0,IF(VLOOKUP(A19,Schlußkurse!A5:AU70,36,FALSE)&gt;0,VLOOKUP(A19,Schlußkurse!A5:AU70,36,FALSE)/VLOOKUP(A19,Ergebnis_je_Aktie_verwässert!A3:AJ68,7,FALSE),""),"")</f>
        <v>14.391304347826086</v>
      </c>
      <c r="E19" s="81">
        <f>IF(VLOOKUP(A19,Ergebnis_je_Aktie_verwässert!A3:AJ68,8,FALSE)&gt;0,IF(VLOOKUP(A19,Schlußkurse!A5:AU70,37,FALSE)&gt;0,VLOOKUP(A19,Schlußkurse!A5:AU70,37,FALSE)/VLOOKUP(A19,Ergebnis_je_Aktie_verwässert!A3:AJ68,8,FALSE),""),"")</f>
        <v>14.023529411764706</v>
      </c>
      <c r="F19" s="81">
        <f>IF(VLOOKUP(A19,Ergebnis_je_Aktie_verwässert!A3:AJ68,9,FALSE)&gt;0,IF(VLOOKUP(A19,Schlußkurse!A5:AU70,38,FALSE)&gt;0,VLOOKUP(A19,Schlußkurse!A5:AU70,38,FALSE)/VLOOKUP(A19,Ergebnis_je_Aktie_verwässert!A3:AJ68,9,FALSE),""),"")</f>
        <v>19.401639344262296</v>
      </c>
      <c r="G19" s="81">
        <f>IF(VLOOKUP(A19,Ergebnis_je_Aktie_verwässert!A3:AJ68,10,FALSE)&gt;0,IF(VLOOKUP(A19,Schlußkurse!A5:AU70,39,FALSE)&gt;0,VLOOKUP(A19,Schlußkurse!A5:AU70,39,FALSE)/VLOOKUP(A19,Ergebnis_je_Aktie_verwässert!A3:AJ68,10,FALSE),""),"")</f>
        <v>10.089108910891088</v>
      </c>
      <c r="H19" s="81">
        <f>IF(VLOOKUP(A19,Ergebnis_je_Aktie_verwässert!A3:AJ68,11,FALSE)&gt;0,IF(VLOOKUP(A19,Schlußkurse!A5:AU70,40,FALSE)&gt;0,VLOOKUP(A19,Schlußkurse!A5:AU70,40,FALSE)/VLOOKUP(A19,Ergebnis_je_Aktie_verwässert!A3:AJ68,11,FALSE),""),"")</f>
        <v>15.385057471264368</v>
      </c>
      <c r="I19" s="81">
        <f>IF(VLOOKUP(A19,Ergebnis_je_Aktie_verwässert!A3:AJ68,12,FALSE)&gt;0,IF(VLOOKUP(A19,Schlußkurse!A5:AU70,41,FALSE)&gt;0,VLOOKUP(A19,Schlußkurse!A5:AU70,41,FALSE)/VLOOKUP(A19,Ergebnis_je_Aktie_verwässert!A3:AJ68,12,FALSE),""),"")</f>
        <v>14.137500000000001</v>
      </c>
      <c r="J19" s="81">
        <f>IF(VLOOKUP(A19,Ergebnis_je_Aktie_verwässert!A3:AJ68,13,FALSE)&gt;0,IF(VLOOKUP(A19,Schlußkurse!A5:AU70,42,FALSE)&gt;0,VLOOKUP(A19,Schlußkurse!A5:AU70,42,FALSE)/VLOOKUP(A19,Ergebnis_je_Aktie_verwässert!A3:AJ68,13,FALSE),""),"")</f>
        <v>8.6755555555555546</v>
      </c>
      <c r="K19" s="81">
        <f>IF(VLOOKUP(A19,Ergebnis_je_Aktie_verwässert!A3:AJ68,14,FALSE)&gt;0,IF(VLOOKUP(A19,Schlußkurse!A5:AU70,43,FALSE)&gt;0,VLOOKUP(A19,Schlußkurse!A5:AU70,43,FALSE)/VLOOKUP(A19,Ergebnis_je_Aktie_verwässert!A3:AJ68,14,FALSE),""),"")</f>
        <v>9.2690058479532169</v>
      </c>
      <c r="L19" s="81">
        <f>IF(VLOOKUP(A19,Ergebnis_je_Aktie_verwässert!A3:AJ68,15,FALSE)&gt;0,IF(VLOOKUP(A19,Schlußkurse!A5:AU70,44,FALSE)&gt;0,VLOOKUP(A19,Schlußkurse!A5:AU70,44,FALSE)/VLOOKUP(A19,Ergebnis_je_Aktie_verwässert!A3:AJ68,15,FALSE),""),"")</f>
        <v>13.631901840490798</v>
      </c>
      <c r="M19" s="81">
        <f>IF(VLOOKUP(A19,Ergebnis_je_Aktie_verwässert!A3:AJ68,16,FALSE)&gt;0,IF(VLOOKUP(A19,Schlußkurse!A5:AU70,45,FALSE)&gt;0,VLOOKUP(A19,Schlußkurse!A5:AU70,45,FALSE)/VLOOKUP(A19,Ergebnis_je_Aktie_verwässert!A3:AJ68,16,FALSE),""),"")</f>
        <v>8.620320855614974</v>
      </c>
      <c r="N19" s="81">
        <f>IF(VLOOKUP(A19,Ergebnis_je_Aktie_verwässert!A3:AJ68,17,FALSE)&gt;0,IF(VLOOKUP(A19,Schlußkurse!A5:AU70,46,FALSE)&gt;0,VLOOKUP(A19,Schlußkurse!A5:AU70,46,FALSE)/VLOOKUP(A19,Ergebnis_je_Aktie_verwässert!A3:AJ68,17,FALSE),""),"")</f>
        <v>9.7769230769230777</v>
      </c>
      <c r="O19" s="82">
        <f>IF(VLOOKUP(A19,Ergebnis_je_Aktie_verwässert!A3:AJ68,18,FALSE)&gt;0,IF(VLOOKUP(A19,Schlußkurse!A5:AU70,47,FALSE)&gt;0,VLOOKUP(A19,Schlußkurse!A5:AU70,47,FALSE)/VLOOKUP(A19,Ergebnis_je_Aktie_verwässert!A3:AJ68,18,FALSE),""),"")</f>
        <v>15.23076923076923</v>
      </c>
      <c r="P19" s="3">
        <f t="shared" si="1"/>
        <v>13.631901840490798</v>
      </c>
      <c r="Q19" s="3">
        <f ca="1">VLOOKUP(A19,Schlußkurse!A5:AU70,35,FALSE)/VLOOKUP(A19,Ergebnis_je_Aktie_verwässert!A3:AK68,23,FALSE)</f>
        <v>15.320626145093375</v>
      </c>
      <c r="R19" s="5">
        <f t="shared" ca="1" si="0"/>
        <v>0.12388031577417635</v>
      </c>
    </row>
    <row r="20" spans="1:18" x14ac:dyDescent="0.25">
      <c r="A20" t="s">
        <v>32</v>
      </c>
      <c r="B20" t="s">
        <v>33</v>
      </c>
      <c r="C20" s="80">
        <f>IF(VLOOKUP(A20,Ergebnis_je_Aktie_verwässert!A3:AJ68,6,FALSE)&gt;0,IF(VLOOKUP(A20,Schlußkurse!A5:AU70,35,FALSE)&gt;0,VLOOKUP(A20,Schlußkurse!A5:AU70,35,FALSE)/VLOOKUP(A20,Ergebnis_je_Aktie_verwässert!A3:AJ68,6,FALSE),""),"")</f>
        <v>8.08786231884058</v>
      </c>
      <c r="D20" s="81">
        <f>IF(VLOOKUP(A20,Ergebnis_je_Aktie_verwässert!A3:AJ68,7,FALSE)&gt;0,IF(VLOOKUP(A20,Schlußkurse!A5:AU70,36,FALSE)&gt;0,VLOOKUP(A20,Schlußkurse!A5:AU70,36,FALSE)/VLOOKUP(A20,Ergebnis_je_Aktie_verwässert!A3:AJ68,7,FALSE),""),"")</f>
        <v>9.8337004405286343</v>
      </c>
      <c r="E20" s="81">
        <f>IF(VLOOKUP(A20,Ergebnis_je_Aktie_verwässert!A3:AJ68,8,FALSE)&gt;0,IF(VLOOKUP(A20,Schlußkurse!A5:AU70,37,FALSE)&gt;0,VLOOKUP(A20,Schlußkurse!A5:AU70,37,FALSE)/VLOOKUP(A20,Ergebnis_je_Aktie_verwässert!A3:AJ68,8,FALSE),""),"")</f>
        <v>12.884848484848487</v>
      </c>
      <c r="F20" s="81">
        <f>IF(VLOOKUP(A20,Ergebnis_je_Aktie_verwässert!A3:AJ68,9,FALSE)&gt;0,IF(VLOOKUP(A20,Schlußkurse!A5:AU70,38,FALSE)&gt;0,VLOOKUP(A20,Schlußkurse!A5:AU70,38,FALSE)/VLOOKUP(A20,Ergebnis_je_Aktie_verwässert!A3:AJ68,9,FALSE),""),"")</f>
        <v>27.152439024390247</v>
      </c>
      <c r="G20" s="81">
        <f>IF(VLOOKUP(A20,Ergebnis_je_Aktie_verwässert!A3:AJ68,10,FALSE)&gt;0,IF(VLOOKUP(A20,Schlußkurse!A5:AU70,39,FALSE)&gt;0,VLOOKUP(A20,Schlußkurse!A5:AU70,39,FALSE)/VLOOKUP(A20,Ergebnis_je_Aktie_verwässert!A3:AJ68,10,FALSE),""),"")</f>
        <v>10.486559139784946</v>
      </c>
      <c r="H20" s="81">
        <f>IF(VLOOKUP(A20,Ergebnis_je_Aktie_verwässert!A3:AJ68,11,FALSE)&gt;0,IF(VLOOKUP(A20,Schlußkurse!A5:AU70,40,FALSE)&gt;0,VLOOKUP(A20,Schlußkurse!A5:AU70,40,FALSE)/VLOOKUP(A20,Ergebnis_je_Aktie_verwässert!A3:AJ68,11,FALSE),""),"")</f>
        <v>8.3686440677966107</v>
      </c>
      <c r="I20" s="81">
        <f>IF(VLOOKUP(A20,Ergebnis_je_Aktie_verwässert!A3:AJ68,12,FALSE)&gt;0,IF(VLOOKUP(A20,Schlußkurse!A5:AU70,41,FALSE)&gt;0,VLOOKUP(A20,Schlußkurse!A5:AU70,41,FALSE)/VLOOKUP(A20,Ergebnis_je_Aktie_verwässert!A3:AJ68,12,FALSE),""),"")</f>
        <v>7.2886029411764701</v>
      </c>
      <c r="J20" s="81">
        <f>IF(VLOOKUP(A20,Ergebnis_je_Aktie_verwässert!A3:AJ68,13,FALSE)&gt;0,IF(VLOOKUP(A20,Schlußkurse!A5:AU70,42,FALSE)&gt;0,VLOOKUP(A20,Schlußkurse!A5:AU70,42,FALSE)/VLOOKUP(A20,Ergebnis_je_Aktie_verwässert!A3:AJ68,13,FALSE),""),"")</f>
        <v>9.5552016985138017</v>
      </c>
      <c r="K20" s="81">
        <f>IF(VLOOKUP(A20,Ergebnis_je_Aktie_verwässert!A3:AJ68,14,FALSE)&gt;0,IF(VLOOKUP(A20,Schlußkurse!A5:AU70,43,FALSE)&gt;0,VLOOKUP(A20,Schlußkurse!A5:AU70,43,FALSE)/VLOOKUP(A20,Ergebnis_je_Aktie_verwässert!A3:AJ68,14,FALSE),""),"")</f>
        <v>10.293650793650793</v>
      </c>
      <c r="L20" s="81">
        <f>IF(VLOOKUP(A20,Ergebnis_je_Aktie_verwässert!A3:AJ68,15,FALSE)&gt;0,IF(VLOOKUP(A20,Schlußkurse!A5:AU70,44,FALSE)&gt;0,VLOOKUP(A20,Schlußkurse!A5:AU70,44,FALSE)/VLOOKUP(A20,Ergebnis_je_Aktie_verwässert!A3:AJ68,15,FALSE),""),"")</f>
        <v>12.065817409766455</v>
      </c>
      <c r="M20" s="81">
        <f>IF(VLOOKUP(A20,Ergebnis_je_Aktie_verwässert!A3:AJ68,16,FALSE)&gt;0,IF(VLOOKUP(A20,Schlußkurse!A5:AU70,45,FALSE)&gt;0,VLOOKUP(A20,Schlußkurse!A5:AU70,45,FALSE)/VLOOKUP(A20,Ergebnis_je_Aktie_verwässert!A3:AJ68,16,FALSE),""),"")</f>
        <v>9.4224137931034484</v>
      </c>
      <c r="N20" s="81">
        <f>IF(VLOOKUP(A20,Ergebnis_je_Aktie_verwässert!A3:AJ68,17,FALSE)&gt;0,IF(VLOOKUP(A20,Schlußkurse!A5:AU70,46,FALSE)&gt;0,VLOOKUP(A20,Schlußkurse!A5:AU70,46,FALSE)/VLOOKUP(A20,Ergebnis_je_Aktie_verwässert!A3:AJ68,17,FALSE),""),"")</f>
        <v>10.422396856581532</v>
      </c>
      <c r="O20" s="82">
        <f>IF(VLOOKUP(A20,Ergebnis_je_Aktie_verwässert!A3:AJ68,18,FALSE)&gt;0,IF(VLOOKUP(A20,Schlußkurse!A5:AU70,47,FALSE)&gt;0,VLOOKUP(A20,Schlußkurse!A5:AU70,47,FALSE)/VLOOKUP(A20,Ergebnis_je_Aktie_verwässert!A3:AJ68,18,FALSE),""),"")</f>
        <v>7.7259615384615374</v>
      </c>
      <c r="P20" s="3">
        <f t="shared" si="1"/>
        <v>9.8337004405286343</v>
      </c>
      <c r="Q20" s="3">
        <f ca="1">VLOOKUP(A20,Schlußkurse!A5:AU70,35,FALSE)/VLOOKUP(A20,Ergebnis_je_Aktie_verwässert!A3:AK68,23,FALSE)</f>
        <v>12.570941400994901</v>
      </c>
      <c r="R20" s="5">
        <f t="shared" ca="1" si="0"/>
        <v>0.27835309576698064</v>
      </c>
    </row>
    <row r="21" spans="1:18" x14ac:dyDescent="0.25">
      <c r="A21" t="s">
        <v>34</v>
      </c>
      <c r="B21" t="s">
        <v>35</v>
      </c>
      <c r="C21" s="80">
        <f>IF(VLOOKUP(A21,Ergebnis_je_Aktie_verwässert!A3:AJ68,6,FALSE)&gt;0,IF(VLOOKUP(A21,Schlußkurse!A5:AU70,35,FALSE)&gt;0,VLOOKUP(A21,Schlußkurse!A5:AU70,35,FALSE)/VLOOKUP(A21,Ergebnis_je_Aktie_verwässert!A3:AJ68,6,FALSE),""),"")</f>
        <v>18.675675675675674</v>
      </c>
      <c r="D21" s="81">
        <f>IF(VLOOKUP(A21,Ergebnis_je_Aktie_verwässert!A3:AJ68,7,FALSE)&gt;0,IF(VLOOKUP(A21,Schlußkurse!A5:AU70,36,FALSE)&gt;0,VLOOKUP(A21,Schlußkurse!A5:AU70,36,FALSE)/VLOOKUP(A21,Ergebnis_je_Aktie_verwässert!A3:AJ68,7,FALSE),""),"")</f>
        <v>20.061290322580643</v>
      </c>
      <c r="E21" s="81">
        <f>IF(VLOOKUP(A21,Ergebnis_je_Aktie_verwässert!A3:AJ68,8,FALSE)&gt;0,IF(VLOOKUP(A21,Schlußkurse!A5:AU70,37,FALSE)&gt;0,VLOOKUP(A21,Schlußkurse!A5:AU70,37,FALSE)/VLOOKUP(A21,Ergebnis_je_Aktie_verwässert!A3:AJ68,8,FALSE),""),"")</f>
        <v>19.308510638297875</v>
      </c>
      <c r="F21" s="81">
        <f>IF(VLOOKUP(A21,Ergebnis_je_Aktie_verwässert!A3:AJ68,9,FALSE)&gt;0,IF(VLOOKUP(A21,Schlußkurse!A5:AU70,38,FALSE)&gt;0,VLOOKUP(A21,Schlußkurse!A5:AU70,38,FALSE)/VLOOKUP(A21,Ergebnis_je_Aktie_verwässert!A3:AJ68,9,FALSE),""),"")</f>
        <v>18.820143884892087</v>
      </c>
      <c r="G21" s="81">
        <f>IF(VLOOKUP(A21,Ergebnis_je_Aktie_verwässert!A3:AJ68,10,FALSE)&gt;0,IF(VLOOKUP(A21,Schlußkurse!A5:AU70,39,FALSE)&gt;0,VLOOKUP(A21,Schlußkurse!A5:AU70,39,FALSE)/VLOOKUP(A21,Ergebnis_je_Aktie_verwässert!A3:AJ68,10,FALSE),""),"")</f>
        <v>20.621900826446282</v>
      </c>
      <c r="H21" s="81">
        <f>IF(VLOOKUP(A21,Ergebnis_je_Aktie_verwässert!A3:AJ68,11,FALSE)&gt;0,IF(VLOOKUP(A21,Schlußkurse!A5:AU70,40,FALSE)&gt;0,VLOOKUP(A21,Schlußkurse!A5:AU70,40,FALSE)/VLOOKUP(A21,Ergebnis_je_Aktie_verwässert!A3:AJ68,11,FALSE),""),"")</f>
        <v>17.534296028880867</v>
      </c>
      <c r="I21" s="81">
        <f>IF(VLOOKUP(A21,Ergebnis_je_Aktie_verwässert!A3:AJ68,12,FALSE)&gt;0,IF(VLOOKUP(A21,Schlußkurse!A5:AU70,41,FALSE)&gt;0,VLOOKUP(A21,Schlußkurse!A5:AU70,41,FALSE)/VLOOKUP(A21,Ergebnis_je_Aktie_verwässert!A3:AJ68,12,FALSE),""),"")</f>
        <v>16.974729241877256</v>
      </c>
      <c r="J21" s="81">
        <f>IF(VLOOKUP(A21,Ergebnis_je_Aktie_verwässert!A3:AJ68,13,FALSE)&gt;0,IF(VLOOKUP(A21,Schlußkurse!A5:AU70,42,FALSE)&gt;0,VLOOKUP(A21,Schlußkurse!A5:AU70,42,FALSE)/VLOOKUP(A21,Ergebnis_je_Aktie_verwässert!A3:AJ68,13,FALSE),""),"")</f>
        <v>14.088815789473683</v>
      </c>
      <c r="K21" s="81">
        <f>IF(VLOOKUP(A21,Ergebnis_je_Aktie_verwässert!A3:AJ68,14,FALSE)&gt;0,IF(VLOOKUP(A21,Schlußkurse!A5:AU70,43,FALSE)&gt;0,VLOOKUP(A21,Schlußkurse!A5:AU70,43,FALSE)/VLOOKUP(A21,Ergebnis_je_Aktie_verwässert!A3:AJ68,14,FALSE),""),"")</f>
        <v>16.801556420233464</v>
      </c>
      <c r="L21" s="81">
        <f>IF(VLOOKUP(A21,Ergebnis_je_Aktie_verwässert!A3:AJ68,15,FALSE)&gt;0,IF(VLOOKUP(A21,Schlußkurse!A5:AU70,44,FALSE)&gt;0,VLOOKUP(A21,Schlußkurse!A5:AU70,44,FALSE)/VLOOKUP(A21,Ergebnis_je_Aktie_verwässert!A3:AJ68,15,FALSE),""),"")</f>
        <v>22.408759124087588</v>
      </c>
      <c r="M21" s="81">
        <f>IF(VLOOKUP(A21,Ergebnis_je_Aktie_verwässert!A3:AJ68,16,FALSE)&gt;0,IF(VLOOKUP(A21,Schlußkurse!A5:AU70,45,FALSE)&gt;0,VLOOKUP(A21,Schlußkurse!A5:AU70,45,FALSE)/VLOOKUP(A21,Ergebnis_je_Aktie_verwässert!A3:AJ68,16,FALSE),""),"")</f>
        <v>31.366120218579233</v>
      </c>
      <c r="N21" s="81">
        <f>IF(VLOOKUP(A21,Ergebnis_je_Aktie_verwässert!A3:AJ68,17,FALSE)&gt;0,IF(VLOOKUP(A21,Schlußkurse!A5:AU70,46,FALSE)&gt;0,VLOOKUP(A21,Schlußkurse!A5:AU70,46,FALSE)/VLOOKUP(A21,Ergebnis_je_Aktie_verwässert!A3:AJ68,17,FALSE),""),"")</f>
        <v>15.929602888086643</v>
      </c>
      <c r="O21" s="82">
        <f>IF(VLOOKUP(A21,Ergebnis_je_Aktie_verwässert!A3:AJ68,18,FALSE)&gt;0,IF(VLOOKUP(A21,Schlußkurse!A5:AU70,47,FALSE)&gt;0,VLOOKUP(A21,Schlußkurse!A5:AU70,47,FALSE)/VLOOKUP(A21,Ergebnis_je_Aktie_verwässert!A3:AJ68,18,FALSE),""),"")</f>
        <v>11.556122448979593</v>
      </c>
      <c r="P21" s="3">
        <f t="shared" si="1"/>
        <v>18.675675675675674</v>
      </c>
      <c r="Q21" s="3">
        <f ca="1">VLOOKUP(A21,Schlußkurse!A5:AU70,35,FALSE)/VLOOKUP(A21,Ergebnis_je_Aktie_verwässert!A3:AK68,23,FALSE)</f>
        <v>21.617936734772698</v>
      </c>
      <c r="R21" s="5">
        <f t="shared" ca="1" si="0"/>
        <v>0.15754509288942109</v>
      </c>
    </row>
    <row r="22" spans="1:18" x14ac:dyDescent="0.25">
      <c r="A22" t="s">
        <v>36</v>
      </c>
      <c r="B22" t="s">
        <v>37</v>
      </c>
      <c r="C22" s="80">
        <f>IF(VLOOKUP(A22,Ergebnis_je_Aktie_verwässert!A3:AJ68,6,FALSE)&gt;0,IF(VLOOKUP(A22,Schlußkurse!A5:AU70,35,FALSE)&gt;0,VLOOKUP(A22,Schlußkurse!A5:AU70,35,FALSE)/VLOOKUP(A22,Ergebnis_je_Aktie_verwässert!A3:AJ68,6,FALSE),""),"")</f>
        <v>10.397762512690356</v>
      </c>
      <c r="D22" s="81">
        <f>IF(VLOOKUP(A22,Ergebnis_je_Aktie_verwässert!A3:AJ68,7,FALSE)&gt;0,IF(VLOOKUP(A22,Schlußkurse!A5:AU70,36,FALSE)&gt;0,VLOOKUP(A22,Schlußkurse!A5:AU70,36,FALSE)/VLOOKUP(A22,Ergebnis_je_Aktie_verwässert!A3:AJ68,7,FALSE),""),"")</f>
        <v>13.130507788461538</v>
      </c>
      <c r="E22" s="81">
        <f>IF(VLOOKUP(A22,Ergebnis_je_Aktie_verwässert!A3:AJ68,8,FALSE)&gt;0,IF(VLOOKUP(A22,Schlußkurse!A5:AU70,37,FALSE)&gt;0,VLOOKUP(A22,Schlußkurse!A5:AU70,37,FALSE)/VLOOKUP(A22,Ergebnis_je_Aktie_verwässert!A3:AJ68,8,FALSE),""),"")</f>
        <v>20.899833116883119</v>
      </c>
      <c r="F22" s="81">
        <f>IF(VLOOKUP(A22,Ergebnis_je_Aktie_verwässert!A3:AJ68,9,FALSE)&gt;0,IF(VLOOKUP(A22,Schlußkurse!A5:AU70,38,FALSE)&gt;0,VLOOKUP(A22,Schlußkurse!A5:AU70,38,FALSE)/VLOOKUP(A22,Ergebnis_je_Aktie_verwässert!A3:AJ68,9,FALSE),""),"")</f>
        <v>9.8750934362934366</v>
      </c>
      <c r="G22" s="81">
        <f>IF(VLOOKUP(A22,Ergebnis_je_Aktie_verwässert!A3:AJ68,10,FALSE)&gt;0,IF(VLOOKUP(A22,Schlußkurse!A5:AU70,39,FALSE)&gt;0,VLOOKUP(A22,Schlußkurse!A5:AU70,39,FALSE)/VLOOKUP(A22,Ergebnis_je_Aktie_verwässert!A3:AJ68,10,FALSE),""),"")</f>
        <v>13.900888235294117</v>
      </c>
      <c r="H22" s="81">
        <f>IF(VLOOKUP(A22,Ergebnis_je_Aktie_verwässert!A3:AJ68,11,FALSE)&gt;0,IF(VLOOKUP(A22,Schlußkurse!A5:AU70,40,FALSE)&gt;0,VLOOKUP(A22,Schlußkurse!A5:AU70,40,FALSE)/VLOOKUP(A22,Ergebnis_je_Aktie_verwässert!A3:AJ68,11,FALSE),""),"")</f>
        <v>13.663940277777778</v>
      </c>
      <c r="I22" s="81">
        <f>IF(VLOOKUP(A22,Ergebnis_je_Aktie_verwässert!A3:AJ68,12,FALSE)&gt;0,IF(VLOOKUP(A22,Schlußkurse!A5:AU70,41,FALSE)&gt;0,VLOOKUP(A22,Schlußkurse!A5:AU70,41,FALSE)/VLOOKUP(A22,Ergebnis_je_Aktie_verwässert!A3:AJ68,12,FALSE),""),"")</f>
        <v>6.1382846604215464</v>
      </c>
      <c r="J22" s="81">
        <f>IF(VLOOKUP(A22,Ergebnis_je_Aktie_verwässert!A3:AJ68,13,FALSE)&gt;0,IF(VLOOKUP(A22,Schlußkurse!A5:AU70,42,FALSE)&gt;0,VLOOKUP(A22,Schlußkurse!A5:AU70,42,FALSE)/VLOOKUP(A22,Ergebnis_je_Aktie_verwässert!A3:AJ68,13,FALSE),""),"")</f>
        <v>9.8417385964912292</v>
      </c>
      <c r="K22" s="81">
        <f>IF(VLOOKUP(A22,Ergebnis_je_Aktie_verwässert!A3:AJ68,14,FALSE)&gt;0,IF(VLOOKUP(A22,Schlußkurse!A5:AU70,43,FALSE)&gt;0,VLOOKUP(A22,Schlußkurse!A5:AU70,43,FALSE)/VLOOKUP(A22,Ergebnis_je_Aktie_verwässert!A3:AJ68,14,FALSE),""),"")</f>
        <v>36.425142857142859</v>
      </c>
      <c r="L22" s="81">
        <f>IF(VLOOKUP(A22,Ergebnis_je_Aktie_verwässert!A3:AJ68,15,FALSE)&gt;0,IF(VLOOKUP(A22,Schlußkurse!A5:AU70,44,FALSE)&gt;0,VLOOKUP(A22,Schlußkurse!A5:AU70,44,FALSE)/VLOOKUP(A22,Ergebnis_je_Aktie_verwässert!A3:AJ68,15,FALSE),""),"")</f>
        <v>10.151549090909091</v>
      </c>
      <c r="M22" s="81">
        <f>IF(VLOOKUP(A22,Ergebnis_je_Aktie_verwässert!A3:AJ68,16,FALSE)&gt;0,IF(VLOOKUP(A22,Schlußkurse!A5:AU70,45,FALSE)&gt;0,VLOOKUP(A22,Schlußkurse!A5:AU70,45,FALSE)/VLOOKUP(A22,Ergebnis_je_Aktie_verwässert!A3:AJ68,16,FALSE),""),"")</f>
        <v>8.4707895196506549</v>
      </c>
      <c r="N22" s="81">
        <f>IF(VLOOKUP(A22,Ergebnis_je_Aktie_verwässert!A3:AJ68,17,FALSE)&gt;0,IF(VLOOKUP(A22,Schlußkurse!A5:AU70,46,FALSE)&gt;0,VLOOKUP(A22,Schlußkurse!A5:AU70,46,FALSE)/VLOOKUP(A22,Ergebnis_je_Aktie_verwässert!A3:AJ68,17,FALSE),""),"")</f>
        <v>7.4168046511627912</v>
      </c>
      <c r="O22" s="82">
        <f>IF(VLOOKUP(A22,Ergebnis_je_Aktie_verwässert!A3:AJ68,18,FALSE)&gt;0,IF(VLOOKUP(A22,Schlußkurse!A5:AU70,47,FALSE)&gt;0,VLOOKUP(A22,Schlußkurse!A5:AU70,47,FALSE)/VLOOKUP(A22,Ergebnis_je_Aktie_verwässert!A3:AJ68,18,FALSE),""),"")</f>
        <v>8.6972160000000009</v>
      </c>
      <c r="P22" s="3">
        <f t="shared" si="1"/>
        <v>10.151549090909091</v>
      </c>
      <c r="Q22" s="3">
        <f ca="1">VLOOKUP(A22,Schlußkurse!A5:AU70,35,FALSE)/VLOOKUP(A22,Ergebnis_je_Aktie_verwässert!A3:AK68,23,FALSE)</f>
        <v>13.180262340030026</v>
      </c>
      <c r="R22" s="5">
        <f t="shared" ca="1" si="0"/>
        <v>0.29834985990790375</v>
      </c>
    </row>
    <row r="23" spans="1:18" x14ac:dyDescent="0.25">
      <c r="A23" t="s">
        <v>38</v>
      </c>
      <c r="B23" t="s">
        <v>39</v>
      </c>
      <c r="C23" s="80">
        <f>IF(VLOOKUP(A23,Ergebnis_je_Aktie_verwässert!A3:AJ68,6,FALSE)&gt;0,IF(VLOOKUP(A23,Schlußkurse!A5:AU70,35,FALSE)&gt;0,VLOOKUP(A23,Schlußkurse!A5:AU70,35,FALSE)/VLOOKUP(A23,Ergebnis_je_Aktie_verwässert!A3:AJ68,6,FALSE),""),"")</f>
        <v>14.8130081300813</v>
      </c>
      <c r="D23" s="81">
        <f>IF(VLOOKUP(A23,Ergebnis_je_Aktie_verwässert!A3:AJ68,7,FALSE)&gt;0,IF(VLOOKUP(A23,Schlußkurse!A5:AU70,36,FALSE)&gt;0,VLOOKUP(A23,Schlußkurse!A5:AU70,36,FALSE)/VLOOKUP(A23,Ergebnis_je_Aktie_verwässert!A3:AJ68,7,FALSE),""),"")</f>
        <v>16.488687782805428</v>
      </c>
      <c r="E23" s="81">
        <f>IF(VLOOKUP(A23,Ergebnis_je_Aktie_verwässert!A3:AJ68,8,FALSE)&gt;0,IF(VLOOKUP(A23,Schlußkurse!A5:AU70,37,FALSE)&gt;0,VLOOKUP(A23,Schlußkurse!A5:AU70,37,FALSE)/VLOOKUP(A23,Ergebnis_je_Aktie_verwässert!A3:AJ68,8,FALSE),""),"")</f>
        <v>17.326732673267326</v>
      </c>
      <c r="F23" s="81">
        <f>IF(VLOOKUP(A23,Ergebnis_je_Aktie_verwässert!A3:AJ68,9,FALSE)&gt;0,IF(VLOOKUP(A23,Schlußkurse!A5:AU70,38,FALSE)&gt;0,VLOOKUP(A23,Schlußkurse!A5:AU70,38,FALSE)/VLOOKUP(A23,Ergebnis_je_Aktie_verwässert!A3:AJ68,9,FALSE),""),"")</f>
        <v>16.520408163265309</v>
      </c>
      <c r="G23" s="81">
        <f>IF(VLOOKUP(A23,Ergebnis_je_Aktie_verwässert!A3:AJ68,10,FALSE)&gt;0,IF(VLOOKUP(A23,Schlußkurse!A5:AU70,39,FALSE)&gt;0,VLOOKUP(A23,Schlußkurse!A5:AU70,39,FALSE)/VLOOKUP(A23,Ergebnis_je_Aktie_verwässert!A3:AJ68,10,FALSE),""),"")</f>
        <v>15.224390243902441</v>
      </c>
      <c r="H23" s="81">
        <f>IF(VLOOKUP(A23,Ergebnis_je_Aktie_verwässert!A3:AJ68,11,FALSE)&gt;0,IF(VLOOKUP(A23,Schlußkurse!A5:AU70,40,FALSE)&gt;0,VLOOKUP(A23,Schlußkurse!A5:AU70,40,FALSE)/VLOOKUP(A23,Ergebnis_je_Aktie_verwässert!A3:AJ68,11,FALSE),""),"")</f>
        <v>15.51015228426396</v>
      </c>
      <c r="I23" s="81">
        <f>IF(VLOOKUP(A23,Ergebnis_je_Aktie_verwässert!A3:AJ68,12,FALSE)&gt;0,IF(VLOOKUP(A23,Schlußkurse!A5:AU70,41,FALSE)&gt;0,VLOOKUP(A23,Schlußkurse!A5:AU70,41,FALSE)/VLOOKUP(A23,Ergebnis_je_Aktie_verwässert!A3:AJ68,12,FALSE),""),"")</f>
        <v>15.791666666666668</v>
      </c>
      <c r="J23" s="81">
        <f>IF(VLOOKUP(A23,Ergebnis_je_Aktie_verwässert!A3:AJ68,13,FALSE)&gt;0,IF(VLOOKUP(A23,Schlußkurse!A5:AU70,42,FALSE)&gt;0,VLOOKUP(A23,Schlußkurse!A5:AU70,42,FALSE)/VLOOKUP(A23,Ergebnis_je_Aktie_verwässert!A3:AJ68,13,FALSE),""),"")</f>
        <v>14.003472222222221</v>
      </c>
      <c r="K23" s="81">
        <f>IF(VLOOKUP(A23,Ergebnis_je_Aktie_verwässert!A3:AJ68,14,FALSE)&gt;0,IF(VLOOKUP(A23,Schlußkurse!A5:AU70,43,FALSE)&gt;0,VLOOKUP(A23,Schlußkurse!A5:AU70,43,FALSE)/VLOOKUP(A23,Ergebnis_je_Aktie_verwässert!A3:AJ68,14,FALSE),""),"")</f>
        <v>13.235294117647058</v>
      </c>
      <c r="L23" s="81">
        <f>IF(VLOOKUP(A23,Ergebnis_je_Aktie_verwässert!A3:AJ68,15,FALSE)&gt;0,IF(VLOOKUP(A23,Schlußkurse!A5:AU70,44,FALSE)&gt;0,VLOOKUP(A23,Schlußkurse!A5:AU70,44,FALSE)/VLOOKUP(A23,Ergebnis_je_Aktie_verwässert!A3:AJ68,15,FALSE),""),"")</f>
        <v>15.97560975609756</v>
      </c>
      <c r="M23" s="81">
        <f>IF(VLOOKUP(A23,Ergebnis_je_Aktie_verwässert!A3:AJ68,16,FALSE)&gt;0,IF(VLOOKUP(A23,Schlußkurse!A5:AU70,45,FALSE)&gt;0,VLOOKUP(A23,Schlußkurse!A5:AU70,45,FALSE)/VLOOKUP(A23,Ergebnis_je_Aktie_verwässert!A3:AJ68,16,FALSE),""),"")</f>
        <v>13.740384615384615</v>
      </c>
      <c r="N23" s="81" t="str">
        <f>IF(VLOOKUP(A23,Ergebnis_je_Aktie_verwässert!A3:AJ68,17,FALSE)&gt;0,IF(VLOOKUP(A23,Schlußkurse!A5:AU70,46,FALSE)&gt;0,VLOOKUP(A23,Schlußkurse!A5:AU70,46,FALSE)/VLOOKUP(A23,Ergebnis_je_Aktie_verwässert!A3:AJ68,17,FALSE),""),"")</f>
        <v/>
      </c>
      <c r="O23" s="82" t="str">
        <f>IF(VLOOKUP(A23,Ergebnis_je_Aktie_verwässert!A3:AJ68,18,FALSE)&gt;0,IF(VLOOKUP(A23,Schlußkurse!A5:AU70,47,FALSE)&gt;0,VLOOKUP(A23,Schlußkurse!A5:AU70,47,FALSE)/VLOOKUP(A23,Ergebnis_je_Aktie_verwässert!A3:AJ68,18,FALSE),""),"")</f>
        <v/>
      </c>
      <c r="P23" s="3">
        <f t="shared" si="1"/>
        <v>15.51015228426396</v>
      </c>
      <c r="Q23" s="3">
        <f ca="1">VLOOKUP(A23,Schlußkurse!A5:AU70,35,FALSE)/VLOOKUP(A23,Ergebnis_je_Aktie_verwässert!A3:AK68,23,FALSE)</f>
        <v>17.701971473679947</v>
      </c>
      <c r="R23" s="5">
        <f t="shared" ca="1" si="0"/>
        <v>0.14131513019635067</v>
      </c>
    </row>
    <row r="24" spans="1:18" x14ac:dyDescent="0.25">
      <c r="A24" t="s">
        <v>40</v>
      </c>
      <c r="B24" t="s">
        <v>41</v>
      </c>
      <c r="C24" s="80">
        <f>IF(VLOOKUP(A24,Ergebnis_je_Aktie_verwässert!A3:AJ68,6,FALSE)&gt;0,IF(VLOOKUP(A24,Schlußkurse!A5:AU70,35,FALSE)&gt;0,VLOOKUP(A24,Schlußkurse!A5:AU70,35,FALSE)/VLOOKUP(A24,Ergebnis_je_Aktie_verwässert!A3:AJ68,6,FALSE),""),"")</f>
        <v>15.636363636363637</v>
      </c>
      <c r="D24" s="81">
        <f>IF(VLOOKUP(A24,Ergebnis_je_Aktie_verwässert!A3:AJ68,7,FALSE)&gt;0,IF(VLOOKUP(A24,Schlußkurse!A5:AU70,36,FALSE)&gt;0,VLOOKUP(A24,Schlußkurse!A5:AU70,36,FALSE)/VLOOKUP(A24,Ergebnis_je_Aktie_verwässert!A3:AJ68,7,FALSE),""),"")</f>
        <v>17.393258426966291</v>
      </c>
      <c r="E24" s="81">
        <f>IF(VLOOKUP(A24,Ergebnis_je_Aktie_verwässert!A3:AJ68,8,FALSE)&gt;0,IF(VLOOKUP(A24,Schlußkurse!A5:AU70,37,FALSE)&gt;0,VLOOKUP(A24,Schlußkurse!A5:AU70,37,FALSE)/VLOOKUP(A24,Ergebnis_je_Aktie_verwässert!A3:AJ68,8,FALSE),""),"")</f>
        <v>15.952095808383234</v>
      </c>
      <c r="F24" s="81">
        <f>IF(VLOOKUP(A24,Ergebnis_je_Aktie_verwässert!A3:AJ68,9,FALSE)&gt;0,IF(VLOOKUP(A24,Schlußkurse!A5:AU70,38,FALSE)&gt;0,VLOOKUP(A24,Schlußkurse!A5:AU70,38,FALSE)/VLOOKUP(A24,Ergebnis_je_Aktie_verwässert!A3:AJ68,9,FALSE),""),"")</f>
        <v>15.452702702702704</v>
      </c>
      <c r="G24" s="81">
        <f>IF(VLOOKUP(A24,Ergebnis_je_Aktie_verwässert!A3:AJ68,10,FALSE)&gt;0,IF(VLOOKUP(A24,Schlußkurse!A5:AU70,39,FALSE)&gt;0,VLOOKUP(A24,Schlußkurse!A5:AU70,39,FALSE)/VLOOKUP(A24,Ergebnis_je_Aktie_verwässert!A3:AJ68,10,FALSE),""),"")</f>
        <v>23.875000000000004</v>
      </c>
      <c r="H24" s="81">
        <f>IF(VLOOKUP(A24,Ergebnis_je_Aktie_verwässert!A3:AJ68,11,FALSE)&gt;0,IF(VLOOKUP(A24,Schlußkurse!A5:AU70,40,FALSE)&gt;0,VLOOKUP(A24,Schlußkurse!A5:AU70,40,FALSE)/VLOOKUP(A24,Ergebnis_je_Aktie_verwässert!A3:AJ68,11,FALSE),""),"")</f>
        <v>31.970588235294112</v>
      </c>
      <c r="I24" s="81">
        <f>IF(VLOOKUP(A24,Ergebnis_je_Aktie_verwässert!A3:AJ68,12,FALSE)&gt;0,IF(VLOOKUP(A24,Schlußkurse!A5:AU70,41,FALSE)&gt;0,VLOOKUP(A24,Schlußkurse!A5:AU70,41,FALSE)/VLOOKUP(A24,Ergebnis_je_Aktie_verwässert!A3:AJ68,12,FALSE),""),"")</f>
        <v>10.717514124293784</v>
      </c>
      <c r="J24" s="81">
        <f>IF(VLOOKUP(A24,Ergebnis_je_Aktie_verwässert!A3:AJ68,13,FALSE)&gt;0,IF(VLOOKUP(A24,Schlußkurse!A5:AU70,42,FALSE)&gt;0,VLOOKUP(A24,Schlußkurse!A5:AU70,42,FALSE)/VLOOKUP(A24,Ergebnis_je_Aktie_verwässert!A3:AJ68,13,FALSE),""),"")</f>
        <v>12.216216216216216</v>
      </c>
      <c r="K24" s="81">
        <f>IF(VLOOKUP(A24,Ergebnis_je_Aktie_verwässert!A3:AJ68,14,FALSE)&gt;0,IF(VLOOKUP(A24,Schlußkurse!A5:AU70,43,FALSE)&gt;0,VLOOKUP(A24,Schlußkurse!A5:AU70,43,FALSE)/VLOOKUP(A24,Ergebnis_je_Aktie_verwässert!A3:AJ68,14,FALSE),""),"")</f>
        <v>27.646153846153844</v>
      </c>
      <c r="L24" s="81">
        <f>IF(VLOOKUP(A24,Ergebnis_je_Aktie_verwässert!A3:AJ68,15,FALSE)&gt;0,IF(VLOOKUP(A24,Schlußkurse!A5:AU70,44,FALSE)&gt;0,VLOOKUP(A24,Schlußkurse!A5:AU70,44,FALSE)/VLOOKUP(A24,Ergebnis_je_Aktie_verwässert!A3:AJ68,15,FALSE),""),"")</f>
        <v>44.82</v>
      </c>
      <c r="M24" s="81">
        <f>IF(VLOOKUP(A24,Ergebnis_je_Aktie_verwässert!A3:AJ68,16,FALSE)&gt;0,IF(VLOOKUP(A24,Schlußkurse!A5:AU70,45,FALSE)&gt;0,VLOOKUP(A24,Schlußkurse!A5:AU70,45,FALSE)/VLOOKUP(A24,Ergebnis_je_Aktie_verwässert!A3:AJ68,16,FALSE),""),"")</f>
        <v>15.344827586206899</v>
      </c>
      <c r="N24" s="81" t="str">
        <f>IF(VLOOKUP(A24,Ergebnis_je_Aktie_verwässert!A3:AJ68,17,FALSE)&gt;0,IF(VLOOKUP(A24,Schlußkurse!A5:AU70,46,FALSE)&gt;0,VLOOKUP(A24,Schlußkurse!A5:AU70,46,FALSE)/VLOOKUP(A24,Ergebnis_je_Aktie_verwässert!A3:AJ68,17,FALSE),""),"")</f>
        <v/>
      </c>
      <c r="O24" s="82" t="str">
        <f>IF(VLOOKUP(A24,Ergebnis_je_Aktie_verwässert!A3:AJ68,18,FALSE)&gt;0,IF(VLOOKUP(A24,Schlußkurse!A5:AU70,47,FALSE)&gt;0,VLOOKUP(A24,Schlußkurse!A5:AU70,47,FALSE)/VLOOKUP(A24,Ergebnis_je_Aktie_verwässert!A3:AJ68,18,FALSE),""),"")</f>
        <v/>
      </c>
      <c r="P24" s="3">
        <f t="shared" si="1"/>
        <v>15.952095808383234</v>
      </c>
      <c r="Q24" s="3">
        <f ca="1">VLOOKUP(A24,Schlußkurse!A5:AU70,35,FALSE)/VLOOKUP(A24,Ergebnis_je_Aktie_verwässert!A3:AK68,23,FALSE)</f>
        <v>17.998837284413153</v>
      </c>
      <c r="R24" s="5">
        <f t="shared" ca="1" si="0"/>
        <v>0.12830549042680039</v>
      </c>
    </row>
    <row r="25" spans="1:18" x14ac:dyDescent="0.25">
      <c r="A25" t="s">
        <v>42</v>
      </c>
      <c r="B25" t="s">
        <v>43</v>
      </c>
      <c r="C25" s="80">
        <f>IF(VLOOKUP(A25,Ergebnis_je_Aktie_verwässert!A3:AJ68,6,FALSE)&gt;0,IF(VLOOKUP(A25,Schlußkurse!A5:AU70,35,FALSE)&gt;0,VLOOKUP(A25,Schlußkurse!A5:AU70,35,FALSE)/VLOOKUP(A25,Ergebnis_je_Aktie_verwässert!A3:AJ68,6,FALSE),""),"")</f>
        <v>9.1939069</v>
      </c>
      <c r="D25" s="81">
        <f>IF(VLOOKUP(A25,Ergebnis_je_Aktie_verwässert!A3:AJ68,7,FALSE)&gt;0,IF(VLOOKUP(A25,Schlußkurse!A5:AU70,36,FALSE)&gt;0,VLOOKUP(A25,Schlußkurse!A5:AU70,36,FALSE)/VLOOKUP(A25,Ergebnis_je_Aktie_verwässert!A3:AJ68,7,FALSE),""),"")</f>
        <v>9.2972092247191007</v>
      </c>
      <c r="E25" s="81">
        <f>IF(VLOOKUP(A25,Ergebnis_je_Aktie_verwässert!A3:AJ68,8,FALSE)&gt;0,IF(VLOOKUP(A25,Schlußkurse!A5:AU70,37,FALSE)&gt;0,VLOOKUP(A25,Schlußkurse!A5:AU70,37,FALSE)/VLOOKUP(A25,Ergebnis_je_Aktie_verwässert!A3:AJ68,8,FALSE),""),"")</f>
        <v>11.421148915662652</v>
      </c>
      <c r="F25" s="81">
        <f>IF(VLOOKUP(A25,Ergebnis_je_Aktie_verwässert!A3:AJ68,9,FALSE)&gt;0,IF(VLOOKUP(A25,Schlußkurse!A5:AU70,38,FALSE)&gt;0,VLOOKUP(A25,Schlußkurse!A5:AU70,38,FALSE)/VLOOKUP(A25,Ergebnis_je_Aktie_verwässert!A3:AJ68,9,FALSE),""),"")</f>
        <v>15.90912</v>
      </c>
      <c r="G25" s="81">
        <f>IF(VLOOKUP(A25,Ergebnis_je_Aktie_verwässert!A3:AJ68,10,FALSE)&gt;0,IF(VLOOKUP(A25,Schlußkurse!A5:AU70,39,FALSE)&gt;0,VLOOKUP(A25,Schlußkurse!A5:AU70,39,FALSE)/VLOOKUP(A25,Ergebnis_je_Aktie_verwässert!A3:AJ68,10,FALSE),""),"")</f>
        <v>12.524446071428573</v>
      </c>
      <c r="H25" s="81">
        <f>IF(VLOOKUP(A25,Ergebnis_je_Aktie_verwässert!A3:AJ68,11,FALSE)&gt;0,IF(VLOOKUP(A25,Schlußkurse!A5:AU70,40,FALSE)&gt;0,VLOOKUP(A25,Schlußkurse!A5:AU70,40,FALSE)/VLOOKUP(A25,Ergebnis_je_Aktie_verwässert!A3:AJ68,11,FALSE),""),"")</f>
        <v>10.316695067567567</v>
      </c>
      <c r="I25" s="81">
        <f>IF(VLOOKUP(A25,Ergebnis_je_Aktie_verwässert!A3:AJ68,12,FALSE)&gt;0,IF(VLOOKUP(A25,Schlußkurse!A5:AU70,41,FALSE)&gt;0,VLOOKUP(A25,Schlußkurse!A5:AU70,41,FALSE)/VLOOKUP(A25,Ergebnis_je_Aktie_verwässert!A3:AJ68,12,FALSE),""),"")</f>
        <v>11.158852307692307</v>
      </c>
      <c r="J25" s="81">
        <f>IF(VLOOKUP(A25,Ergebnis_je_Aktie_verwässert!A3:AJ68,13,FALSE)&gt;0,IF(VLOOKUP(A25,Schlußkurse!A5:AU70,42,FALSE)&gt;0,VLOOKUP(A25,Schlußkurse!A5:AU70,42,FALSE)/VLOOKUP(A25,Ergebnis_je_Aktie_verwässert!A3:AJ68,13,FALSE),""),"")</f>
        <v>15.91452888888889</v>
      </c>
      <c r="K25" s="81">
        <f>IF(VLOOKUP(A25,Ergebnis_je_Aktie_verwässert!A3:AJ68,14,FALSE)&gt;0,IF(VLOOKUP(A25,Schlußkurse!A5:AU70,43,FALSE)&gt;0,VLOOKUP(A25,Schlußkurse!A5:AU70,43,FALSE)/VLOOKUP(A25,Ergebnis_je_Aktie_verwässert!A3:AJ68,14,FALSE),""),"")</f>
        <v>23.158743708823526</v>
      </c>
      <c r="L25" s="81">
        <f>IF(VLOOKUP(A25,Ergebnis_je_Aktie_verwässert!A3:AJ68,15,FALSE)&gt;0,IF(VLOOKUP(A25,Schlußkurse!A5:AU70,44,FALSE)&gt;0,VLOOKUP(A25,Schlußkurse!A5:AU70,44,FALSE)/VLOOKUP(A25,Ergebnis_je_Aktie_verwässert!A3:AJ68,15,FALSE),""),"")</f>
        <v>29.068102800000005</v>
      </c>
      <c r="M25" s="81">
        <f>IF(VLOOKUP(A25,Ergebnis_je_Aktie_verwässert!A3:AJ68,16,FALSE)&gt;0,IF(VLOOKUP(A25,Schlußkurse!A5:AU70,45,FALSE)&gt;0,VLOOKUP(A25,Schlußkurse!A5:AU70,45,FALSE)/VLOOKUP(A25,Ergebnis_je_Aktie_verwässert!A3:AJ68,16,FALSE),""),"")</f>
        <v>9.1474850233128837</v>
      </c>
      <c r="N25" s="81">
        <f>IF(VLOOKUP(A25,Ergebnis_je_Aktie_verwässert!A3:AJ68,17,FALSE)&gt;0,IF(VLOOKUP(A25,Schlußkurse!A5:AU70,46,FALSE)&gt;0,VLOOKUP(A25,Schlußkurse!A5:AU70,46,FALSE)/VLOOKUP(A25,Ergebnis_je_Aktie_verwässert!A3:AJ68,17,FALSE),""),"")</f>
        <v>9.4466844258992815</v>
      </c>
      <c r="O25" s="82">
        <f>IF(VLOOKUP(A25,Ergebnis_je_Aktie_verwässert!A3:AJ68,18,FALSE)&gt;0,IF(VLOOKUP(A25,Schlußkurse!A5:AU70,47,FALSE)&gt;0,VLOOKUP(A25,Schlußkurse!A5:AU70,47,FALSE)/VLOOKUP(A25,Ergebnis_je_Aktie_verwässert!A3:AJ68,18,FALSE),""),"")</f>
        <v>10.220166488888889</v>
      </c>
      <c r="P25" s="3">
        <f t="shared" si="1"/>
        <v>11.158852307692307</v>
      </c>
      <c r="Q25" s="3">
        <f ca="1">VLOOKUP(A25,Schlußkurse!A5:AU70,35,FALSE)/VLOOKUP(A25,Ergebnis_je_Aktie_verwässert!A3:AK68,23,FALSE)</f>
        <v>9.8252715733227785</v>
      </c>
      <c r="R25" s="5">
        <f t="shared" ca="1" si="0"/>
        <v>-0.11950877183402009</v>
      </c>
    </row>
    <row r="26" spans="1:18" x14ac:dyDescent="0.25">
      <c r="A26" t="s">
        <v>44</v>
      </c>
      <c r="B26" t="s">
        <v>45</v>
      </c>
      <c r="C26" s="80">
        <f>IF(VLOOKUP(A26,Ergebnis_je_Aktie_verwässert!A3:AJ68,6,FALSE)&gt;0,IF(VLOOKUP(A26,Schlußkurse!A5:AU70,35,FALSE)&gt;0,VLOOKUP(A26,Schlußkurse!A5:AU70,35,FALSE)/VLOOKUP(A26,Ergebnis_je_Aktie_verwässert!A3:AJ68,6,FALSE),""),"")</f>
        <v>7.5166617332123415</v>
      </c>
      <c r="D26" s="81">
        <f>IF(VLOOKUP(A26,Ergebnis_je_Aktie_verwässert!A3:AJ68,7,FALSE)&gt;0,IF(VLOOKUP(A26,Schlußkurse!A5:AU70,36,FALSE)&gt;0,VLOOKUP(A26,Schlußkurse!A5:AU70,36,FALSE)/VLOOKUP(A26,Ergebnis_je_Aktie_verwässert!A3:AJ68,7,FALSE),""),"")</f>
        <v>9.1226445264317171</v>
      </c>
      <c r="E26" s="81">
        <f>IF(VLOOKUP(A26,Ergebnis_je_Aktie_verwässert!A3:AJ68,8,FALSE)&gt;0,IF(VLOOKUP(A26,Schlußkurse!A5:AU70,37,FALSE)&gt;0,VLOOKUP(A26,Schlußkurse!A5:AU70,37,FALSE)/VLOOKUP(A26,Ergebnis_je_Aktie_verwässert!A3:AJ68,8,FALSE),""),"")</f>
        <v>12.296842105263158</v>
      </c>
      <c r="F26" s="81">
        <f>IF(VLOOKUP(A26,Ergebnis_je_Aktie_verwässert!A3:AJ68,9,FALSE)&gt;0,IF(VLOOKUP(A26,Schlußkurse!A5:AU70,38,FALSE)&gt;0,VLOOKUP(A26,Schlußkurse!A5:AU70,38,FALSE)/VLOOKUP(A26,Ergebnis_je_Aktie_verwässert!A3:AJ68,9,FALSE),""),"")</f>
        <v>16.097502564102566</v>
      </c>
      <c r="G26" s="81">
        <f>IF(VLOOKUP(A26,Ergebnis_je_Aktie_verwässert!A3:AJ68,10,FALSE)&gt;0,IF(VLOOKUP(A26,Schlußkurse!A5:AU70,39,FALSE)&gt;0,VLOOKUP(A26,Schlußkurse!A5:AU70,39,FALSE)/VLOOKUP(A26,Ergebnis_je_Aktie_verwässert!A3:AJ68,10,FALSE),""),"")</f>
        <v>28.988591116751273</v>
      </c>
      <c r="H26" s="81" t="str">
        <f>IF(VLOOKUP(A26,Ergebnis_je_Aktie_verwässert!A3:AJ68,11,FALSE)&gt;0,IF(VLOOKUP(A26,Schlußkurse!A5:AU70,40,FALSE)&gt;0,VLOOKUP(A26,Schlußkurse!A5:AU70,40,FALSE)/VLOOKUP(A26,Ergebnis_je_Aktie_verwässert!A3:AJ68,11,FALSE),""),"")</f>
        <v/>
      </c>
      <c r="I26" s="81">
        <f>IF(VLOOKUP(A26,Ergebnis_je_Aktie_verwässert!A3:AJ68,12,FALSE)&gt;0,IF(VLOOKUP(A26,Schlußkurse!A5:AU70,41,FALSE)&gt;0,VLOOKUP(A26,Schlußkurse!A5:AU70,41,FALSE)/VLOOKUP(A26,Ergebnis_je_Aktie_verwässert!A3:AJ68,12,FALSE),""),"")</f>
        <v>23.169355629139076</v>
      </c>
      <c r="J26" s="81">
        <f>IF(VLOOKUP(A26,Ergebnis_je_Aktie_verwässert!A3:AJ68,13,FALSE)&gt;0,IF(VLOOKUP(A26,Schlußkurse!A5:AU70,42,FALSE)&gt;0,VLOOKUP(A26,Schlußkurse!A5:AU70,42,FALSE)/VLOOKUP(A26,Ergebnis_je_Aktie_verwässert!A3:AJ68,13,FALSE),""),"")</f>
        <v>7.5485867768595041</v>
      </c>
      <c r="K26" s="81">
        <f>IF(VLOOKUP(A26,Ergebnis_je_Aktie_verwässert!A3:AJ68,14,FALSE)&gt;0,IF(VLOOKUP(A26,Schlußkurse!A5:AU70,43,FALSE)&gt;0,VLOOKUP(A26,Schlußkurse!A5:AU70,43,FALSE)/VLOOKUP(A26,Ergebnis_je_Aktie_verwässert!A3:AJ68,14,FALSE),""),"")</f>
        <v>6.5094150698181812</v>
      </c>
      <c r="L26" s="81">
        <f>IF(VLOOKUP(A26,Ergebnis_je_Aktie_verwässert!A3:AJ68,15,FALSE)&gt;0,IF(VLOOKUP(A26,Schlußkurse!A5:AU70,44,FALSE)&gt;0,VLOOKUP(A26,Schlußkurse!A5:AU70,44,FALSE)/VLOOKUP(A26,Ergebnis_je_Aktie_verwässert!A3:AJ68,15,FALSE),""),"")</f>
        <v>37.239617335897435</v>
      </c>
      <c r="M26" s="81">
        <f>IF(VLOOKUP(A26,Ergebnis_je_Aktie_verwässert!A3:AJ68,16,FALSE)&gt;0,IF(VLOOKUP(A26,Schlußkurse!A5:AU70,45,FALSE)&gt;0,VLOOKUP(A26,Schlußkurse!A5:AU70,45,FALSE)/VLOOKUP(A26,Ergebnis_je_Aktie_verwässert!A3:AJ68,16,FALSE),""),"")</f>
        <v>7.7682762720848046</v>
      </c>
      <c r="N26" s="81">
        <f>IF(VLOOKUP(A26,Ergebnis_je_Aktie_verwässert!A3:AJ68,17,FALSE)&gt;0,IF(VLOOKUP(A26,Schlußkurse!A5:AU70,46,FALSE)&gt;0,VLOOKUP(A26,Schlußkurse!A5:AU70,46,FALSE)/VLOOKUP(A26,Ergebnis_je_Aktie_verwässert!A3:AJ68,17,FALSE),""),"")</f>
        <v>6.7882031741007207</v>
      </c>
      <c r="O26" s="82">
        <f>IF(VLOOKUP(A26,Ergebnis_je_Aktie_verwässert!A3:AJ68,18,FALSE)&gt;0,IF(VLOOKUP(A26,Schlußkurse!A5:AU70,47,FALSE)&gt;0,VLOOKUP(A26,Schlußkurse!A5:AU70,47,FALSE)/VLOOKUP(A26,Ergebnis_je_Aktie_verwässert!A3:AJ68,18,FALSE),""),"")</f>
        <v>6.379284793700787</v>
      </c>
      <c r="P26" s="3">
        <f t="shared" si="1"/>
        <v>8.4454603992582609</v>
      </c>
      <c r="Q26" s="3">
        <f ca="1">VLOOKUP(A26,Schlußkurse!A5:AU70,35,FALSE)/VLOOKUP(A26,Ergebnis_je_Aktie_verwässert!A3:AK68,23,FALSE)</f>
        <v>10.485119909705912</v>
      </c>
      <c r="R26" s="5">
        <f t="shared" ca="1" si="0"/>
        <v>0.24150957011494456</v>
      </c>
    </row>
    <row r="27" spans="1:18" x14ac:dyDescent="0.25">
      <c r="A27" t="s">
        <v>46</v>
      </c>
      <c r="B27" t="s">
        <v>47</v>
      </c>
      <c r="C27" s="80">
        <f>IF(VLOOKUP(A27,Ergebnis_je_Aktie_verwässert!A3:AJ68,6,FALSE)&gt;0,IF(VLOOKUP(A27,Schlußkurse!A5:AU70,35,FALSE)&gt;0,VLOOKUP(A27,Schlußkurse!A5:AU70,35,FALSE)/VLOOKUP(A27,Ergebnis_je_Aktie_verwässert!A3:AJ68,6,FALSE),""),"")</f>
        <v>9.3419939772727272</v>
      </c>
      <c r="D27" s="81">
        <f>IF(VLOOKUP(A27,Ergebnis_je_Aktie_verwässert!A3:AJ68,7,FALSE)&gt;0,IF(VLOOKUP(A27,Schlußkurse!A5:AU70,36,FALSE)&gt;0,VLOOKUP(A27,Schlußkurse!A5:AU70,36,FALSE)/VLOOKUP(A27,Ergebnis_je_Aktie_verwässert!A3:AJ68,7,FALSE),""),"")</f>
        <v>11.417992638888888</v>
      </c>
      <c r="E27" s="81">
        <f>IF(VLOOKUP(A27,Ergebnis_je_Aktie_verwässert!A3:AJ68,8,FALSE)&gt;0,IF(VLOOKUP(A27,Schlußkurse!A5:AU70,37,FALSE)&gt;0,VLOOKUP(A27,Schlußkurse!A5:AU70,37,FALSE)/VLOOKUP(A27,Ergebnis_je_Aktie_verwässert!A3:AJ68,8,FALSE),""),"")</f>
        <v>18.290674285714289</v>
      </c>
      <c r="F27" s="81">
        <f>IF(VLOOKUP(A27,Ergebnis_je_Aktie_verwässert!A3:AJ68,9,FALSE)&gt;0,IF(VLOOKUP(A27,Schlußkurse!A5:AU70,38,FALSE)&gt;0,VLOOKUP(A27,Schlußkurse!A5:AU70,38,FALSE)/VLOOKUP(A27,Ergebnis_je_Aktie_verwässert!A3:AJ68,9,FALSE),""),"")</f>
        <v>40.439822999999997</v>
      </c>
      <c r="G27" s="81">
        <f>IF(VLOOKUP(A27,Ergebnis_je_Aktie_verwässert!A3:AJ68,10,FALSE)&gt;0,IF(VLOOKUP(A27,Schlußkurse!A5:AU70,39,FALSE)&gt;0,VLOOKUP(A27,Schlußkurse!A5:AU70,39,FALSE)/VLOOKUP(A27,Ergebnis_je_Aktie_verwässert!A3:AJ68,10,FALSE),""),"")</f>
        <v>5.6166848780487815</v>
      </c>
      <c r="H27" s="81">
        <f>IF(VLOOKUP(A27,Ergebnis_je_Aktie_verwässert!A3:AJ68,11,FALSE)&gt;0,IF(VLOOKUP(A27,Schlußkurse!A5:AU70,40,FALSE)&gt;0,VLOOKUP(A27,Schlußkurse!A5:AU70,40,FALSE)/VLOOKUP(A27,Ergebnis_je_Aktie_verwässert!A3:AJ68,11,FALSE),""),"")</f>
        <v>11.932322500000001</v>
      </c>
      <c r="I27" s="81">
        <f>IF(VLOOKUP(A27,Ergebnis_je_Aktie_verwässert!A3:AJ68,12,FALSE)&gt;0,IF(VLOOKUP(A27,Schlußkurse!A5:AU70,41,FALSE)&gt;0,VLOOKUP(A27,Schlußkurse!A5:AU70,41,FALSE)/VLOOKUP(A27,Ergebnis_je_Aktie_verwässert!A3:AJ68,12,FALSE),""),"")</f>
        <v>5.4184461194029847</v>
      </c>
      <c r="J27" s="81" t="str">
        <f>IF(VLOOKUP(A27,Ergebnis_je_Aktie_verwässert!A3:AJ68,13,FALSE)&gt;0,IF(VLOOKUP(A27,Schlußkurse!A5:AU70,42,FALSE)&gt;0,VLOOKUP(A27,Schlußkurse!A5:AU70,42,FALSE)/VLOOKUP(A27,Ergebnis_je_Aktie_verwässert!A3:AJ68,13,FALSE),""),"")</f>
        <v/>
      </c>
      <c r="K27" s="81">
        <f>IF(VLOOKUP(A27,Ergebnis_je_Aktie_verwässert!A3:AJ68,14,FALSE)&gt;0,IF(VLOOKUP(A27,Schlußkurse!A5:AU70,43,FALSE)&gt;0,VLOOKUP(A27,Schlußkurse!A5:AU70,43,FALSE)/VLOOKUP(A27,Ergebnis_je_Aktie_verwässert!A3:AJ68,14,FALSE),""),"")</f>
        <v>8.6927477272727263</v>
      </c>
      <c r="L27" s="81">
        <f>IF(VLOOKUP(A27,Ergebnis_je_Aktie_verwässert!A3:AJ68,15,FALSE)&gt;0,IF(VLOOKUP(A27,Schlußkurse!A5:AU70,44,FALSE)&gt;0,VLOOKUP(A27,Schlußkurse!A5:AU70,44,FALSE)/VLOOKUP(A27,Ergebnis_je_Aktie_verwässert!A3:AJ68,15,FALSE),""),"")</f>
        <v>10.893736607142857</v>
      </c>
      <c r="M27" s="81">
        <f>IF(VLOOKUP(A27,Ergebnis_je_Aktie_verwässert!A3:AJ68,16,FALSE)&gt;0,IF(VLOOKUP(A27,Schlußkurse!A5:AU70,45,FALSE)&gt;0,VLOOKUP(A27,Schlußkurse!A5:AU70,45,FALSE)/VLOOKUP(A27,Ergebnis_je_Aktie_verwässert!A3:AJ68,16,FALSE),""),"")</f>
        <v>10.289615740740739</v>
      </c>
      <c r="N27" s="81">
        <f>IF(VLOOKUP(A27,Ergebnis_je_Aktie_verwässert!A3:AJ68,17,FALSE)&gt;0,IF(VLOOKUP(A27,Schlußkurse!A5:AU70,46,FALSE)&gt;0,VLOOKUP(A27,Schlußkurse!A5:AU70,46,FALSE)/VLOOKUP(A27,Ergebnis_je_Aktie_verwässert!A3:AJ68,17,FALSE),""),"")</f>
        <v>9.7722495412844044</v>
      </c>
      <c r="O27" s="82">
        <f>IF(VLOOKUP(A27,Ergebnis_je_Aktie_verwässert!A3:AJ68,18,FALSE)&gt;0,IF(VLOOKUP(A27,Schlußkurse!A5:AU70,47,FALSE)&gt;0,VLOOKUP(A27,Schlußkurse!A5:AU70,47,FALSE)/VLOOKUP(A27,Ergebnis_je_Aktie_verwässert!A3:AJ68,18,FALSE),""),"")</f>
        <v>9.3745538461538462</v>
      </c>
      <c r="P27" s="3">
        <f t="shared" si="1"/>
        <v>10.030932641012573</v>
      </c>
      <c r="Q27" s="3">
        <f ca="1">VLOOKUP(A27,Schlußkurse!A5:AU70,35,FALSE)/VLOOKUP(A27,Ergebnis_je_Aktie_verwässert!A3:AK68,23,FALSE)</f>
        <v>15.869434253235148</v>
      </c>
      <c r="R27" s="5">
        <f t="shared" ca="1" si="0"/>
        <v>0.58204972769443386</v>
      </c>
    </row>
    <row r="28" spans="1:18" x14ac:dyDescent="0.25">
      <c r="A28" t="s">
        <v>48</v>
      </c>
      <c r="B28" t="s">
        <v>49</v>
      </c>
      <c r="C28" s="80">
        <f>IF(VLOOKUP(A28,Ergebnis_je_Aktie_verwässert!A3:AJ68,6,FALSE)&gt;0,IF(VLOOKUP(A28,Schlußkurse!A5:AU70,35,FALSE)&gt;0,VLOOKUP(A28,Schlußkurse!A5:AU70,35,FALSE)/VLOOKUP(A28,Ergebnis_je_Aktie_verwässert!A3:AJ68,6,FALSE),""),"")</f>
        <v>7.8897939999999984</v>
      </c>
      <c r="D28" s="81">
        <f>IF(VLOOKUP(A28,Ergebnis_je_Aktie_verwässert!A3:AJ68,7,FALSE)&gt;0,IF(VLOOKUP(A28,Schlußkurse!A5:AU70,36,FALSE)&gt;0,VLOOKUP(A28,Schlußkurse!A5:AU70,36,FALSE)/VLOOKUP(A28,Ergebnis_je_Aktie_verwässert!A3:AJ68,7,FALSE),""),"")</f>
        <v>8.9883729113924034</v>
      </c>
      <c r="E28" s="81">
        <f>IF(VLOOKUP(A28,Ergebnis_je_Aktie_verwässert!A3:AJ68,8,FALSE)&gt;0,IF(VLOOKUP(A28,Schlußkurse!A5:AU70,37,FALSE)&gt;0,VLOOKUP(A28,Schlußkurse!A5:AU70,37,FALSE)/VLOOKUP(A28,Ergebnis_je_Aktie_verwässert!A3:AJ68,8,FALSE),""),"")</f>
        <v>12.823218390804598</v>
      </c>
      <c r="F28" s="81">
        <f>IF(VLOOKUP(A28,Ergebnis_je_Aktie_verwässert!A3:AJ68,9,FALSE)&gt;0,IF(VLOOKUP(A28,Schlußkurse!A5:AU70,38,FALSE)&gt;0,VLOOKUP(A28,Schlußkurse!A5:AU70,38,FALSE)/VLOOKUP(A28,Ergebnis_je_Aktie_verwässert!A3:AJ68,9,FALSE),""),"")</f>
        <v>14.997688865546218</v>
      </c>
      <c r="G28" s="81">
        <f>IF(VLOOKUP(A28,Ergebnis_je_Aktie_verwässert!A3:AJ68,10,FALSE)&gt;0,IF(VLOOKUP(A28,Schlußkurse!A5:AU70,39,FALSE)&gt;0,VLOOKUP(A28,Schlußkurse!A5:AU70,39,FALSE)/VLOOKUP(A28,Ergebnis_je_Aktie_verwässert!A3:AJ68,10,FALSE),""),"")</f>
        <v>13.172322115384615</v>
      </c>
      <c r="H28" s="81">
        <f>IF(VLOOKUP(A28,Ergebnis_je_Aktie_verwässert!A3:AJ68,11,FALSE)&gt;0,IF(VLOOKUP(A28,Schlußkurse!A5:AU70,40,FALSE)&gt;0,VLOOKUP(A28,Schlußkurse!A5:AU70,40,FALSE)/VLOOKUP(A28,Ergebnis_je_Aktie_verwässert!A3:AJ68,11,FALSE),""),"")</f>
        <v>8.6063313679245272</v>
      </c>
      <c r="I28" s="81">
        <f>IF(VLOOKUP(A28,Ergebnis_je_Aktie_verwässert!A3:AJ68,12,FALSE)&gt;0,IF(VLOOKUP(A28,Schlußkurse!A5:AU70,41,FALSE)&gt;0,VLOOKUP(A28,Schlußkurse!A5:AU70,41,FALSE)/VLOOKUP(A28,Ergebnis_je_Aktie_verwässert!A3:AJ68,12,FALSE),""),"")</f>
        <v>6.6636651911468805</v>
      </c>
      <c r="J28" s="81">
        <f>IF(VLOOKUP(A28,Ergebnis_je_Aktie_verwässert!A3:AJ68,13,FALSE)&gt;0,IF(VLOOKUP(A28,Schlußkurse!A5:AU70,42,FALSE)&gt;0,VLOOKUP(A28,Schlußkurse!A5:AU70,42,FALSE)/VLOOKUP(A28,Ergebnis_je_Aktie_verwässert!A3:AJ68,13,FALSE),""),"")</f>
        <v>9.2209573170731716</v>
      </c>
      <c r="K28" s="81">
        <f>IF(VLOOKUP(A28,Ergebnis_je_Aktie_verwässert!A3:AJ68,14,FALSE)&gt;0,IF(VLOOKUP(A28,Schlußkurse!A5:AU70,43,FALSE)&gt;0,VLOOKUP(A28,Schlußkurse!A5:AU70,43,FALSE)/VLOOKUP(A28,Ergebnis_je_Aktie_verwässert!A3:AJ68,14,FALSE),""),"")</f>
        <v>13.034007352941174</v>
      </c>
      <c r="L28" s="81">
        <f>IF(VLOOKUP(A28,Ergebnis_je_Aktie_verwässert!A3:AJ68,15,FALSE)&gt;0,IF(VLOOKUP(A28,Schlußkurse!A5:AU70,44,FALSE)&gt;0,VLOOKUP(A28,Schlußkurse!A5:AU70,44,FALSE)/VLOOKUP(A28,Ergebnis_je_Aktie_verwässert!A3:AJ68,15,FALSE),""),"")</f>
        <v>9.9045774647887335</v>
      </c>
      <c r="M28" s="81">
        <f>IF(VLOOKUP(A28,Ergebnis_je_Aktie_verwässert!A3:AJ68,16,FALSE)&gt;0,IF(VLOOKUP(A28,Schlußkurse!A5:AU70,45,FALSE)&gt;0,VLOOKUP(A28,Schlußkurse!A5:AU70,45,FALSE)/VLOOKUP(A28,Ergebnis_je_Aktie_verwässert!A3:AJ68,16,FALSE),""),"")</f>
        <v>7.0580424849699392</v>
      </c>
      <c r="N28" s="81">
        <f>IF(VLOOKUP(A28,Ergebnis_je_Aktie_verwässert!A3:AJ68,17,FALSE)&gt;0,IF(VLOOKUP(A28,Schlußkurse!A5:AU70,46,FALSE)&gt;0,VLOOKUP(A28,Schlußkurse!A5:AU70,46,FALSE)/VLOOKUP(A28,Ergebnis_je_Aktie_verwässert!A3:AJ68,17,FALSE),""),"")</f>
        <v>7.7235574683544304</v>
      </c>
      <c r="O28" s="82">
        <f>IF(VLOOKUP(A28,Ergebnis_je_Aktie_verwässert!A3:AJ68,18,FALSE)&gt;0,IF(VLOOKUP(A28,Schlußkurse!A5:AU70,47,FALSE)&gt;0,VLOOKUP(A28,Schlußkurse!A5:AU70,47,FALSE)/VLOOKUP(A28,Ergebnis_je_Aktie_verwässert!A3:AJ68,18,FALSE),""),"")</f>
        <v>7.6314027777777786</v>
      </c>
      <c r="P28" s="3">
        <f t="shared" si="1"/>
        <v>8.9883729113924034</v>
      </c>
      <c r="Q28" s="3">
        <f ca="1">VLOOKUP(A28,Schlußkurse!A5:AU70,35,FALSE)/VLOOKUP(A28,Ergebnis_je_Aktie_verwässert!A3:AK68,23,FALSE)</f>
        <v>10.436512400102067</v>
      </c>
      <c r="R28" s="5">
        <f t="shared" ca="1" si="0"/>
        <v>0.16111252870630288</v>
      </c>
    </row>
    <row r="29" spans="1:18" x14ac:dyDescent="0.25">
      <c r="A29" t="s">
        <v>50</v>
      </c>
      <c r="B29" t="s">
        <v>51</v>
      </c>
      <c r="C29" s="80">
        <f>IF(VLOOKUP(A29,Ergebnis_je_Aktie_verwässert!A3:AJ68,6,FALSE)&gt;0,IF(VLOOKUP(A29,Schlußkurse!A5:AU70,35,FALSE)&gt;0,VLOOKUP(A29,Schlußkurse!A5:AU70,35,FALSE)/VLOOKUP(A29,Ergebnis_je_Aktie_verwässert!A3:AJ68,6,FALSE),""),"")</f>
        <v>38.615520282186942</v>
      </c>
      <c r="D29" s="81">
        <f>IF(VLOOKUP(A29,Ergebnis_je_Aktie_verwässert!A3:AJ68,7,FALSE)&gt;0,IF(VLOOKUP(A29,Schlußkurse!A5:AU70,36,FALSE)&gt;0,VLOOKUP(A29,Schlußkurse!A5:AU70,36,FALSE)/VLOOKUP(A29,Ergebnis_je_Aktie_verwässert!A3:AJ68,7,FALSE),""),"")</f>
        <v>62.201704545454533</v>
      </c>
      <c r="E29" s="81">
        <f>IF(VLOOKUP(A29,Ergebnis_je_Aktie_verwässert!A3:AJ68,8,FALSE)&gt;0,IF(VLOOKUP(A29,Schlußkurse!A5:AU70,37,FALSE)&gt;0,VLOOKUP(A29,Schlußkurse!A5:AU70,37,FALSE)/VLOOKUP(A29,Ergebnis_je_Aktie_verwässert!A3:AJ68,8,FALSE),""),"")</f>
        <v>12.446327683615818</v>
      </c>
      <c r="F29" s="81">
        <f>IF(VLOOKUP(A29,Ergebnis_je_Aktie_verwässert!A3:AJ68,9,FALSE)&gt;0,IF(VLOOKUP(A29,Schlußkurse!A5:AU70,38,FALSE)&gt;0,VLOOKUP(A29,Schlußkurse!A5:AU70,38,FALSE)/VLOOKUP(A29,Ergebnis_je_Aktie_verwässert!A3:AJ68,9,FALSE),""),"")</f>
        <v>4.4748201438848927</v>
      </c>
      <c r="G29" s="81">
        <f>IF(VLOOKUP(A29,Ergebnis_je_Aktie_verwässert!A3:AJ68,10,FALSE)&gt;0,IF(VLOOKUP(A29,Schlußkurse!A5:AU70,39,FALSE)&gt;0,VLOOKUP(A29,Schlußkurse!A5:AU70,39,FALSE)/VLOOKUP(A29,Ergebnis_je_Aktie_verwässert!A3:AJ68,10,FALSE),""),"")</f>
        <v>197.93103448275863</v>
      </c>
      <c r="H29" s="81">
        <f>IF(VLOOKUP(A29,Ergebnis_je_Aktie_verwässert!A3:AJ68,11,FALSE)&gt;0,IF(VLOOKUP(A29,Schlußkurse!A5:AU70,40,FALSE)&gt;0,VLOOKUP(A29,Schlußkurse!A5:AU70,40,FALSE)/VLOOKUP(A29,Ergebnis_je_Aktie_verwässert!A3:AJ68,11,FALSE),""),"")</f>
        <v>12.607142857142856</v>
      </c>
      <c r="I29" s="81">
        <f>IF(VLOOKUP(A29,Ergebnis_je_Aktie_verwässert!A3:AJ68,12,FALSE)&gt;0,IF(VLOOKUP(A29,Schlußkurse!A5:AU70,41,FALSE)&gt;0,VLOOKUP(A29,Schlußkurse!A5:AU70,41,FALSE)/VLOOKUP(A29,Ergebnis_je_Aktie_verwässert!A3:AJ68,12,FALSE),""),"")</f>
        <v>10.133333333333335</v>
      </c>
      <c r="J29" s="81">
        <f>IF(VLOOKUP(A29,Ergebnis_je_Aktie_verwässert!A3:AJ68,13,FALSE)&gt;0,IF(VLOOKUP(A29,Schlußkurse!A5:AU70,42,FALSE)&gt;0,VLOOKUP(A29,Schlußkurse!A5:AU70,42,FALSE)/VLOOKUP(A29,Ergebnis_je_Aktie_verwässert!A3:AJ68,13,FALSE),""),"")</f>
        <v>7.671875</v>
      </c>
      <c r="K29" s="81">
        <f>IF(VLOOKUP(A29,Ergebnis_je_Aktie_verwässert!A3:AJ68,14,FALSE)&gt;0,IF(VLOOKUP(A29,Schlußkurse!A5:AU70,43,FALSE)&gt;0,VLOOKUP(A29,Schlußkurse!A5:AU70,43,FALSE)/VLOOKUP(A29,Ergebnis_je_Aktie_verwässert!A3:AJ68,14,FALSE),""),"")</f>
        <v>25.15</v>
      </c>
      <c r="L29" s="81">
        <f>IF(VLOOKUP(A29,Ergebnis_je_Aktie_verwässert!A3:AJ68,15,FALSE)&gt;0,IF(VLOOKUP(A29,Schlußkurse!A5:AU70,44,FALSE)&gt;0,VLOOKUP(A29,Schlußkurse!A5:AU70,44,FALSE)/VLOOKUP(A29,Ergebnis_je_Aktie_verwässert!A3:AJ68,15,FALSE),""),"")</f>
        <v>10.423076923076923</v>
      </c>
      <c r="M29" s="81" t="str">
        <f>IF(VLOOKUP(A29,Ergebnis_je_Aktie_verwässert!A3:AJ68,16,FALSE)&gt;0,IF(VLOOKUP(A29,Schlußkurse!A5:AU70,45,FALSE)&gt;0,VLOOKUP(A29,Schlußkurse!A5:AU70,45,FALSE)/VLOOKUP(A29,Ergebnis_je_Aktie_verwässert!A3:AJ68,16,FALSE),""),"")</f>
        <v/>
      </c>
      <c r="N29" s="81" t="str">
        <f>IF(VLOOKUP(A29,Ergebnis_je_Aktie_verwässert!A3:AJ68,17,FALSE)&gt;0,IF(VLOOKUP(A29,Schlußkurse!A5:AU70,46,FALSE)&gt;0,VLOOKUP(A29,Schlußkurse!A5:AU70,46,FALSE)/VLOOKUP(A29,Ergebnis_je_Aktie_verwässert!A3:AJ68,17,FALSE),""),"")</f>
        <v/>
      </c>
      <c r="O29" s="82" t="str">
        <f>IF(VLOOKUP(A29,Ergebnis_je_Aktie_verwässert!A3:AJ68,18,FALSE)&gt;0,IF(VLOOKUP(A29,Schlußkurse!A5:AU70,47,FALSE)&gt;0,VLOOKUP(A29,Schlußkurse!A5:AU70,47,FALSE)/VLOOKUP(A29,Ergebnis_je_Aktie_verwässert!A3:AJ68,18,FALSE),""),"")</f>
        <v/>
      </c>
      <c r="P29" s="3">
        <f t="shared" si="1"/>
        <v>12.526735270379337</v>
      </c>
      <c r="Q29" s="3">
        <f ca="1">VLOOKUP(A29,Schlußkurse!A5:AU70,35,FALSE)/VLOOKUP(A29,Ergebnis_je_Aktie_verwässert!A3:AK68,23,FALSE)</f>
        <v>52.260220386405528</v>
      </c>
      <c r="R29" s="5">
        <f t="shared" ca="1" si="0"/>
        <v>3.1718946923050106</v>
      </c>
    </row>
    <row r="30" spans="1:18" x14ac:dyDescent="0.25">
      <c r="A30" t="s">
        <v>52</v>
      </c>
      <c r="B30" t="s">
        <v>53</v>
      </c>
      <c r="C30" s="80">
        <f>IF(VLOOKUP(A30,Ergebnis_je_Aktie_verwässert!A3:AJ68,6,FALSE)&gt;0,IF(VLOOKUP(A30,Schlußkurse!A5:AU70,35,FALSE)&gt;0,VLOOKUP(A30,Schlußkurse!A5:AU70,35,FALSE)/VLOOKUP(A30,Ergebnis_je_Aktie_verwässert!A3:AJ68,6,FALSE),""),"")</f>
        <v>19.417475728155338</v>
      </c>
      <c r="D30" s="81">
        <f>IF(VLOOKUP(A30,Ergebnis_je_Aktie_verwässert!A3:AJ68,7,FALSE)&gt;0,IF(VLOOKUP(A30,Schlußkurse!A5:AU70,36,FALSE)&gt;0,VLOOKUP(A30,Schlußkurse!A5:AU70,36,FALSE)/VLOOKUP(A30,Ergebnis_je_Aktie_verwässert!A3:AJ68,7,FALSE),""),"")</f>
        <v>21.164021164021165</v>
      </c>
      <c r="E30" s="81">
        <f>IF(VLOOKUP(A30,Ergebnis_je_Aktie_verwässert!A3:AJ68,8,FALSE)&gt;0,IF(VLOOKUP(A30,Schlußkurse!A5:AU70,37,FALSE)&gt;0,VLOOKUP(A30,Schlußkurse!A5:AU70,37,FALSE)/VLOOKUP(A30,Ergebnis_je_Aktie_verwässert!A3:AJ68,8,FALSE),""),"")</f>
        <v>18.545454545454547</v>
      </c>
      <c r="F30" s="81">
        <f>IF(VLOOKUP(A30,Ergebnis_je_Aktie_verwässert!A3:AJ68,9,FALSE)&gt;0,IF(VLOOKUP(A30,Schlußkurse!A5:AU70,38,FALSE)&gt;0,VLOOKUP(A30,Schlußkurse!A5:AU70,38,FALSE)/VLOOKUP(A30,Ergebnis_je_Aktie_verwässert!A3:AJ68,9,FALSE),""),"")</f>
        <v>16.354748603351954</v>
      </c>
      <c r="G30" s="81">
        <f>IF(VLOOKUP(A30,Ergebnis_je_Aktie_verwässert!A3:AJ68,10,FALSE)&gt;0,IF(VLOOKUP(A30,Schlußkurse!A5:AU70,39,FALSE)&gt;0,VLOOKUP(A30,Schlußkurse!A5:AU70,39,FALSE)/VLOOKUP(A30,Ergebnis_je_Aktie_verwässert!A3:AJ68,10,FALSE),""),"")</f>
        <v>17.370481927710845</v>
      </c>
      <c r="H30" s="81">
        <f>IF(VLOOKUP(A30,Ergebnis_je_Aktie_verwässert!A3:AJ68,11,FALSE)&gt;0,IF(VLOOKUP(A30,Schlußkurse!A5:AU70,40,FALSE)&gt;0,VLOOKUP(A30,Schlußkurse!A5:AU70,40,FALSE)/VLOOKUP(A30,Ergebnis_je_Aktie_verwässert!A3:AJ68,11,FALSE),""),"")</f>
        <v>17.253246753246753</v>
      </c>
      <c r="I30" s="81">
        <f>IF(VLOOKUP(A30,Ergebnis_je_Aktie_verwässert!A3:AJ68,12,FALSE)&gt;0,IF(VLOOKUP(A30,Schlußkurse!A5:AU70,41,FALSE)&gt;0,VLOOKUP(A30,Schlußkurse!A5:AU70,41,FALSE)/VLOOKUP(A30,Ergebnis_je_Aktie_verwässert!A3:AJ68,12,FALSE),""),"")</f>
        <v>15.958904109589042</v>
      </c>
      <c r="J30" s="81">
        <f>IF(VLOOKUP(A30,Ergebnis_je_Aktie_verwässert!A3:AJ68,13,FALSE)&gt;0,IF(VLOOKUP(A30,Schlußkurse!A5:AU70,42,FALSE)&gt;0,VLOOKUP(A30,Schlußkurse!A5:AU70,42,FALSE)/VLOOKUP(A30,Ergebnis_je_Aktie_verwässert!A3:AJ68,13,FALSE),""),"")</f>
        <v>15.582191780821919</v>
      </c>
      <c r="K30" s="81">
        <f>IF(VLOOKUP(A30,Ergebnis_je_Aktie_verwässert!A3:AJ68,14,FALSE)&gt;0,IF(VLOOKUP(A30,Schlußkurse!A5:AU70,43,FALSE)&gt;0,VLOOKUP(A30,Schlußkurse!A5:AU70,43,FALSE)/VLOOKUP(A30,Ergebnis_je_Aktie_verwässert!A3:AJ68,14,FALSE),""),"")</f>
        <v>14.820512820512821</v>
      </c>
      <c r="L30" s="81">
        <f>IF(VLOOKUP(A30,Ergebnis_je_Aktie_verwässert!A3:AJ68,15,FALSE)&gt;0,IF(VLOOKUP(A30,Schlußkurse!A5:AU70,44,FALSE)&gt;0,VLOOKUP(A30,Schlußkurse!A5:AU70,44,FALSE)/VLOOKUP(A30,Ergebnis_je_Aktie_verwässert!A3:AJ68,15,FALSE),""),"")</f>
        <v>14.537572254335259</v>
      </c>
      <c r="M30" s="81">
        <f>IF(VLOOKUP(A30,Ergebnis_je_Aktie_verwässert!A3:AJ68,16,FALSE)&gt;0,IF(VLOOKUP(A30,Schlußkurse!A5:AU70,45,FALSE)&gt;0,VLOOKUP(A30,Schlußkurse!A5:AU70,45,FALSE)/VLOOKUP(A30,Ergebnis_je_Aktie_verwässert!A3:AJ68,16,FALSE),""),"")</f>
        <v>15.80152671755725</v>
      </c>
      <c r="N30" s="81">
        <f>IF(VLOOKUP(A30,Ergebnis_je_Aktie_verwässert!A3:AJ68,17,FALSE)&gt;0,IF(VLOOKUP(A30,Schlußkurse!A5:AU70,46,FALSE)&gt;0,VLOOKUP(A30,Schlußkurse!A5:AU70,46,FALSE)/VLOOKUP(A30,Ergebnis_je_Aktie_verwässert!A3:AJ68,17,FALSE),""),"")</f>
        <v>12.051875000000001</v>
      </c>
      <c r="O30" s="82">
        <f>IF(VLOOKUP(A30,Ergebnis_je_Aktie_verwässert!A3:AJ68,18,FALSE)&gt;0,IF(VLOOKUP(A30,Schlußkurse!A5:AU70,47,FALSE)&gt;0,VLOOKUP(A30,Schlußkurse!A5:AU70,47,FALSE)/VLOOKUP(A30,Ergebnis_je_Aktie_verwässert!A3:AJ68,18,FALSE),""),"")</f>
        <v>13.154400000000001</v>
      </c>
      <c r="P30" s="3">
        <f t="shared" si="1"/>
        <v>15.958904109589042</v>
      </c>
      <c r="Q30" s="3">
        <f ca="1">VLOOKUP(A30,Schlußkurse!A5:AU70,35,FALSE)/VLOOKUP(A30,Ergebnis_je_Aktie_verwässert!A3:AK68,23,FALSE)</f>
        <v>22.391889160148661</v>
      </c>
      <c r="R30" s="5">
        <f t="shared" ca="1" si="0"/>
        <v>0.40309691733120356</v>
      </c>
    </row>
    <row r="31" spans="1:18" x14ac:dyDescent="0.25">
      <c r="A31" t="s">
        <v>54</v>
      </c>
      <c r="B31" t="s">
        <v>55</v>
      </c>
      <c r="C31" s="80">
        <f>IF(VLOOKUP(A31,Ergebnis_je_Aktie_verwässert!A3:AJ68,6,FALSE)&gt;0,IF(VLOOKUP(A31,Schlußkurse!A5:AU70,35,FALSE)&gt;0,VLOOKUP(A31,Schlußkurse!A5:AU70,35,FALSE)/VLOOKUP(A31,Ergebnis_je_Aktie_verwässert!A3:AJ68,6,FALSE),""),"")</f>
        <v>12.133333333333331</v>
      </c>
      <c r="D31" s="81">
        <f>IF(VLOOKUP(A31,Ergebnis_je_Aktie_verwässert!A3:AJ68,7,FALSE)&gt;0,IF(VLOOKUP(A31,Schlußkurse!A5:AU70,36,FALSE)&gt;0,VLOOKUP(A31,Schlußkurse!A5:AU70,36,FALSE)/VLOOKUP(A31,Ergebnis_je_Aktie_verwässert!A3:AJ68,7,FALSE),""),"")</f>
        <v>12.551724137931034</v>
      </c>
      <c r="E31" s="81">
        <f>IF(VLOOKUP(A31,Ergebnis_je_Aktie_verwässert!A3:AJ68,8,FALSE)&gt;0,IF(VLOOKUP(A31,Schlußkurse!A5:AU70,37,FALSE)&gt;0,VLOOKUP(A31,Schlußkurse!A5:AU70,37,FALSE)/VLOOKUP(A31,Ergebnis_je_Aktie_verwässert!A3:AJ68,8,FALSE),""),"")</f>
        <v>13.224409448818898</v>
      </c>
      <c r="F31" s="81">
        <f>IF(VLOOKUP(A31,Ergebnis_je_Aktie_verwässert!A3:AJ68,9,FALSE)&gt;0,IF(VLOOKUP(A31,Schlußkurse!A5:AU70,38,FALSE)&gt;0,VLOOKUP(A31,Schlußkurse!A5:AU70,38,FALSE)/VLOOKUP(A31,Ergebnis_je_Aktie_verwässert!A3:AJ68,9,FALSE),""),"")</f>
        <v>16.202764976958523</v>
      </c>
      <c r="G31" s="81">
        <f>IF(VLOOKUP(A31,Ergebnis_je_Aktie_verwässert!A3:AJ68,10,FALSE)&gt;0,IF(VLOOKUP(A31,Schlußkurse!A5:AU70,39,FALSE)&gt;0,VLOOKUP(A31,Schlußkurse!A5:AU70,39,FALSE)/VLOOKUP(A31,Ergebnis_je_Aktie_verwässert!A3:AJ68,10,FALSE),""),"")</f>
        <v>13.703252032520325</v>
      </c>
      <c r="H31" s="81">
        <f>IF(VLOOKUP(A31,Ergebnis_je_Aktie_verwässert!A3:AJ68,11,FALSE)&gt;0,IF(VLOOKUP(A31,Schlußkurse!A5:AU70,40,FALSE)&gt;0,VLOOKUP(A31,Schlußkurse!A5:AU70,40,FALSE)/VLOOKUP(A31,Ergebnis_je_Aktie_verwässert!A3:AJ68,11,FALSE),""),"")</f>
        <v>12.342857142857142</v>
      </c>
      <c r="I31" s="81">
        <f>IF(VLOOKUP(A31,Ergebnis_je_Aktie_verwässert!A3:AJ68,12,FALSE)&gt;0,IF(VLOOKUP(A31,Schlußkurse!A5:AU70,41,FALSE)&gt;0,VLOOKUP(A31,Schlußkurse!A5:AU70,41,FALSE)/VLOOKUP(A31,Ergebnis_je_Aktie_verwässert!A3:AJ68,12,FALSE),""),"")</f>
        <v>14.913705583756345</v>
      </c>
      <c r="J31" s="81">
        <f>IF(VLOOKUP(A31,Ergebnis_je_Aktie_verwässert!A3:AJ68,13,FALSE)&gt;0,IF(VLOOKUP(A31,Schlußkurse!A5:AU70,42,FALSE)&gt;0,VLOOKUP(A31,Schlußkurse!A5:AU70,42,FALSE)/VLOOKUP(A31,Ergebnis_je_Aktie_verwässert!A3:AJ68,13,FALSE),""),"")</f>
        <v>8.7049689440993792</v>
      </c>
      <c r="K31" s="81">
        <f>IF(VLOOKUP(A31,Ergebnis_je_Aktie_verwässert!A3:AJ68,14,FALSE)&gt;0,IF(VLOOKUP(A31,Schlußkurse!A5:AU70,43,FALSE)&gt;0,VLOOKUP(A31,Schlußkurse!A5:AU70,43,FALSE)/VLOOKUP(A31,Ergebnis_je_Aktie_verwässert!A3:AJ68,14,FALSE),""),"")</f>
        <v>13.443396226415093</v>
      </c>
      <c r="L31" s="81">
        <f>IF(VLOOKUP(A31,Ergebnis_je_Aktie_verwässert!A3:AJ68,15,FALSE)&gt;0,IF(VLOOKUP(A31,Schlußkurse!A5:AU70,44,FALSE)&gt;0,VLOOKUP(A31,Schlußkurse!A5:AU70,44,FALSE)/VLOOKUP(A31,Ergebnis_je_Aktie_verwässert!A3:AJ68,15,FALSE),""),"")</f>
        <v>19.24074074074074</v>
      </c>
      <c r="M31" s="81">
        <f>IF(VLOOKUP(A31,Ergebnis_je_Aktie_verwässert!A3:AJ68,16,FALSE)&gt;0,IF(VLOOKUP(A31,Schlußkurse!A5:AU70,45,FALSE)&gt;0,VLOOKUP(A31,Schlußkurse!A5:AU70,45,FALSE)/VLOOKUP(A31,Ergebnis_je_Aktie_verwässert!A3:AJ68,16,FALSE),""),"")</f>
        <v>18.427835051546392</v>
      </c>
      <c r="N31" s="81">
        <f>IF(VLOOKUP(A31,Ergebnis_je_Aktie_verwässert!A3:AJ68,17,FALSE)&gt;0,IF(VLOOKUP(A31,Schlußkurse!A5:AU70,46,FALSE)&gt;0,VLOOKUP(A31,Schlußkurse!A5:AU70,46,FALSE)/VLOOKUP(A31,Ergebnis_je_Aktie_verwässert!A3:AJ68,17,FALSE),""),"")</f>
        <v>12.957671957671957</v>
      </c>
      <c r="O31" s="82">
        <f>IF(VLOOKUP(A31,Ergebnis_je_Aktie_verwässert!A3:AJ68,18,FALSE)&gt;0,IF(VLOOKUP(A31,Schlußkurse!A5:AU70,47,FALSE)&gt;0,VLOOKUP(A31,Schlußkurse!A5:AU70,47,FALSE)/VLOOKUP(A31,Ergebnis_je_Aktie_verwässert!A3:AJ68,18,FALSE),""),"")</f>
        <v>18.147887323943664</v>
      </c>
      <c r="P31" s="3">
        <f t="shared" si="1"/>
        <v>13.443396226415093</v>
      </c>
      <c r="Q31" s="3">
        <f ca="1">VLOOKUP(A31,Schlußkurse!A5:AU70,35,FALSE)/VLOOKUP(A31,Ergebnis_je_Aktie_verwässert!A3:AK68,23,FALSE)</f>
        <v>12.825961653489356</v>
      </c>
      <c r="R31" s="5">
        <f t="shared" ca="1" si="0"/>
        <v>-4.5928466477282881E-2</v>
      </c>
    </row>
    <row r="32" spans="1:18" x14ac:dyDescent="0.25">
      <c r="A32" t="s">
        <v>56</v>
      </c>
      <c r="B32" t="s">
        <v>57</v>
      </c>
      <c r="C32" s="80">
        <f>IF(VLOOKUP(A32,Ergebnis_je_Aktie_verwässert!A3:AJ68,6,FALSE)&gt;0,IF(VLOOKUP(A32,Schlußkurse!A5:AU70,35,FALSE)&gt;0,VLOOKUP(A32,Schlußkurse!A5:AU70,35,FALSE)/VLOOKUP(A32,Ergebnis_je_Aktie_verwässert!A3:AJ68,6,FALSE),""),"")</f>
        <v>11.291111111111112</v>
      </c>
      <c r="D32" s="81">
        <f>IF(VLOOKUP(A32,Ergebnis_je_Aktie_verwässert!A3:AJ68,7,FALSE)&gt;0,IF(VLOOKUP(A32,Schlußkurse!A5:AU70,36,FALSE)&gt;0,VLOOKUP(A32,Schlußkurse!A5:AU70,36,FALSE)/VLOOKUP(A32,Ergebnis_je_Aktie_verwässert!A3:AJ68,7,FALSE),""),"")</f>
        <v>15.304216867469881</v>
      </c>
      <c r="E32" s="81">
        <f>IF(VLOOKUP(A32,Ergebnis_je_Aktie_verwässert!A3:AJ68,8,FALSE)&gt;0,IF(VLOOKUP(A32,Schlußkurse!A5:AU70,37,FALSE)&gt;0,VLOOKUP(A32,Schlußkurse!A5:AU70,37,FALSE)/VLOOKUP(A32,Ergebnis_je_Aktie_verwässert!A3:AJ68,8,FALSE),""),"")</f>
        <v>30.401084010840112</v>
      </c>
      <c r="F32" s="81">
        <f>IF(VLOOKUP(A32,Ergebnis_je_Aktie_verwässert!A3:AJ68,9,FALSE)&gt;0,IF(VLOOKUP(A32,Schlußkurse!A5:AU70,38,FALSE)&gt;0,VLOOKUP(A32,Schlußkurse!A5:AU70,38,FALSE)/VLOOKUP(A32,Ergebnis_je_Aktie_verwässert!A3:AJ68,9,FALSE),""),"")</f>
        <v>12.318540433925047</v>
      </c>
      <c r="G32" s="81">
        <f>IF(VLOOKUP(A32,Ergebnis_je_Aktie_verwässert!A3:AJ68,10,FALSE)&gt;0,IF(VLOOKUP(A32,Schlußkurse!A5:AU70,39,FALSE)&gt;0,VLOOKUP(A32,Schlußkurse!A5:AU70,39,FALSE)/VLOOKUP(A32,Ergebnis_je_Aktie_verwässert!A3:AJ68,10,FALSE),""),"")</f>
        <v>9.7511271415689809</v>
      </c>
      <c r="H32" s="81">
        <f>IF(VLOOKUP(A32,Ergebnis_je_Aktie_verwässert!A3:AJ68,11,FALSE)&gt;0,IF(VLOOKUP(A32,Schlußkurse!A5:AU70,40,FALSE)&gt;0,VLOOKUP(A32,Schlußkurse!A5:AU70,40,FALSE)/VLOOKUP(A32,Ergebnis_je_Aktie_verwässert!A3:AJ68,11,FALSE),""),"")</f>
        <v>7.9879879879879878</v>
      </c>
      <c r="I32" s="81">
        <f>IF(VLOOKUP(A32,Ergebnis_je_Aktie_verwässert!A3:AJ68,12,FALSE)&gt;0,IF(VLOOKUP(A32,Schlußkurse!A5:AU70,41,FALSE)&gt;0,VLOOKUP(A32,Schlußkurse!A5:AU70,41,FALSE)/VLOOKUP(A32,Ergebnis_je_Aktie_verwässert!A3:AJ68,12,FALSE),""),"")</f>
        <v>6.7894345238095237</v>
      </c>
      <c r="J32" s="81">
        <f>IF(VLOOKUP(A32,Ergebnis_je_Aktie_verwässert!A3:AJ68,13,FALSE)&gt;0,IF(VLOOKUP(A32,Schlußkurse!A5:AU70,42,FALSE)&gt;0,VLOOKUP(A32,Schlußkurse!A5:AU70,42,FALSE)/VLOOKUP(A32,Ergebnis_je_Aktie_verwässert!A3:AJ68,13,FALSE),""),"")</f>
        <v>8.1213080168776361</v>
      </c>
      <c r="K32" s="81">
        <f>IF(VLOOKUP(A32,Ergebnis_je_Aktie_verwässert!A3:AJ68,14,FALSE)&gt;0,IF(VLOOKUP(A32,Schlußkurse!A5:AU70,43,FALSE)&gt;0,VLOOKUP(A32,Schlußkurse!A5:AU70,43,FALSE)/VLOOKUP(A32,Ergebnis_je_Aktie_verwässert!A3:AJ68,14,FALSE),""),"")</f>
        <v>14.116412213740457</v>
      </c>
      <c r="L32" s="81">
        <f>IF(VLOOKUP(A32,Ergebnis_je_Aktie_verwässert!A3:AJ68,15,FALSE)&gt;0,IF(VLOOKUP(A32,Schlußkurse!A5:AU70,44,FALSE)&gt;0,VLOOKUP(A32,Schlußkurse!A5:AU70,44,FALSE)/VLOOKUP(A32,Ergebnis_je_Aktie_verwässert!A3:AJ68,15,FALSE),""),"")</f>
        <v>7.997429305912596</v>
      </c>
      <c r="M32" s="81">
        <f>IF(VLOOKUP(A32,Ergebnis_je_Aktie_verwässert!A3:AJ68,16,FALSE)&gt;0,IF(VLOOKUP(A32,Schlußkurse!A5:AU70,45,FALSE)&gt;0,VLOOKUP(A32,Schlußkurse!A5:AU70,45,FALSE)/VLOOKUP(A32,Ergebnis_je_Aktie_verwässert!A3:AJ68,16,FALSE),""),"")</f>
        <v>8.4082098061573536</v>
      </c>
      <c r="N32" s="81">
        <f>IF(VLOOKUP(A32,Ergebnis_je_Aktie_verwässert!A3:AJ68,17,FALSE)&gt;0,IF(VLOOKUP(A32,Schlußkurse!A5:AU70,46,FALSE)&gt;0,VLOOKUP(A32,Schlußkurse!A5:AU70,46,FALSE)/VLOOKUP(A32,Ergebnis_je_Aktie_verwässert!A3:AJ68,17,FALSE),""),"")</f>
        <v>7.2858974358974358</v>
      </c>
      <c r="O32" s="82">
        <f>IF(VLOOKUP(A32,Ergebnis_je_Aktie_verwässert!A3:AJ68,18,FALSE)&gt;0,IF(VLOOKUP(A32,Schlußkurse!A5:AU70,47,FALSE)&gt;0,VLOOKUP(A32,Schlußkurse!A5:AU70,47,FALSE)/VLOOKUP(A32,Ergebnis_je_Aktie_verwässert!A3:AJ68,18,FALSE),""),"")</f>
        <v>8.0290519877675841</v>
      </c>
      <c r="P32" s="3">
        <f t="shared" si="1"/>
        <v>8.4082098061573536</v>
      </c>
      <c r="Q32" s="3">
        <f ca="1">VLOOKUP(A32,Schlußkurse!A5:AU70,35,FALSE)/VLOOKUP(A32,Ergebnis_je_Aktie_verwässert!A3:AK68,23,FALSE)</f>
        <v>23.69761943319838</v>
      </c>
      <c r="R32" s="5">
        <f t="shared" ca="1" si="0"/>
        <v>1.8183905943741498</v>
      </c>
    </row>
    <row r="33" spans="1:18" x14ac:dyDescent="0.25">
      <c r="A33" t="s">
        <v>58</v>
      </c>
      <c r="B33" t="s">
        <v>59</v>
      </c>
      <c r="C33" s="80">
        <f>IF(VLOOKUP(A33,Ergebnis_je_Aktie_verwässert!A3:AJ68,6,FALSE)&gt;0,IF(VLOOKUP(A33,Schlußkurse!A5:AU70,35,FALSE)&gt;0,VLOOKUP(A33,Schlußkurse!A5:AU70,35,FALSE)/VLOOKUP(A33,Ergebnis_je_Aktie_verwässert!A3:AJ68,6,FALSE),""),"")</f>
        <v>17.128755364806864</v>
      </c>
      <c r="D33" s="81">
        <f>IF(VLOOKUP(A33,Ergebnis_je_Aktie_verwässert!A3:AJ68,7,FALSE)&gt;0,IF(VLOOKUP(A33,Schlußkurse!A5:AU70,36,FALSE)&gt;0,VLOOKUP(A33,Schlußkurse!A5:AU70,36,FALSE)/VLOOKUP(A33,Ergebnis_je_Aktie_verwässert!A3:AJ68,7,FALSE),""),"")</f>
        <v>18.649532710280372</v>
      </c>
      <c r="E33" s="81">
        <f>IF(VLOOKUP(A33,Ergebnis_je_Aktie_verwässert!A3:AJ68,8,FALSE)&gt;0,IF(VLOOKUP(A33,Schlußkurse!A5:AU70,37,FALSE)&gt;0,VLOOKUP(A33,Schlußkurse!A5:AU70,37,FALSE)/VLOOKUP(A33,Ergebnis_je_Aktie_verwässert!A3:AJ68,8,FALSE),""),"")</f>
        <v>21.323232323232322</v>
      </c>
      <c r="F33" s="81">
        <f>IF(VLOOKUP(A33,Ergebnis_je_Aktie_verwässert!A3:AJ68,9,FALSE)&gt;0,IF(VLOOKUP(A33,Schlußkurse!A5:AU70,38,FALSE)&gt;0,VLOOKUP(A33,Schlußkurse!A5:AU70,38,FALSE)/VLOOKUP(A33,Ergebnis_je_Aktie_verwässert!A3:AJ68,9,FALSE),""),"")</f>
        <v>25.818750000000001</v>
      </c>
      <c r="G33" s="81">
        <f>IF(VLOOKUP(A33,Ergebnis_je_Aktie_verwässert!A3:AJ68,10,FALSE)&gt;0,IF(VLOOKUP(A33,Schlußkurse!A5:AU70,39,FALSE)&gt;0,VLOOKUP(A33,Schlußkurse!A5:AU70,39,FALSE)/VLOOKUP(A33,Ergebnis_je_Aktie_verwässert!A3:AJ68,10,FALSE),""),"")</f>
        <v>19.078947368421055</v>
      </c>
      <c r="H33" s="81">
        <f>IF(VLOOKUP(A33,Ergebnis_je_Aktie_verwässert!A3:AJ68,11,FALSE)&gt;0,IF(VLOOKUP(A33,Schlußkurse!A5:AU70,40,FALSE)&gt;0,VLOOKUP(A33,Schlußkurse!A5:AU70,40,FALSE)/VLOOKUP(A33,Ergebnis_je_Aktie_verwässert!A3:AJ68,11,FALSE),""),"")</f>
        <v>17.758883248730964</v>
      </c>
      <c r="I33" s="81">
        <f>IF(VLOOKUP(A33,Ergebnis_je_Aktie_verwässert!A3:AJ68,12,FALSE)&gt;0,IF(VLOOKUP(A33,Schlußkurse!A5:AU70,41,FALSE)&gt;0,VLOOKUP(A33,Schlußkurse!A5:AU70,41,FALSE)/VLOOKUP(A33,Ergebnis_je_Aktie_verwässert!A3:AJ68,12,FALSE),""),"")</f>
        <v>17.775675675675675</v>
      </c>
      <c r="J33" s="81">
        <f>IF(VLOOKUP(A33,Ergebnis_je_Aktie_verwässert!A3:AJ68,13,FALSE)&gt;0,IF(VLOOKUP(A33,Schlußkurse!A5:AU70,42,FALSE)&gt;0,VLOOKUP(A33,Schlußkurse!A5:AU70,42,FALSE)/VLOOKUP(A33,Ergebnis_je_Aktie_verwässert!A3:AJ68,13,FALSE),""),"")</f>
        <v>17.701863354037265</v>
      </c>
      <c r="K33" s="81">
        <f>IF(VLOOKUP(A33,Ergebnis_je_Aktie_verwässert!A3:AJ68,14,FALSE)&gt;0,IF(VLOOKUP(A33,Schlußkurse!A5:AU70,43,FALSE)&gt;0,VLOOKUP(A33,Schlußkurse!A5:AU70,43,FALSE)/VLOOKUP(A33,Ergebnis_je_Aktie_verwässert!A3:AJ68,14,FALSE),""),"")</f>
        <v>15.397959183673471</v>
      </c>
      <c r="L33" s="81">
        <f>IF(VLOOKUP(A33,Ergebnis_je_Aktie_verwässert!A3:AJ68,15,FALSE)&gt;0,IF(VLOOKUP(A33,Schlußkurse!A5:AU70,44,FALSE)&gt;0,VLOOKUP(A33,Schlußkurse!A5:AU70,44,FALSE)/VLOOKUP(A33,Ergebnis_je_Aktie_verwässert!A3:AJ68,15,FALSE),""),"")</f>
        <v>20.32119205298013</v>
      </c>
      <c r="M33" s="81">
        <f>IF(VLOOKUP(A33,Ergebnis_je_Aktie_verwässert!A3:AJ68,16,FALSE)&gt;0,IF(VLOOKUP(A33,Schlußkurse!A5:AU70,45,FALSE)&gt;0,VLOOKUP(A33,Schlußkurse!A5:AU70,45,FALSE)/VLOOKUP(A33,Ergebnis_je_Aktie_verwässert!A3:AJ68,16,FALSE),""),"")</f>
        <v>18.759689922480618</v>
      </c>
      <c r="N33" s="81">
        <f>IF(VLOOKUP(A33,Ergebnis_je_Aktie_verwässert!A3:AJ68,17,FALSE)&gt;0,IF(VLOOKUP(A33,Schlußkurse!A5:AU70,46,FALSE)&gt;0,VLOOKUP(A33,Schlußkurse!A5:AU70,46,FALSE)/VLOOKUP(A33,Ergebnis_je_Aktie_verwässert!A3:AJ68,17,FALSE),""),"")</f>
        <v>18.662037037037038</v>
      </c>
      <c r="O33" s="82">
        <f>IF(VLOOKUP(A33,Ergebnis_je_Aktie_verwässert!A3:AJ68,18,FALSE)&gt;0,IF(VLOOKUP(A33,Schlußkurse!A5:AU70,47,FALSE)&gt;0,VLOOKUP(A33,Schlußkurse!A5:AU70,47,FALSE)/VLOOKUP(A33,Ergebnis_je_Aktie_verwässert!A3:AJ68,18,FALSE),""),"")</f>
        <v>20.411764705882351</v>
      </c>
      <c r="P33" s="3">
        <f t="shared" si="1"/>
        <v>18.662037037037038</v>
      </c>
      <c r="Q33" s="3">
        <f ca="1">VLOOKUP(A33,Schlußkurse!A5:AU70,35,FALSE)/VLOOKUP(A33,Ergebnis_je_Aktie_verwässert!A3:AK68,23,FALSE)</f>
        <v>19.831603356890458</v>
      </c>
      <c r="R33" s="5">
        <f t="shared" ca="1" si="0"/>
        <v>6.2670881937072265E-2</v>
      </c>
    </row>
    <row r="34" spans="1:18" x14ac:dyDescent="0.25">
      <c r="A34" t="s">
        <v>60</v>
      </c>
      <c r="B34" t="s">
        <v>61</v>
      </c>
      <c r="C34" s="80">
        <f>IF(VLOOKUP(A34,Ergebnis_je_Aktie_verwässert!A3:AJ68,6,FALSE)&gt;0,IF(VLOOKUP(A34,Schlußkurse!A5:AU70,35,FALSE)&gt;0,VLOOKUP(A34,Schlußkurse!A5:AU70,35,FALSE)/VLOOKUP(A34,Ergebnis_je_Aktie_verwässert!A3:AJ68,6,FALSE),""),"")</f>
        <v>19.069637883008355</v>
      </c>
      <c r="D34" s="81">
        <f>IF(VLOOKUP(A34,Ergebnis_je_Aktie_verwässert!A3:AJ68,7,FALSE)&gt;0,IF(VLOOKUP(A34,Schlußkurse!A5:AU70,36,FALSE)&gt;0,VLOOKUP(A34,Schlußkurse!A5:AU70,36,FALSE)/VLOOKUP(A34,Ergebnis_je_Aktie_verwässert!A3:AJ68,7,FALSE),""),"")</f>
        <v>21.327102803738317</v>
      </c>
      <c r="E34" s="81">
        <f>IF(VLOOKUP(A34,Ergebnis_je_Aktie_verwässert!A3:AJ68,8,FALSE)&gt;0,IF(VLOOKUP(A34,Schlußkurse!A5:AU70,37,FALSE)&gt;0,VLOOKUP(A34,Schlußkurse!A5:AU70,37,FALSE)/VLOOKUP(A34,Ergebnis_je_Aktie_verwässert!A3:AJ68,8,FALSE),""),"")</f>
        <v>23.776632302405496</v>
      </c>
      <c r="F34" s="81">
        <f>IF(VLOOKUP(A34,Ergebnis_je_Aktie_verwässert!A3:AJ68,9,FALSE)&gt;0,IF(VLOOKUP(A34,Schlußkurse!A5:AU70,38,FALSE)&gt;0,VLOOKUP(A34,Schlußkurse!A5:AU70,38,FALSE)/VLOOKUP(A34,Ergebnis_je_Aktie_verwässert!A3:AJ68,9,FALSE),""),"")</f>
        <v>27.631355932203387</v>
      </c>
      <c r="G34" s="81">
        <f>IF(VLOOKUP(A34,Ergebnis_je_Aktie_verwässert!A3:AJ68,10,FALSE)&gt;0,IF(VLOOKUP(A34,Schlußkurse!A5:AU70,39,FALSE)&gt;0,VLOOKUP(A34,Schlußkurse!A5:AU70,39,FALSE)/VLOOKUP(A34,Ergebnis_je_Aktie_verwässert!A3:AJ68,10,FALSE),""),"")</f>
        <v>21.962184873949582</v>
      </c>
      <c r="H34" s="81">
        <f>IF(VLOOKUP(A34,Ergebnis_je_Aktie_verwässert!A3:AJ68,11,FALSE)&gt;0,IF(VLOOKUP(A34,Schlußkurse!A5:AU70,40,FALSE)&gt;0,VLOOKUP(A34,Schlußkurse!A5:AU70,40,FALSE)/VLOOKUP(A34,Ergebnis_je_Aktie_verwässert!A3:AJ68,11,FALSE),""),"")</f>
        <v>17.905038759689923</v>
      </c>
      <c r="I34" s="81">
        <f>IF(VLOOKUP(A34,Ergebnis_je_Aktie_verwässert!A3:AJ68,12,FALSE)&gt;0,IF(VLOOKUP(A34,Schlußkurse!A5:AU70,41,FALSE)&gt;0,VLOOKUP(A34,Schlußkurse!A5:AU70,41,FALSE)/VLOOKUP(A34,Ergebnis_je_Aktie_verwässert!A3:AJ68,12,FALSE),""),"")</f>
        <v>16.26923076923077</v>
      </c>
      <c r="J34" s="81">
        <f>IF(VLOOKUP(A34,Ergebnis_je_Aktie_verwässert!A3:AJ68,13,FALSE)&gt;0,IF(VLOOKUP(A34,Schlußkurse!A5:AU70,42,FALSE)&gt;0,VLOOKUP(A34,Schlußkurse!A5:AU70,42,FALSE)/VLOOKUP(A34,Ergebnis_je_Aktie_verwässert!A3:AJ68,13,FALSE),""),"")</f>
        <v>19.104651162790699</v>
      </c>
      <c r="K34" s="81">
        <f>IF(VLOOKUP(A34,Ergebnis_je_Aktie_verwässert!A3:AJ68,14,FALSE)&gt;0,IF(VLOOKUP(A34,Schlußkurse!A5:AU70,43,FALSE)&gt;0,VLOOKUP(A34,Schlußkurse!A5:AU70,43,FALSE)/VLOOKUP(A34,Ergebnis_je_Aktie_verwässert!A3:AJ68,14,FALSE),""),"")</f>
        <v>15.648401826484021</v>
      </c>
      <c r="L34" s="81">
        <f>IF(VLOOKUP(A34,Ergebnis_je_Aktie_verwässert!A3:AJ68,15,FALSE)&gt;0,IF(VLOOKUP(A34,Schlußkurse!A5:AU70,44,FALSE)&gt;0,VLOOKUP(A34,Schlußkurse!A5:AU70,44,FALSE)/VLOOKUP(A34,Ergebnis_je_Aktie_verwässert!A3:AJ68,15,FALSE),""),"")</f>
        <v>21.300546448087431</v>
      </c>
      <c r="M34" s="81">
        <f>IF(VLOOKUP(A34,Ergebnis_je_Aktie_verwässert!A3:AJ68,16,FALSE)&gt;0,IF(VLOOKUP(A34,Schlußkurse!A5:AU70,45,FALSE)&gt;0,VLOOKUP(A34,Schlußkurse!A5:AU70,45,FALSE)/VLOOKUP(A34,Ergebnis_je_Aktie_verwässert!A3:AJ68,16,FALSE),""),"")</f>
        <v>20.412499999999998</v>
      </c>
      <c r="N34" s="81">
        <f>IF(VLOOKUP(A34,Ergebnis_je_Aktie_verwässert!A3:AJ68,17,FALSE)&gt;0,IF(VLOOKUP(A34,Schlußkurse!A5:AU70,46,FALSE)&gt;0,VLOOKUP(A34,Schlußkurse!A5:AU70,46,FALSE)/VLOOKUP(A34,Ergebnis_je_Aktie_verwässert!A3:AJ68,17,FALSE),""),"")</f>
        <v>22.471544715447155</v>
      </c>
      <c r="O34" s="82">
        <f>IF(VLOOKUP(A34,Ergebnis_je_Aktie_verwässert!A3:AJ68,18,FALSE)&gt;0,IF(VLOOKUP(A34,Schlußkurse!A5:AU70,47,FALSE)&gt;0,VLOOKUP(A34,Schlußkurse!A5:AU70,47,FALSE)/VLOOKUP(A34,Ergebnis_je_Aktie_verwässert!A3:AJ68,18,FALSE),""),"")</f>
        <v>15.163934426229508</v>
      </c>
      <c r="P34" s="3">
        <f t="shared" si="1"/>
        <v>20.412499999999998</v>
      </c>
      <c r="Q34" s="3">
        <f ca="1">VLOOKUP(A34,Schlußkurse!A5:AU70,35,FALSE)/VLOOKUP(A34,Ergebnis_je_Aktie_verwässert!A3:AK68,23,FALSE)</f>
        <v>23.044039270687236</v>
      </c>
      <c r="R34" s="5">
        <f t="shared" ca="1" si="0"/>
        <v>0.12891802918247341</v>
      </c>
    </row>
    <row r="35" spans="1:18" x14ac:dyDescent="0.25">
      <c r="A35" t="s">
        <v>62</v>
      </c>
      <c r="B35" t="s">
        <v>63</v>
      </c>
      <c r="C35" s="80">
        <f>IF(VLOOKUP(A35,Ergebnis_je_Aktie_verwässert!A3:AJ68,6,FALSE)&gt;0,IF(VLOOKUP(A35,Schlußkurse!A5:AU70,35,FALSE)&gt;0,VLOOKUP(A35,Schlußkurse!A5:AU70,35,FALSE)/VLOOKUP(A35,Ergebnis_je_Aktie_verwässert!A3:AJ68,6,FALSE),""),"")</f>
        <v>11.149289099526067</v>
      </c>
      <c r="D35" s="81">
        <f>IF(VLOOKUP(A35,Ergebnis_je_Aktie_verwässert!A3:AJ68,7,FALSE)&gt;0,IF(VLOOKUP(A35,Schlußkurse!A5:AU70,36,FALSE)&gt;0,VLOOKUP(A35,Schlußkurse!A5:AU70,36,FALSE)/VLOOKUP(A35,Ergebnis_je_Aktie_verwässert!A3:AJ68,7,FALSE),""),"")</f>
        <v>12.925824175824175</v>
      </c>
      <c r="E35" s="81">
        <f>IF(VLOOKUP(A35,Ergebnis_je_Aktie_verwässert!A3:AJ68,8,FALSE)&gt;0,IF(VLOOKUP(A35,Schlußkurse!A5:AU70,37,FALSE)&gt;0,VLOOKUP(A35,Schlußkurse!A5:AU70,37,FALSE)/VLOOKUP(A35,Ergebnis_je_Aktie_verwässert!A3:AJ68,8,FALSE),""),"")</f>
        <v>15.408783783783784</v>
      </c>
      <c r="F35" s="81">
        <f>IF(VLOOKUP(A35,Ergebnis_je_Aktie_verwässert!A3:AJ68,9,FALSE)&gt;0,IF(VLOOKUP(A35,Schlußkurse!A5:AU70,38,FALSE)&gt;0,VLOOKUP(A35,Schlußkurse!A5:AU70,38,FALSE)/VLOOKUP(A35,Ergebnis_je_Aktie_verwässert!A3:AJ68,9,FALSE),""),"")</f>
        <v>15.470383275261323</v>
      </c>
      <c r="G35" s="81">
        <f>IF(VLOOKUP(A35,Ergebnis_je_Aktie_verwässert!A3:AJ68,10,FALSE)&gt;0,IF(VLOOKUP(A35,Schlußkurse!A5:AU70,39,FALSE)&gt;0,VLOOKUP(A35,Schlußkurse!A5:AU70,39,FALSE)/VLOOKUP(A35,Ergebnis_je_Aktie_verwässert!A3:AJ68,10,FALSE),""),"")</f>
        <v>8.7851630434782599</v>
      </c>
      <c r="H35" s="81">
        <f>IF(VLOOKUP(A35,Ergebnis_je_Aktie_verwässert!A3:AJ68,11,FALSE)&gt;0,IF(VLOOKUP(A35,Schlußkurse!A5:AU70,40,FALSE)&gt;0,VLOOKUP(A35,Schlußkurse!A5:AU70,40,FALSE)/VLOOKUP(A35,Ergebnis_je_Aktie_verwässert!A3:AJ68,11,FALSE),""),"")</f>
        <v>41.085714285714289</v>
      </c>
      <c r="I35" s="81">
        <f>IF(VLOOKUP(A35,Ergebnis_je_Aktie_verwässert!A3:AJ68,12,FALSE)&gt;0,IF(VLOOKUP(A35,Schlußkurse!A5:AU70,41,FALSE)&gt;0,VLOOKUP(A35,Schlußkurse!A5:AU70,41,FALSE)/VLOOKUP(A35,Ergebnis_je_Aktie_verwässert!A3:AJ68,12,FALSE),""),"")</f>
        <v>16.653658536585368</v>
      </c>
      <c r="J35" s="81">
        <f>IF(VLOOKUP(A35,Ergebnis_je_Aktie_verwässert!A3:AJ68,13,FALSE)&gt;0,IF(VLOOKUP(A35,Schlußkurse!A5:AU70,42,FALSE)&gt;0,VLOOKUP(A35,Schlußkurse!A5:AU70,42,FALSE)/VLOOKUP(A35,Ergebnis_je_Aktie_verwässert!A3:AJ68,13,FALSE),""),"")</f>
        <v>16.063953488372093</v>
      </c>
      <c r="K35" s="81">
        <f>IF(VLOOKUP(A35,Ergebnis_je_Aktie_verwässert!A3:AJ68,14,FALSE)&gt;0,IF(VLOOKUP(A35,Schlußkurse!A5:AU70,43,FALSE)&gt;0,VLOOKUP(A35,Schlußkurse!A5:AU70,43,FALSE)/VLOOKUP(A35,Ergebnis_je_Aktie_verwässert!A3:AJ68,14,FALSE),""),"")</f>
        <v>47.15625</v>
      </c>
      <c r="L35" s="81">
        <f>IF(VLOOKUP(A35,Ergebnis_je_Aktie_verwässert!A3:AJ68,15,FALSE)&gt;0,IF(VLOOKUP(A35,Schlußkurse!A5:AU70,44,FALSE)&gt;0,VLOOKUP(A35,Schlußkurse!A5:AU70,44,FALSE)/VLOOKUP(A35,Ergebnis_je_Aktie_verwässert!A3:AJ68,15,FALSE),""),"")</f>
        <v>63.580645161290327</v>
      </c>
      <c r="M35" s="81">
        <f>IF(VLOOKUP(A35,Ergebnis_je_Aktie_verwässert!A3:AJ68,16,FALSE)&gt;0,IF(VLOOKUP(A35,Schlußkurse!A5:AU70,45,FALSE)&gt;0,VLOOKUP(A35,Schlußkurse!A5:AU70,45,FALSE)/VLOOKUP(A35,Ergebnis_je_Aktie_verwässert!A3:AJ68,16,FALSE),""),"")</f>
        <v>13.361204013377927</v>
      </c>
      <c r="N35" s="81">
        <f>IF(VLOOKUP(A35,Ergebnis_je_Aktie_verwässert!A3:AJ68,17,FALSE)&gt;0,IF(VLOOKUP(A35,Schlußkurse!A5:AU70,46,FALSE)&gt;0,VLOOKUP(A35,Schlußkurse!A5:AU70,46,FALSE)/VLOOKUP(A35,Ergebnis_je_Aktie_verwässert!A3:AJ68,17,FALSE),""),"")</f>
        <v>11.560209424083769</v>
      </c>
      <c r="O35" s="82">
        <f>IF(VLOOKUP(A35,Ergebnis_je_Aktie_verwässert!A3:AJ68,18,FALSE)&gt;0,IF(VLOOKUP(A35,Schlußkurse!A5:AU70,47,FALSE)&gt;0,VLOOKUP(A35,Schlußkurse!A5:AU70,47,FALSE)/VLOOKUP(A35,Ergebnis_je_Aktie_verwässert!A3:AJ68,18,FALSE),""),"")</f>
        <v>7.9437229437229444</v>
      </c>
      <c r="P35" s="3">
        <f t="shared" si="1"/>
        <v>15.408783783783784</v>
      </c>
      <c r="Q35" s="3">
        <f ca="1">VLOOKUP(A35,Schlußkurse!A5:AU70,35,FALSE)/VLOOKUP(A35,Ergebnis_je_Aktie_verwässert!A3:AK68,23,FALSE)</f>
        <v>15.187762275384669</v>
      </c>
      <c r="R35" s="5">
        <f t="shared" ca="1" si="0"/>
        <v>-1.4343864609984269E-2</v>
      </c>
    </row>
    <row r="36" spans="1:18" x14ac:dyDescent="0.25">
      <c r="A36" t="s">
        <v>64</v>
      </c>
      <c r="B36" t="s">
        <v>65</v>
      </c>
      <c r="C36" s="80">
        <f>IF(VLOOKUP(A36,Ergebnis_je_Aktie_verwässert!A3:AJ68,6,FALSE)&gt;0,IF(VLOOKUP(A36,Schlußkurse!A5:AU70,35,FALSE)&gt;0,VLOOKUP(A36,Schlußkurse!A5:AU70,35,FALSE)/VLOOKUP(A36,Ergebnis_je_Aktie_verwässert!A3:AJ68,6,FALSE),""),"")</f>
        <v>12.726858877086496</v>
      </c>
      <c r="D36" s="81">
        <f>IF(VLOOKUP(A36,Ergebnis_je_Aktie_verwässert!A3:AJ68,7,FALSE)&gt;0,IF(VLOOKUP(A36,Schlußkurse!A5:AU70,36,FALSE)&gt;0,VLOOKUP(A36,Schlußkurse!A5:AU70,36,FALSE)/VLOOKUP(A36,Ergebnis_je_Aktie_verwässert!A3:AJ68,7,FALSE),""),"")</f>
        <v>15.332723948811701</v>
      </c>
      <c r="E36" s="81">
        <f>IF(VLOOKUP(A36,Ergebnis_je_Aktie_verwässert!A3:AJ68,8,FALSE)&gt;0,IF(VLOOKUP(A36,Schlußkurse!A5:AU70,37,FALSE)&gt;0,VLOOKUP(A36,Schlußkurse!A5:AU70,37,FALSE)/VLOOKUP(A36,Ergebnis_je_Aktie_verwässert!A3:AJ68,8,FALSE),""),"")</f>
        <v>24.653333333333332</v>
      </c>
      <c r="F36" s="81">
        <f>IF(VLOOKUP(A36,Ergebnis_je_Aktie_verwässert!A3:AJ68,9,FALSE)&gt;0,IF(VLOOKUP(A36,Schlußkurse!A5:AU70,38,FALSE)&gt;0,VLOOKUP(A36,Schlußkurse!A5:AU70,38,FALSE)/VLOOKUP(A36,Ergebnis_je_Aktie_verwässert!A3:AJ68,9,FALSE),""),"")</f>
        <v>13.315789473684212</v>
      </c>
      <c r="G36" s="81">
        <f>IF(VLOOKUP(A36,Ergebnis_je_Aktie_verwässert!A3:AJ68,10,FALSE)&gt;0,IF(VLOOKUP(A36,Schlußkurse!A5:AU70,39,FALSE)&gt;0,VLOOKUP(A36,Schlußkurse!A5:AU70,39,FALSE)/VLOOKUP(A36,Ergebnis_je_Aktie_verwässert!A3:AJ68,10,FALSE),""),"")</f>
        <v>11.743554952510175</v>
      </c>
      <c r="H36" s="81">
        <f>IF(VLOOKUP(A36,Ergebnis_je_Aktie_verwässert!A3:AJ68,11,FALSE)&gt;0,IF(VLOOKUP(A36,Schlußkurse!A5:AU70,40,FALSE)&gt;0,VLOOKUP(A36,Schlußkurse!A5:AU70,40,FALSE)/VLOOKUP(A36,Ergebnis_je_Aktie_verwässert!A3:AJ68,11,FALSE),""),"")</f>
        <v>8.7381443298969081</v>
      </c>
      <c r="I36" s="81">
        <f>IF(VLOOKUP(A36,Ergebnis_je_Aktie_verwässert!A3:AJ68,12,FALSE)&gt;0,IF(VLOOKUP(A36,Schlußkurse!A5:AU70,41,FALSE)&gt;0,VLOOKUP(A36,Schlußkurse!A5:AU70,41,FALSE)/VLOOKUP(A36,Ergebnis_je_Aktie_verwässert!A3:AJ68,12,FALSE),""),"")</f>
        <v>8.6840855106888366</v>
      </c>
      <c r="J36" s="81">
        <f>IF(VLOOKUP(A36,Ergebnis_je_Aktie_verwässert!A3:AJ68,13,FALSE)&gt;0,IF(VLOOKUP(A36,Schlußkurse!A5:AU70,42,FALSE)&gt;0,VLOOKUP(A36,Schlußkurse!A5:AU70,42,FALSE)/VLOOKUP(A36,Ergebnis_je_Aktie_verwässert!A3:AJ68,13,FALSE),""),"")</f>
        <v>10.963022508038586</v>
      </c>
      <c r="K36" s="81">
        <f>IF(VLOOKUP(A36,Ergebnis_je_Aktie_verwässert!A3:AJ68,14,FALSE)&gt;0,IF(VLOOKUP(A36,Schlußkurse!A5:AU70,43,FALSE)&gt;0,VLOOKUP(A36,Schlußkurse!A5:AU70,43,FALSE)/VLOOKUP(A36,Ergebnis_je_Aktie_verwässert!A3:AJ68,14,FALSE),""),"")</f>
        <v>20.057788944723619</v>
      </c>
      <c r="L36" s="81">
        <f>IF(VLOOKUP(A36,Ergebnis_je_Aktie_verwässert!A3:AJ68,15,FALSE)&gt;0,IF(VLOOKUP(A36,Schlußkurse!A5:AU70,44,FALSE)&gt;0,VLOOKUP(A36,Schlußkurse!A5:AU70,44,FALSE)/VLOOKUP(A36,Ergebnis_je_Aktie_verwässert!A3:AJ68,15,FALSE),""),"")</f>
        <v>10.781357882623706</v>
      </c>
      <c r="M36" s="81">
        <f>IF(VLOOKUP(A36,Ergebnis_je_Aktie_verwässert!A3:AJ68,16,FALSE)&gt;0,IF(VLOOKUP(A36,Schlußkurse!A5:AU70,45,FALSE)&gt;0,VLOOKUP(A36,Schlußkurse!A5:AU70,45,FALSE)/VLOOKUP(A36,Ergebnis_je_Aktie_verwässert!A3:AJ68,16,FALSE),""),"")</f>
        <v>10.575549450549449</v>
      </c>
      <c r="N36" s="81">
        <f>IF(VLOOKUP(A36,Ergebnis_je_Aktie_verwässert!A3:AJ68,17,FALSE)&gt;0,IF(VLOOKUP(A36,Schlußkurse!A5:AU70,46,FALSE)&gt;0,VLOOKUP(A36,Schlußkurse!A5:AU70,46,FALSE)/VLOOKUP(A36,Ergebnis_je_Aktie_verwässert!A3:AJ68,17,FALSE),""),"")</f>
        <v>8.4848942598187307</v>
      </c>
      <c r="O36" s="82">
        <f>IF(VLOOKUP(A36,Ergebnis_je_Aktie_verwässert!A3:AJ68,18,FALSE)&gt;0,IF(VLOOKUP(A36,Schlußkurse!A5:AU70,47,FALSE)&gt;0,VLOOKUP(A36,Schlußkurse!A5:AU70,47,FALSE)/VLOOKUP(A36,Ergebnis_je_Aktie_verwässert!A3:AJ68,18,FALSE),""),"")</f>
        <v>8.977232924693519</v>
      </c>
      <c r="P36" s="3">
        <f t="shared" si="1"/>
        <v>10.963022508038586</v>
      </c>
      <c r="Q36" s="3">
        <f ca="1">VLOOKUP(A36,Schlußkurse!A5:AU70,35,FALSE)/VLOOKUP(A36,Ergebnis_je_Aktie_verwässert!A3:AK68,23,FALSE)</f>
        <v>20.462197403019875</v>
      </c>
      <c r="R36" s="5">
        <f t="shared" ref="R36:R67" ca="1" si="2">(Q36/P36)-1</f>
        <v>0.86647408486264288</v>
      </c>
    </row>
    <row r="37" spans="1:18" x14ac:dyDescent="0.25">
      <c r="A37" t="s">
        <v>66</v>
      </c>
      <c r="B37" t="s">
        <v>67</v>
      </c>
      <c r="C37" s="80">
        <f>IF(VLOOKUP(A37,Ergebnis_je_Aktie_verwässert!A3:AJ68,6,FALSE)&gt;0,IF(VLOOKUP(A37,Schlußkurse!A5:AU70,35,FALSE)&gt;0,VLOOKUP(A37,Schlußkurse!A5:AU70,35,FALSE)/VLOOKUP(A37,Ergebnis_je_Aktie_verwässert!A3:AJ68,6,FALSE),""),"")</f>
        <v>13.834254143646408</v>
      </c>
      <c r="D37" s="81">
        <f>IF(VLOOKUP(A37,Ergebnis_je_Aktie_verwässert!A3:AJ68,7,FALSE)&gt;0,IF(VLOOKUP(A37,Schlußkurse!A5:AU70,36,FALSE)&gt;0,VLOOKUP(A37,Schlußkurse!A5:AU70,36,FALSE)/VLOOKUP(A37,Ergebnis_je_Aktie_verwässert!A3:AJ68,7,FALSE),""),"")</f>
        <v>14.729411764705882</v>
      </c>
      <c r="E37" s="81">
        <f>IF(VLOOKUP(A37,Ergebnis_je_Aktie_verwässert!A3:AJ68,8,FALSE)&gt;0,IF(VLOOKUP(A37,Schlußkurse!A5:AU70,37,FALSE)&gt;0,VLOOKUP(A37,Schlußkurse!A5:AU70,37,FALSE)/VLOOKUP(A37,Ergebnis_je_Aktie_verwässert!A3:AJ68,8,FALSE),""),"")</f>
        <v>15.793749999999999</v>
      </c>
      <c r="F37" s="81">
        <f>IF(VLOOKUP(A37,Ergebnis_je_Aktie_verwässert!A3:AJ68,9,FALSE)&gt;0,IF(VLOOKUP(A37,Schlußkurse!A5:AU70,38,FALSE)&gt;0,VLOOKUP(A37,Schlußkurse!A5:AU70,38,FALSE)/VLOOKUP(A37,Ergebnis_je_Aktie_verwässert!A3:AJ68,9,FALSE),""),"")</f>
        <v>18.686666666666667</v>
      </c>
      <c r="G37" s="81">
        <f>IF(VLOOKUP(A37,Ergebnis_je_Aktie_verwässert!A3:AJ68,10,FALSE)&gt;0,IF(VLOOKUP(A37,Schlußkurse!A5:AU70,39,FALSE)&gt;0,VLOOKUP(A37,Schlußkurse!A5:AU70,39,FALSE)/VLOOKUP(A37,Ergebnis_je_Aktie_verwässert!A3:AJ68,10,FALSE),""),"")</f>
        <v>16.527559055118108</v>
      </c>
      <c r="H37" s="81">
        <f>IF(VLOOKUP(A37,Ergebnis_je_Aktie_verwässert!A3:AJ68,11,FALSE)&gt;0,IF(VLOOKUP(A37,Schlußkurse!A5:AU70,40,FALSE)&gt;0,VLOOKUP(A37,Schlußkurse!A5:AU70,40,FALSE)/VLOOKUP(A37,Ergebnis_je_Aktie_verwässert!A3:AJ68,11,FALSE),""),"")</f>
        <v>13.883720930232558</v>
      </c>
      <c r="I37" s="81">
        <f>IF(VLOOKUP(A37,Ergebnis_je_Aktie_verwässert!A3:AJ68,12,FALSE)&gt;0,IF(VLOOKUP(A37,Schlußkurse!A5:AU70,41,FALSE)&gt;0,VLOOKUP(A37,Schlußkurse!A5:AU70,41,FALSE)/VLOOKUP(A37,Ergebnis_je_Aktie_verwässert!A3:AJ68,12,FALSE),""),"")</f>
        <v>14.869918699186991</v>
      </c>
      <c r="J37" s="81">
        <f>IF(VLOOKUP(A37,Ergebnis_je_Aktie_verwässert!A3:AJ68,13,FALSE)&gt;0,IF(VLOOKUP(A37,Schlußkurse!A5:AU70,42,FALSE)&gt;0,VLOOKUP(A37,Schlußkurse!A5:AU70,42,FALSE)/VLOOKUP(A37,Ergebnis_je_Aktie_verwässert!A3:AJ68,13,FALSE),""),"")</f>
        <v>14.273584905660377</v>
      </c>
      <c r="K37" s="81">
        <f>IF(VLOOKUP(A37,Ergebnis_je_Aktie_verwässert!A3:AJ68,14,FALSE)&gt;0,IF(VLOOKUP(A37,Schlußkurse!A5:AU70,43,FALSE)&gt;0,VLOOKUP(A37,Schlußkurse!A5:AU70,43,FALSE)/VLOOKUP(A37,Ergebnis_je_Aktie_verwässert!A3:AJ68,14,FALSE),""),"")</f>
        <v>16.03960396039604</v>
      </c>
      <c r="L37" s="81">
        <f>IF(VLOOKUP(A37,Ergebnis_je_Aktie_verwässert!A3:AJ68,15,FALSE)&gt;0,IF(VLOOKUP(A37,Schlußkurse!A5:AU70,44,FALSE)&gt;0,VLOOKUP(A37,Schlußkurse!A5:AU70,44,FALSE)/VLOOKUP(A37,Ergebnis_je_Aktie_verwässert!A3:AJ68,15,FALSE),""),"")</f>
        <v>21.552325581395348</v>
      </c>
      <c r="M37" s="81">
        <f>IF(VLOOKUP(A37,Ergebnis_je_Aktie_verwässert!A3:AJ68,16,FALSE)&gt;0,IF(VLOOKUP(A37,Schlußkurse!A5:AU70,45,FALSE)&gt;0,VLOOKUP(A37,Schlußkurse!A5:AU70,45,FALSE)/VLOOKUP(A37,Ergebnis_je_Aktie_verwässert!A3:AJ68,16,FALSE),""),"")</f>
        <v>17.208294930875574</v>
      </c>
      <c r="N37" s="81">
        <f>IF(VLOOKUP(A37,Ergebnis_je_Aktie_verwässert!A3:AJ68,17,FALSE)&gt;0,IF(VLOOKUP(A37,Schlußkurse!A5:AU70,46,FALSE)&gt;0,VLOOKUP(A37,Schlußkurse!A5:AU70,46,FALSE)/VLOOKUP(A37,Ergebnis_je_Aktie_verwässert!A3:AJ68,17,FALSE),""),"")</f>
        <v>17.524999999999999</v>
      </c>
      <c r="O37" s="82">
        <f>IF(VLOOKUP(A37,Ergebnis_je_Aktie_verwässert!A3:AJ68,18,FALSE)&gt;0,IF(VLOOKUP(A37,Schlußkurse!A5:AU70,47,FALSE)&gt;0,VLOOKUP(A37,Schlußkurse!A5:AU70,47,FALSE)/VLOOKUP(A37,Ergebnis_je_Aktie_verwässert!A3:AJ68,18,FALSE),""),"")</f>
        <v>23.7012987012987</v>
      </c>
      <c r="P37" s="3">
        <f t="shared" si="1"/>
        <v>16.03960396039604</v>
      </c>
      <c r="Q37" s="3">
        <f ca="1">VLOOKUP(A37,Schlußkurse!A5:AU70,35,FALSE)/VLOOKUP(A37,Ergebnis_je_Aktie_verwässert!A3:AK68,23,FALSE)</f>
        <v>15.454140236584948</v>
      </c>
      <c r="R37" s="5">
        <f t="shared" ca="1" si="2"/>
        <v>-3.6501133398098906E-2</v>
      </c>
    </row>
    <row r="38" spans="1:18" x14ac:dyDescent="0.25">
      <c r="A38" t="s">
        <v>68</v>
      </c>
      <c r="B38" t="s">
        <v>69</v>
      </c>
      <c r="C38" s="80">
        <f>IF(VLOOKUP(A38,Ergebnis_je_Aktie_verwässert!A3:AJ68,6,FALSE)&gt;0,IF(VLOOKUP(A38,Schlußkurse!A5:AU70,35,FALSE)&gt;0,VLOOKUP(A38,Schlußkurse!A5:AU70,35,FALSE)/VLOOKUP(A38,Ergebnis_je_Aktie_verwässert!A3:AJ68,6,FALSE),""),"")</f>
        <v>9.1912621359223294</v>
      </c>
      <c r="D38" s="81">
        <f>IF(VLOOKUP(A38,Ergebnis_je_Aktie_verwässert!A3:AJ68,7,FALSE)&gt;0,IF(VLOOKUP(A38,Schlußkurse!A5:AU70,36,FALSE)&gt;0,VLOOKUP(A38,Schlußkurse!A5:AU70,36,FALSE)/VLOOKUP(A38,Ergebnis_je_Aktie_verwässert!A3:AJ68,7,FALSE),""),"")</f>
        <v>10.125133689839572</v>
      </c>
      <c r="E38" s="81">
        <f>IF(VLOOKUP(A38,Ergebnis_je_Aktie_verwässert!A3:AJ68,8,FALSE)&gt;0,IF(VLOOKUP(A38,Schlußkurse!A5:AU70,37,FALSE)&gt;0,VLOOKUP(A38,Schlußkurse!A5:AU70,37,FALSE)/VLOOKUP(A38,Ergebnis_je_Aktie_verwässert!A3:AJ68,8,FALSE),""),"")</f>
        <v>11.204046242774567</v>
      </c>
      <c r="F38" s="81">
        <f>IF(VLOOKUP(A38,Ergebnis_je_Aktie_verwässert!A3:AJ68,9,FALSE)&gt;0,IF(VLOOKUP(A38,Schlußkurse!A5:AU70,38,FALSE)&gt;0,VLOOKUP(A38,Schlußkurse!A5:AU70,38,FALSE)/VLOOKUP(A38,Ergebnis_je_Aktie_verwässert!A3:AJ68,9,FALSE),""),"")</f>
        <v>10.384299941417691</v>
      </c>
      <c r="G38" s="81">
        <f>IF(VLOOKUP(A38,Ergebnis_je_Aktie_verwässert!A3:AJ68,10,FALSE)&gt;0,IF(VLOOKUP(A38,Schlußkurse!A5:AU70,39,FALSE)&gt;0,VLOOKUP(A38,Schlußkurse!A5:AU70,39,FALSE)/VLOOKUP(A38,Ergebnis_je_Aktie_verwässert!A3:AJ68,10,FALSE),""),"")</f>
        <v>8.2509702457956013</v>
      </c>
      <c r="H38" s="81">
        <f>IF(VLOOKUP(A38,Ergebnis_je_Aktie_verwässert!A3:AJ68,11,FALSE)&gt;0,IF(VLOOKUP(A38,Schlußkurse!A5:AU70,40,FALSE)&gt;0,VLOOKUP(A38,Schlußkurse!A5:AU70,40,FALSE)/VLOOKUP(A38,Ergebnis_je_Aktie_verwässert!A3:AJ68,11,FALSE),""),"")</f>
        <v>6.3998584571832984</v>
      </c>
      <c r="I38" s="81">
        <f>IF(VLOOKUP(A38,Ergebnis_je_Aktie_verwässert!A3:AJ68,12,FALSE)&gt;0,IF(VLOOKUP(A38,Schlußkurse!A5:AU70,41,FALSE)&gt;0,VLOOKUP(A38,Schlußkurse!A5:AU70,41,FALSE)/VLOOKUP(A38,Ergebnis_je_Aktie_verwässert!A3:AJ68,12,FALSE),""),"")</f>
        <v>37.286031042128606</v>
      </c>
      <c r="J38" s="81">
        <f>IF(VLOOKUP(A38,Ergebnis_je_Aktie_verwässert!A3:AJ68,13,FALSE)&gt;0,IF(VLOOKUP(A38,Schlußkurse!A5:AU70,42,FALSE)&gt;0,VLOOKUP(A38,Schlußkurse!A5:AU70,42,FALSE)/VLOOKUP(A38,Ergebnis_je_Aktie_verwässert!A3:AJ68,13,FALSE),""),"")</f>
        <v>12.8103186646434</v>
      </c>
      <c r="K38" s="81">
        <f>IF(VLOOKUP(A38,Ergebnis_je_Aktie_verwässert!A3:AJ68,14,FALSE)&gt;0,IF(VLOOKUP(A38,Schlußkurse!A5:AU70,43,FALSE)&gt;0,VLOOKUP(A38,Schlußkurse!A5:AU70,43,FALSE)/VLOOKUP(A38,Ergebnis_je_Aktie_verwässert!A3:AJ68,14,FALSE),""),"")</f>
        <v>3.7080885675553552</v>
      </c>
      <c r="L38" s="81">
        <f>IF(VLOOKUP(A38,Ergebnis_je_Aktie_verwässert!A3:AJ68,15,FALSE)&gt;0,IF(VLOOKUP(A38,Schlußkurse!A5:AU70,44,FALSE)&gt;0,VLOOKUP(A38,Schlußkurse!A5:AU70,44,FALSE)/VLOOKUP(A38,Ergebnis_je_Aktie_verwässert!A3:AJ68,15,FALSE),""),"")</f>
        <v>48.109619686800897</v>
      </c>
      <c r="M38" s="81">
        <f>IF(VLOOKUP(A38,Ergebnis_je_Aktie_verwässert!A3:AJ68,16,FALSE)&gt;0,IF(VLOOKUP(A38,Schlußkurse!A5:AU70,45,FALSE)&gt;0,VLOOKUP(A38,Schlußkurse!A5:AU70,45,FALSE)/VLOOKUP(A38,Ergebnis_je_Aktie_verwässert!A3:AJ68,16,FALSE),""),"")</f>
        <v>8.0837040032349368</v>
      </c>
      <c r="N38" s="81">
        <f>IF(VLOOKUP(A38,Ergebnis_je_Aktie_verwässert!A3:AJ68,17,FALSE)&gt;0,IF(VLOOKUP(A38,Schlußkurse!A5:AU70,46,FALSE)&gt;0,VLOOKUP(A38,Schlußkurse!A5:AU70,46,FALSE)/VLOOKUP(A38,Ergebnis_je_Aktie_verwässert!A3:AJ68,17,FALSE),""),"")</f>
        <v>6.5200609446419495</v>
      </c>
      <c r="O38" s="82">
        <f>IF(VLOOKUP(A38,Ergebnis_je_Aktie_verwässert!A3:AJ68,18,FALSE)&gt;0,IF(VLOOKUP(A38,Schlußkurse!A5:AU70,47,FALSE)&gt;0,VLOOKUP(A38,Schlußkurse!A5:AU70,47,FALSE)/VLOOKUP(A38,Ergebnis_je_Aktie_verwässert!A3:AJ68,18,FALSE),""),"")</f>
        <v>9.3595004460303297</v>
      </c>
      <c r="P38" s="3">
        <f t="shared" si="1"/>
        <v>9.3595004460303297</v>
      </c>
      <c r="Q38" s="3">
        <f ca="1">VLOOKUP(A38,Schlußkurse!A5:AU70,35,FALSE)/VLOOKUP(A38,Ergebnis_je_Aktie_verwässert!A3:AK68,23,FALSE)</f>
        <v>10.767811443556285</v>
      </c>
      <c r="R38" s="5">
        <f t="shared" ca="1" si="2"/>
        <v>0.15046860734145984</v>
      </c>
    </row>
    <row r="39" spans="1:18" x14ac:dyDescent="0.25">
      <c r="A39" t="s">
        <v>70</v>
      </c>
      <c r="B39" t="s">
        <v>71</v>
      </c>
      <c r="C39" s="80">
        <f>IF(VLOOKUP(A39,Ergebnis_je_Aktie_verwässert!A3:AJ68,6,FALSE)&gt;0,IF(VLOOKUP(A39,Schlußkurse!A5:AU70,35,FALSE)&gt;0,VLOOKUP(A39,Schlußkurse!A5:AU70,35,FALSE)/VLOOKUP(A39,Ergebnis_je_Aktie_verwässert!A3:AJ68,6,FALSE),""),"")</f>
        <v>8.7163841807909606</v>
      </c>
      <c r="D39" s="81">
        <f>IF(VLOOKUP(A39,Ergebnis_je_Aktie_verwässert!A3:AJ68,7,FALSE)&gt;0,IF(VLOOKUP(A39,Schlußkurse!A5:AU70,36,FALSE)&gt;0,VLOOKUP(A39,Schlußkurse!A5:AU70,36,FALSE)/VLOOKUP(A39,Ergebnis_je_Aktie_verwässert!A3:AJ68,7,FALSE),""),"")</f>
        <v>9.8897435897435901</v>
      </c>
      <c r="E39" s="81">
        <f>IF(VLOOKUP(A39,Ergebnis_je_Aktie_verwässert!A3:AJ68,8,FALSE)&gt;0,IF(VLOOKUP(A39,Schlußkurse!A5:AU70,37,FALSE)&gt;0,VLOOKUP(A39,Schlußkurse!A5:AU70,37,FALSE)/VLOOKUP(A39,Ergebnis_je_Aktie_verwässert!A3:AJ68,8,FALSE),""),"")</f>
        <v>10.767785234899328</v>
      </c>
      <c r="F39" s="81">
        <f>IF(VLOOKUP(A39,Ergebnis_je_Aktie_verwässert!A3:AJ68,9,FALSE)&gt;0,IF(VLOOKUP(A39,Schlußkurse!A5:AU70,38,FALSE)&gt;0,VLOOKUP(A39,Schlußkurse!A5:AU70,38,FALSE)/VLOOKUP(A39,Ergebnis_je_Aktie_verwässert!A3:AJ68,9,FALSE),""),"")</f>
        <v>12.031430404105196</v>
      </c>
      <c r="G39" s="81">
        <f>IF(VLOOKUP(A39,Ergebnis_je_Aktie_verwässert!A3:AJ68,10,FALSE)&gt;0,IF(VLOOKUP(A39,Schlußkurse!A5:AU70,39,FALSE)&gt;0,VLOOKUP(A39,Schlußkurse!A5:AU70,39,FALSE)/VLOOKUP(A39,Ergebnis_je_Aktie_verwässert!A3:AJ68,10,FALSE),""),"")</f>
        <v>12.821285140562249</v>
      </c>
      <c r="H39" s="81">
        <f>IF(VLOOKUP(A39,Ergebnis_je_Aktie_verwässert!A3:AJ68,11,FALSE)&gt;0,IF(VLOOKUP(A39,Schlußkurse!A5:AU70,40,FALSE)&gt;0,VLOOKUP(A39,Schlußkurse!A5:AU70,40,FALSE)/VLOOKUP(A39,Ergebnis_je_Aktie_verwässert!A3:AJ68,11,FALSE),""),"")</f>
        <v>12.796102992345164</v>
      </c>
      <c r="I39" s="81">
        <f>IF(VLOOKUP(A39,Ergebnis_je_Aktie_verwässert!A3:AJ68,12,FALSE)&gt;0,IF(VLOOKUP(A39,Schlußkurse!A5:AU70,41,FALSE)&gt;0,VLOOKUP(A39,Schlußkurse!A5:AU70,41,FALSE)/VLOOKUP(A39,Ergebnis_je_Aktie_verwässert!A3:AJ68,12,FALSE),""),"")</f>
        <v>11.237366003062785</v>
      </c>
      <c r="J39" s="81">
        <f>IF(VLOOKUP(A39,Ergebnis_je_Aktie_verwässert!A3:AJ68,13,FALSE)&gt;0,IF(VLOOKUP(A39,Schlußkurse!A5:AU70,42,FALSE)&gt;0,VLOOKUP(A39,Schlußkurse!A5:AU70,42,FALSE)/VLOOKUP(A39,Ergebnis_je_Aktie_verwässert!A3:AJ68,13,FALSE),""),"")</f>
        <v>11.362847222222223</v>
      </c>
      <c r="K39" s="81">
        <f>IF(VLOOKUP(A39,Ergebnis_je_Aktie_verwässert!A3:AJ68,14,FALSE)&gt;0,IF(VLOOKUP(A39,Schlußkurse!A5:AU70,43,FALSE)&gt;0,VLOOKUP(A39,Schlußkurse!A5:AU70,43,FALSE)/VLOOKUP(A39,Ergebnis_je_Aktie_verwässert!A3:AJ68,14,FALSE),""),"")</f>
        <v>8.4075924075924071</v>
      </c>
      <c r="L39" s="81">
        <f>IF(VLOOKUP(A39,Ergebnis_je_Aktie_verwässert!A3:AJ68,15,FALSE)&gt;0,IF(VLOOKUP(A39,Schlußkurse!A5:AU70,44,FALSE)&gt;0,VLOOKUP(A39,Schlußkurse!A5:AU70,44,FALSE)/VLOOKUP(A39,Ergebnis_je_Aktie_verwässert!A3:AJ68,15,FALSE),""),"")</f>
        <v>12.105263157894736</v>
      </c>
      <c r="M39" s="81">
        <f>IF(VLOOKUP(A39,Ergebnis_je_Aktie_verwässert!A3:AJ68,16,FALSE)&gt;0,IF(VLOOKUP(A39,Schlußkurse!A5:AU70,45,FALSE)&gt;0,VLOOKUP(A39,Schlußkurse!A5:AU70,45,FALSE)/VLOOKUP(A39,Ergebnis_je_Aktie_verwässert!A3:AJ68,16,FALSE),""),"")</f>
        <v>13.555710306406686</v>
      </c>
      <c r="N39" s="81">
        <f>IF(VLOOKUP(A39,Ergebnis_je_Aktie_verwässert!A3:AJ68,17,FALSE)&gt;0,IF(VLOOKUP(A39,Schlußkurse!A5:AU70,46,FALSE)&gt;0,VLOOKUP(A39,Schlußkurse!A5:AU70,46,FALSE)/VLOOKUP(A39,Ergebnis_je_Aktie_verwässert!A3:AJ68,17,FALSE),""),"")</f>
        <v>13.453355155482814</v>
      </c>
      <c r="O39" s="82">
        <f>IF(VLOOKUP(A39,Ergebnis_je_Aktie_verwässert!A3:AJ68,18,FALSE)&gt;0,IF(VLOOKUP(A39,Schlußkurse!A5:AU70,47,FALSE)&gt;0,VLOOKUP(A39,Schlußkurse!A5:AU70,47,FALSE)/VLOOKUP(A39,Ergebnis_je_Aktie_verwässert!A3:AJ68,18,FALSE),""),"")</f>
        <v>20.200819672131146</v>
      </c>
      <c r="P39" s="3">
        <f t="shared" si="1"/>
        <v>12.031430404105196</v>
      </c>
      <c r="Q39" s="3">
        <f ca="1">VLOOKUP(A39,Schlußkurse!A5:AU70,35,FALSE)/VLOOKUP(A39,Ergebnis_je_Aktie_verwässert!A3:AK68,23,FALSE)</f>
        <v>10.256652693394395</v>
      </c>
      <c r="R39" s="5">
        <f t="shared" ca="1" si="2"/>
        <v>-0.147511779655496</v>
      </c>
    </row>
    <row r="40" spans="1:18" x14ac:dyDescent="0.25">
      <c r="A40" t="s">
        <v>72</v>
      </c>
      <c r="B40" t="s">
        <v>73</v>
      </c>
      <c r="C40" s="80">
        <f>IF(VLOOKUP(A40,Ergebnis_je_Aktie_verwässert!A3:AJ68,6,FALSE)&gt;0,IF(VLOOKUP(A40,Schlußkurse!A5:AU70,35,FALSE)&gt;0,VLOOKUP(A40,Schlußkurse!A5:AU70,35,FALSE)/VLOOKUP(A40,Ergebnis_je_Aktie_verwässert!A3:AJ68,6,FALSE),""),"")</f>
        <v>8.4254143646408846</v>
      </c>
      <c r="D40" s="81">
        <f>IF(VLOOKUP(A40,Ergebnis_je_Aktie_verwässert!A3:AJ68,7,FALSE)&gt;0,IF(VLOOKUP(A40,Schlußkurse!A5:AU70,36,FALSE)&gt;0,VLOOKUP(A40,Schlußkurse!A5:AU70,36,FALSE)/VLOOKUP(A40,Ergebnis_je_Aktie_verwässert!A3:AJ68,7,FALSE),""),"")</f>
        <v>9.413580246913579</v>
      </c>
      <c r="E40" s="81">
        <f>IF(VLOOKUP(A40,Ergebnis_je_Aktie_verwässert!A3:AJ68,8,FALSE)&gt;0,IF(VLOOKUP(A40,Schlußkurse!A5:AU70,37,FALSE)&gt;0,VLOOKUP(A40,Schlußkurse!A5:AU70,37,FALSE)/VLOOKUP(A40,Ergebnis_je_Aktie_verwässert!A3:AJ68,8,FALSE),""),"")</f>
        <v>10.864583333333334</v>
      </c>
      <c r="F40" s="81">
        <f>IF(VLOOKUP(A40,Ergebnis_je_Aktie_verwässert!A3:AJ68,9,FALSE)&gt;0,IF(VLOOKUP(A40,Schlußkurse!A5:AU70,38,FALSE)&gt;0,VLOOKUP(A40,Schlußkurse!A5:AU70,38,FALSE)/VLOOKUP(A40,Ergebnis_je_Aktie_verwässert!A3:AJ68,9,FALSE),""),"")</f>
        <v>11.054820415879016</v>
      </c>
      <c r="G40" s="81">
        <f>IF(VLOOKUP(A40,Ergebnis_je_Aktie_verwässert!A3:AJ68,10,FALSE)&gt;0,IF(VLOOKUP(A40,Schlußkurse!A5:AU70,39,FALSE)&gt;0,VLOOKUP(A40,Schlußkurse!A5:AU70,39,FALSE)/VLOOKUP(A40,Ergebnis_je_Aktie_verwässert!A3:AJ68,10,FALSE),""),"")</f>
        <v>10.107839080459771</v>
      </c>
      <c r="H40" s="81">
        <f>IF(VLOOKUP(A40,Ergebnis_je_Aktie_verwässert!A3:AJ68,11,FALSE)&gt;0,IF(VLOOKUP(A40,Schlußkurse!A5:AU70,40,FALSE)&gt;0,VLOOKUP(A40,Schlußkurse!A5:AU70,40,FALSE)/VLOOKUP(A40,Ergebnis_je_Aktie_verwässert!A3:AJ68,11,FALSE),""),"")</f>
        <v>6.3942307692307692</v>
      </c>
      <c r="I40" s="81">
        <f>IF(VLOOKUP(A40,Ergebnis_je_Aktie_verwässert!A3:AJ68,12,FALSE)&gt;0,IF(VLOOKUP(A40,Schlußkurse!A5:AU70,41,FALSE)&gt;0,VLOOKUP(A40,Schlußkurse!A5:AU70,41,FALSE)/VLOOKUP(A40,Ergebnis_je_Aktie_verwässert!A3:AJ68,12,FALSE),""),"")</f>
        <v>9.46875</v>
      </c>
      <c r="J40" s="81">
        <f>IF(VLOOKUP(A40,Ergebnis_je_Aktie_verwässert!A3:AJ68,13,FALSE)&gt;0,IF(VLOOKUP(A40,Schlußkurse!A5:AU70,42,FALSE)&gt;0,VLOOKUP(A40,Schlußkurse!A5:AU70,42,FALSE)/VLOOKUP(A40,Ergebnis_je_Aktie_verwässert!A3:AJ68,13,FALSE),""),"")</f>
        <v>10.522727272727273</v>
      </c>
      <c r="K40" s="81">
        <f>IF(VLOOKUP(A40,Ergebnis_je_Aktie_verwässert!A3:AJ68,14,FALSE)&gt;0,IF(VLOOKUP(A40,Schlußkurse!A5:AU70,43,FALSE)&gt;0,VLOOKUP(A40,Schlußkurse!A5:AU70,43,FALSE)/VLOOKUP(A40,Ergebnis_je_Aktie_verwässert!A3:AJ68,14,FALSE),""),"")</f>
        <v>13.95132743362832</v>
      </c>
      <c r="L40" s="81">
        <f>IF(VLOOKUP(A40,Ergebnis_je_Aktie_verwässert!A3:AJ68,15,FALSE)&gt;0,IF(VLOOKUP(A40,Schlußkurse!A5:AU70,44,FALSE)&gt;0,VLOOKUP(A40,Schlußkurse!A5:AU70,44,FALSE)/VLOOKUP(A40,Ergebnis_je_Aktie_verwässert!A3:AJ68,15,FALSE),""),"")</f>
        <v>31.861313868613134</v>
      </c>
      <c r="M40" s="81">
        <f>IF(VLOOKUP(A40,Ergebnis_je_Aktie_verwässert!A3:AJ68,16,FALSE)&gt;0,IF(VLOOKUP(A40,Schlußkurse!A5:AU70,45,FALSE)&gt;0,VLOOKUP(A40,Schlußkurse!A5:AU70,45,FALSE)/VLOOKUP(A40,Ergebnis_je_Aktie_verwässert!A3:AJ68,16,FALSE),""),"")</f>
        <v>11.038812785388128</v>
      </c>
      <c r="N40" s="81">
        <f>IF(VLOOKUP(A40,Ergebnis_je_Aktie_verwässert!A3:AJ68,17,FALSE)&gt;0,IF(VLOOKUP(A40,Schlußkurse!A5:AU70,46,FALSE)&gt;0,VLOOKUP(A40,Schlußkurse!A5:AU70,46,FALSE)/VLOOKUP(A40,Ergebnis_je_Aktie_verwässert!A3:AJ68,17,FALSE),""),"")</f>
        <v>9.824257425742573</v>
      </c>
      <c r="O40" s="82">
        <f>IF(VLOOKUP(A40,Ergebnis_je_Aktie_verwässert!A3:AJ68,18,FALSE)&gt;0,IF(VLOOKUP(A40,Schlußkurse!A5:AU70,47,FALSE)&gt;0,VLOOKUP(A40,Schlußkurse!A5:AU70,47,FALSE)/VLOOKUP(A40,Ergebnis_je_Aktie_verwässert!A3:AJ68,18,FALSE),""),"")</f>
        <v>16.390756302521009</v>
      </c>
      <c r="P40" s="3">
        <f t="shared" si="1"/>
        <v>10.522727272727273</v>
      </c>
      <c r="Q40" s="3">
        <f ca="1">VLOOKUP(A40,Schlußkurse!A5:AU70,35,FALSE)/VLOOKUP(A40,Ergebnis_je_Aktie_verwässert!A3:AK68,23,FALSE)</f>
        <v>10.32847951236031</v>
      </c>
      <c r="R40" s="5">
        <f t="shared" ca="1" si="2"/>
        <v>-1.8459830358847462E-2</v>
      </c>
    </row>
    <row r="41" spans="1:18" x14ac:dyDescent="0.25">
      <c r="A41" t="s">
        <v>74</v>
      </c>
      <c r="B41" t="s">
        <v>75</v>
      </c>
      <c r="C41" s="80">
        <f>IF(VLOOKUP(A41,Ergebnis_je_Aktie_verwässert!A3:AJ68,6,FALSE)&gt;0,IF(VLOOKUP(A41,Schlußkurse!A5:AU70,35,FALSE)&gt;0,VLOOKUP(A41,Schlußkurse!A5:AU70,35,FALSE)/VLOOKUP(A41,Ergebnis_je_Aktie_verwässert!A3:AJ68,6,FALSE),""),"")</f>
        <v>16.263934426229508</v>
      </c>
      <c r="D41" s="81">
        <f>IF(VLOOKUP(A41,Ergebnis_je_Aktie_verwässert!A3:AJ68,7,FALSE)&gt;0,IF(VLOOKUP(A41,Schlußkurse!A5:AU70,36,FALSE)&gt;0,VLOOKUP(A41,Schlußkurse!A5:AU70,36,FALSE)/VLOOKUP(A41,Ergebnis_je_Aktie_verwässert!A3:AJ68,7,FALSE),""),"")</f>
        <v>17.075731497418243</v>
      </c>
      <c r="E41" s="81">
        <f>IF(VLOOKUP(A41,Ergebnis_je_Aktie_verwässert!A3:AJ68,8,FALSE)&gt;0,IF(VLOOKUP(A41,Schlußkurse!A5:AU70,37,FALSE)&gt;0,VLOOKUP(A41,Schlußkurse!A5:AU70,37,FALSE)/VLOOKUP(A41,Ergebnis_je_Aktie_verwässert!A3:AJ68,8,FALSE),""),"")</f>
        <v>18.475265017667844</v>
      </c>
      <c r="F41" s="81">
        <f>IF(VLOOKUP(A41,Ergebnis_je_Aktie_verwässert!A3:AJ68,9,FALSE)&gt;0,IF(VLOOKUP(A41,Schlußkurse!A5:AU70,38,FALSE)&gt;0,VLOOKUP(A41,Schlußkurse!A5:AU70,38,FALSE)/VLOOKUP(A41,Ergebnis_je_Aktie_verwässert!A3:AJ68,9,FALSE),""),"")</f>
        <v>16.061403508771928</v>
      </c>
      <c r="G41" s="81">
        <f>IF(VLOOKUP(A41,Ergebnis_je_Aktie_verwässert!A3:AJ68,10,FALSE)&gt;0,IF(VLOOKUP(A41,Schlußkurse!A5:AU70,39,FALSE)&gt;0,VLOOKUP(A41,Schlußkurse!A5:AU70,39,FALSE)/VLOOKUP(A41,Ergebnis_je_Aktie_verwässert!A3:AJ68,10,FALSE),""),"")</f>
        <v>12.341549295774648</v>
      </c>
      <c r="H41" s="81">
        <f>IF(VLOOKUP(A41,Ergebnis_je_Aktie_verwässert!A3:AJ68,11,FALSE)&gt;0,IF(VLOOKUP(A41,Schlußkurse!A5:AU70,40,FALSE)&gt;0,VLOOKUP(A41,Schlußkurse!A5:AU70,40,FALSE)/VLOOKUP(A41,Ergebnis_je_Aktie_verwässert!A3:AJ68,11,FALSE),""),"")</f>
        <v>14.770270270270268</v>
      </c>
      <c r="I41" s="81">
        <f>IF(VLOOKUP(A41,Ergebnis_je_Aktie_verwässert!A3:AJ68,12,FALSE)&gt;0,IF(VLOOKUP(A41,Schlußkurse!A5:AU70,41,FALSE)&gt;0,VLOOKUP(A41,Schlußkurse!A5:AU70,41,FALSE)/VLOOKUP(A41,Ergebnis_je_Aktie_verwässert!A3:AJ68,12,FALSE),""),"")</f>
        <v>13.867713004484305</v>
      </c>
      <c r="J41" s="81">
        <f>IF(VLOOKUP(A41,Ergebnis_je_Aktie_verwässert!A3:AJ68,13,FALSE)&gt;0,IF(VLOOKUP(A41,Schlußkurse!A5:AU70,42,FALSE)&gt;0,VLOOKUP(A41,Schlußkurse!A5:AU70,42,FALSE)/VLOOKUP(A41,Ergebnis_je_Aktie_verwässert!A3:AJ68,13,FALSE),""),"")</f>
        <v>13.474895397489538</v>
      </c>
      <c r="K41" s="81">
        <f>IF(VLOOKUP(A41,Ergebnis_je_Aktie_verwässert!A3:AJ68,14,FALSE)&gt;0,IF(VLOOKUP(A41,Schlußkurse!A5:AU70,43,FALSE)&gt;0,VLOOKUP(A41,Schlußkurse!A5:AU70,43,FALSE)/VLOOKUP(A41,Ergebnis_je_Aktie_verwässert!A3:AJ68,14,FALSE),""),"")</f>
        <v>13.597727272727271</v>
      </c>
      <c r="L41" s="81">
        <f>IF(VLOOKUP(A41,Ergebnis_je_Aktie_verwässert!A3:AJ68,15,FALSE)&gt;0,IF(VLOOKUP(A41,Schlußkurse!A5:AU70,44,FALSE)&gt;0,VLOOKUP(A41,Schlußkurse!A5:AU70,44,FALSE)/VLOOKUP(A41,Ergebnis_je_Aktie_verwässert!A3:AJ68,15,FALSE),""),"")</f>
        <v>14.595185995623632</v>
      </c>
      <c r="M41" s="81">
        <f>IF(VLOOKUP(A41,Ergebnis_je_Aktie_verwässert!A3:AJ68,16,FALSE)&gt;0,IF(VLOOKUP(A41,Schlußkurse!A5:AU70,45,FALSE)&gt;0,VLOOKUP(A41,Schlußkurse!A5:AU70,45,FALSE)/VLOOKUP(A41,Ergebnis_je_Aktie_verwässert!A3:AJ68,16,FALSE),""),"")</f>
        <v>18.203856749311296</v>
      </c>
      <c r="N41" s="81">
        <f>IF(VLOOKUP(A41,Ergebnis_je_Aktie_verwässert!A3:AJ68,17,FALSE)&gt;0,IF(VLOOKUP(A41,Schlußkurse!A5:AU70,46,FALSE)&gt;0,VLOOKUP(A41,Schlußkurse!A5:AU70,46,FALSE)/VLOOKUP(A41,Ergebnis_je_Aktie_verwässert!A3:AJ68,17,FALSE),""),"")</f>
        <v>16.112600536193028</v>
      </c>
      <c r="O41" s="82">
        <f>IF(VLOOKUP(A41,Ergebnis_je_Aktie_verwässert!A3:AJ68,18,FALSE)&gt;0,IF(VLOOKUP(A41,Schlußkurse!A5:AU70,47,FALSE)&gt;0,VLOOKUP(A41,Schlußkurse!A5:AU70,47,FALSE)/VLOOKUP(A41,Ergebnis_je_Aktie_verwässert!A3:AJ68,18,FALSE),""),"")</f>
        <v>18.329479768786129</v>
      </c>
      <c r="P41" s="3">
        <f t="shared" si="1"/>
        <v>16.061403508771928</v>
      </c>
      <c r="Q41" s="3">
        <f ca="1">VLOOKUP(A41,Schlußkurse!A5:AU70,35,FALSE)/VLOOKUP(A41,Ergebnis_je_Aktie_verwässert!A3:AK68,23,FALSE)</f>
        <v>17.434575675477777</v>
      </c>
      <c r="R41" s="5">
        <f t="shared" ca="1" si="2"/>
        <v>8.5495154016639541E-2</v>
      </c>
    </row>
    <row r="42" spans="1:18" x14ac:dyDescent="0.25">
      <c r="A42" t="s">
        <v>76</v>
      </c>
      <c r="B42" t="s">
        <v>77</v>
      </c>
      <c r="C42" s="80">
        <f>IF(VLOOKUP(A42,Ergebnis_je_Aktie_verwässert!A3:AJ68,6,FALSE)&gt;0,IF(VLOOKUP(A42,Schlußkurse!A5:AU70,35,FALSE)&gt;0,VLOOKUP(A42,Schlußkurse!A5:AU70,35,FALSE)/VLOOKUP(A42,Ergebnis_je_Aktie_verwässert!A3:AJ68,6,FALSE),""),"")</f>
        <v>16.707317073170731</v>
      </c>
      <c r="D42" s="81">
        <f>IF(VLOOKUP(A42,Ergebnis_je_Aktie_verwässert!A3:AJ68,7,FALSE)&gt;0,IF(VLOOKUP(A42,Schlußkurse!A5:AU70,36,FALSE)&gt;0,VLOOKUP(A42,Schlußkurse!A5:AU70,36,FALSE)/VLOOKUP(A42,Ergebnis_je_Aktie_verwässert!A3:AJ68,7,FALSE),""),"")</f>
        <v>17.817919075144509</v>
      </c>
      <c r="E42" s="81">
        <f>IF(VLOOKUP(A42,Ergebnis_je_Aktie_verwässert!A3:AJ68,8,FALSE)&gt;0,IF(VLOOKUP(A42,Schlußkurse!A5:AU70,37,FALSE)&gt;0,VLOOKUP(A42,Schlußkurse!A5:AU70,37,FALSE)/VLOOKUP(A42,Ergebnis_je_Aktie_verwässert!A3:AJ68,8,FALSE),""),"")</f>
        <v>19.339506172839503</v>
      </c>
      <c r="F42" s="81">
        <f>IF(VLOOKUP(A42,Ergebnis_je_Aktie_verwässert!A3:AJ68,9,FALSE)&gt;0,IF(VLOOKUP(A42,Schlußkurse!A5:AU70,38,FALSE)&gt;0,VLOOKUP(A42,Schlußkurse!A5:AU70,38,FALSE)/VLOOKUP(A42,Ergebnis_je_Aktie_verwässert!A3:AJ68,9,FALSE),""),"")</f>
        <v>15.855882352941176</v>
      </c>
      <c r="G42" s="81">
        <f>IF(VLOOKUP(A42,Ergebnis_je_Aktie_verwässert!A3:AJ68,10,FALSE)&gt;0,IF(VLOOKUP(A42,Schlußkurse!A5:AU70,39,FALSE)&gt;0,VLOOKUP(A42,Schlußkurse!A5:AU70,39,FALSE)/VLOOKUP(A42,Ergebnis_je_Aktie_verwässert!A3:AJ68,10,FALSE),""),"")</f>
        <v>16.297491039426522</v>
      </c>
      <c r="H42" s="81" t="str">
        <f>IF(VLOOKUP(A42,Ergebnis_je_Aktie_verwässert!A3:AJ68,11,FALSE)&gt;0,IF(VLOOKUP(A42,Schlußkurse!A5:AU70,40,FALSE)&gt;0,VLOOKUP(A42,Schlußkurse!A5:AU70,40,FALSE)/VLOOKUP(A42,Ergebnis_je_Aktie_verwässert!A3:AJ68,11,FALSE),""),"")</f>
        <v/>
      </c>
      <c r="I42" s="81" t="str">
        <f>IF(VLOOKUP(A42,Ergebnis_je_Aktie_verwässert!A3:AJ68,12,FALSE)&gt;0,IF(VLOOKUP(A42,Schlußkurse!A5:AU70,41,FALSE)&gt;0,VLOOKUP(A42,Schlußkurse!A5:AU70,41,FALSE)/VLOOKUP(A42,Ergebnis_je_Aktie_verwässert!A3:AJ68,12,FALSE),""),"")</f>
        <v/>
      </c>
      <c r="J42" s="81" t="str">
        <f>IF(VLOOKUP(A42,Ergebnis_je_Aktie_verwässert!A3:AJ68,13,FALSE)&gt;0,IF(VLOOKUP(A42,Schlußkurse!A5:AU70,42,FALSE)&gt;0,VLOOKUP(A42,Schlußkurse!A5:AU70,42,FALSE)/VLOOKUP(A42,Ergebnis_je_Aktie_verwässert!A3:AJ68,13,FALSE),""),"")</f>
        <v/>
      </c>
      <c r="K42" s="81" t="str">
        <f>IF(VLOOKUP(A42,Ergebnis_je_Aktie_verwässert!A3:AJ68,14,FALSE)&gt;0,IF(VLOOKUP(A42,Schlußkurse!A5:AU70,43,FALSE)&gt;0,VLOOKUP(A42,Schlußkurse!A5:AU70,43,FALSE)/VLOOKUP(A42,Ergebnis_je_Aktie_verwässert!A3:AJ68,14,FALSE),""),"")</f>
        <v/>
      </c>
      <c r="L42" s="81" t="str">
        <f>IF(VLOOKUP(A42,Ergebnis_je_Aktie_verwässert!A3:AJ68,15,FALSE)&gt;0,IF(VLOOKUP(A42,Schlußkurse!A5:AU70,44,FALSE)&gt;0,VLOOKUP(A42,Schlußkurse!A5:AU70,44,FALSE)/VLOOKUP(A42,Ergebnis_je_Aktie_verwässert!A3:AJ68,15,FALSE),""),"")</f>
        <v/>
      </c>
      <c r="M42" s="81" t="str">
        <f>IF(VLOOKUP(A42,Ergebnis_je_Aktie_verwässert!A3:AJ68,16,FALSE)&gt;0,IF(VLOOKUP(A42,Schlußkurse!A5:AU70,45,FALSE)&gt;0,VLOOKUP(A42,Schlußkurse!A5:AU70,45,FALSE)/VLOOKUP(A42,Ergebnis_je_Aktie_verwässert!A3:AJ68,16,FALSE),""),"")</f>
        <v/>
      </c>
      <c r="N42" s="81" t="str">
        <f>IF(VLOOKUP(A42,Ergebnis_je_Aktie_verwässert!A3:AJ68,17,FALSE)&gt;0,IF(VLOOKUP(A42,Schlußkurse!A5:AU70,46,FALSE)&gt;0,VLOOKUP(A42,Schlußkurse!A5:AU70,46,FALSE)/VLOOKUP(A42,Ergebnis_je_Aktie_verwässert!A3:AJ68,17,FALSE),""),"")</f>
        <v/>
      </c>
      <c r="O42" s="82" t="str">
        <f>IF(VLOOKUP(A42,Ergebnis_je_Aktie_verwässert!A3:AJ68,18,FALSE)&gt;0,IF(VLOOKUP(A42,Schlußkurse!A5:AU70,47,FALSE)&gt;0,VLOOKUP(A42,Schlußkurse!A5:AU70,47,FALSE)/VLOOKUP(A42,Ergebnis_je_Aktie_verwässert!A3:AJ68,18,FALSE),""),"")</f>
        <v/>
      </c>
      <c r="P42" s="3">
        <f t="shared" si="1"/>
        <v>16.707317073170731</v>
      </c>
      <c r="Q42" s="3">
        <f ca="1">VLOOKUP(A42,Schlußkurse!A5:AU70,35,FALSE)/VLOOKUP(A42,Ergebnis_je_Aktie_verwässert!A3:AK68,23,FALSE)</f>
        <v>18.769345263264718</v>
      </c>
      <c r="R42" s="5">
        <f t="shared" ca="1" si="2"/>
        <v>0.12342066539248675</v>
      </c>
    </row>
    <row r="43" spans="1:18" x14ac:dyDescent="0.25">
      <c r="A43" t="s">
        <v>78</v>
      </c>
      <c r="B43" t="s">
        <v>79</v>
      </c>
      <c r="C43" s="80">
        <f>IF(VLOOKUP(A43,Ergebnis_je_Aktie_verwässert!A3:AJ68,6,FALSE)&gt;0,IF(VLOOKUP(A43,Schlußkurse!A5:AU70,35,FALSE)&gt;0,VLOOKUP(A43,Schlußkurse!A5:AU70,35,FALSE)/VLOOKUP(A43,Ergebnis_je_Aktie_verwässert!A3:AJ68,6,FALSE),""),"")</f>
        <v>16.302876480541453</v>
      </c>
      <c r="D43" s="81">
        <f>IF(VLOOKUP(A43,Ergebnis_je_Aktie_verwässert!A3:AJ68,7,FALSE)&gt;0,IF(VLOOKUP(A43,Schlußkurse!A5:AU70,36,FALSE)&gt;0,VLOOKUP(A43,Schlußkurse!A5:AU70,36,FALSE)/VLOOKUP(A43,Ergebnis_je_Aktie_verwässert!A3:AJ68,7,FALSE),""),"")</f>
        <v>18.009345794392523</v>
      </c>
      <c r="E43" s="81">
        <f>IF(VLOOKUP(A43,Ergebnis_je_Aktie_verwässert!A3:AJ68,8,FALSE)&gt;0,IF(VLOOKUP(A43,Schlußkurse!A5:AU70,37,FALSE)&gt;0,VLOOKUP(A43,Schlußkurse!A5:AU70,37,FALSE)/VLOOKUP(A43,Ergebnis_je_Aktie_verwässert!A3:AJ68,8,FALSE),""),"")</f>
        <v>18.665338645418331</v>
      </c>
      <c r="F43" s="81">
        <f>IF(VLOOKUP(A43,Ergebnis_je_Aktie_verwässert!A3:AJ68,9,FALSE)&gt;0,IF(VLOOKUP(A43,Schlußkurse!A5:AU70,38,FALSE)&gt;0,VLOOKUP(A43,Schlußkurse!A5:AU70,38,FALSE)/VLOOKUP(A43,Ergebnis_je_Aktie_verwässert!A3:AJ68,9,FALSE),""),"")</f>
        <v>20.130705394190869</v>
      </c>
      <c r="G43" s="81">
        <f>IF(VLOOKUP(A43,Ergebnis_je_Aktie_verwässert!A3:AJ68,10,FALSE)&gt;0,IF(VLOOKUP(A43,Schlußkurse!A5:AU70,39,FALSE)&gt;0,VLOOKUP(A43,Schlußkurse!A5:AU70,39,FALSE)/VLOOKUP(A43,Ergebnis_je_Aktie_verwässert!A3:AJ68,10,FALSE),""),"")</f>
        <v>15.893693693693693</v>
      </c>
      <c r="H43" s="81">
        <f>IF(VLOOKUP(A43,Ergebnis_je_Aktie_verwässert!A3:AJ68,11,FALSE)&gt;0,IF(VLOOKUP(A43,Schlußkurse!A5:AU70,40,FALSE)&gt;0,VLOOKUP(A43,Schlußkurse!A5:AU70,40,FALSE)/VLOOKUP(A43,Ergebnis_je_Aktie_verwässert!A3:AJ68,11,FALSE),""),"")</f>
        <v>18.718283582089551</v>
      </c>
      <c r="I43" s="81">
        <f>IF(VLOOKUP(A43,Ergebnis_je_Aktie_verwässert!A3:AJ68,12,FALSE)&gt;0,IF(VLOOKUP(A43,Schlußkurse!A5:AU70,41,FALSE)&gt;0,VLOOKUP(A43,Schlußkurse!A5:AU70,41,FALSE)/VLOOKUP(A43,Ergebnis_je_Aktie_verwässert!A3:AJ68,12,FALSE),""),"")</f>
        <v>14.565464895635676</v>
      </c>
      <c r="J43" s="81">
        <f>IF(VLOOKUP(A43,Ergebnis_je_Aktie_verwässert!A3:AJ68,13,FALSE)&gt;0,IF(VLOOKUP(A43,Schlußkurse!A5:AU70,42,FALSE)&gt;0,VLOOKUP(A43,Schlußkurse!A5:AU70,42,FALSE)/VLOOKUP(A43,Ergebnis_je_Aktie_verwässert!A3:AJ68,13,FALSE),""),"")</f>
        <v>13.633187772925764</v>
      </c>
      <c r="K43" s="81">
        <f>IF(VLOOKUP(A43,Ergebnis_je_Aktie_verwässert!A3:AJ68,14,FALSE)&gt;0,IF(VLOOKUP(A43,Schlußkurse!A5:AU70,43,FALSE)&gt;0,VLOOKUP(A43,Schlußkurse!A5:AU70,43,FALSE)/VLOOKUP(A43,Ergebnis_je_Aktie_verwässert!A3:AJ68,14,FALSE),""),"")</f>
        <v>15.131386861313867</v>
      </c>
      <c r="L43" s="81">
        <f>IF(VLOOKUP(A43,Ergebnis_je_Aktie_verwässert!A3:AJ68,15,FALSE)&gt;0,IF(VLOOKUP(A43,Schlußkurse!A5:AU70,44,FALSE)&gt;0,VLOOKUP(A43,Schlußkurse!A5:AU70,44,FALSE)/VLOOKUP(A43,Ergebnis_je_Aktie_verwässert!A3:AJ68,15,FALSE),""),"")</f>
        <v>15.667553191489361</v>
      </c>
      <c r="M43" s="81">
        <f>IF(VLOOKUP(A43,Ergebnis_je_Aktie_verwässert!A3:AJ68,16,FALSE)&gt;0,IF(VLOOKUP(A43,Schlußkurse!A5:AU70,45,FALSE)&gt;0,VLOOKUP(A43,Schlußkurse!A5:AU70,45,FALSE)/VLOOKUP(A43,Ergebnis_je_Aktie_verwässert!A3:AJ68,16,FALSE),""),"")</f>
        <v>13.454545454545455</v>
      </c>
      <c r="N43" s="81">
        <f>IF(VLOOKUP(A43,Ergebnis_je_Aktie_verwässert!A3:AJ68,17,FALSE)&gt;0,IF(VLOOKUP(A43,Schlußkurse!A5:AU70,46,FALSE)&gt;0,VLOOKUP(A43,Schlußkurse!A5:AU70,46,FALSE)/VLOOKUP(A43,Ergebnis_je_Aktie_verwässert!A3:AJ68,17,FALSE),""),"")</f>
        <v>11.915194346289752</v>
      </c>
      <c r="O43" s="82">
        <f>IF(VLOOKUP(A43,Ergebnis_je_Aktie_verwässert!A3:AJ68,18,FALSE)&gt;0,IF(VLOOKUP(A43,Schlußkurse!A5:AU70,47,FALSE)&gt;0,VLOOKUP(A43,Schlußkurse!A5:AU70,47,FALSE)/VLOOKUP(A43,Ergebnis_je_Aktie_verwässert!A3:AJ68,18,FALSE),""),"")</f>
        <v>15.715686274509805</v>
      </c>
      <c r="P43" s="3">
        <f t="shared" si="1"/>
        <v>15.715686274509805</v>
      </c>
      <c r="Q43" s="3">
        <f ca="1">VLOOKUP(A43,Schlußkurse!A5:AU70,35,FALSE)/VLOOKUP(A43,Ergebnis_je_Aktie_verwässert!A3:AK68,23,FALSE)</f>
        <v>18.940746686761795</v>
      </c>
      <c r="R43" s="5">
        <f t="shared" ca="1" si="2"/>
        <v>0.205212827230008</v>
      </c>
    </row>
    <row r="44" spans="1:18" x14ac:dyDescent="0.25">
      <c r="A44" t="s">
        <v>80</v>
      </c>
      <c r="B44" t="s">
        <v>81</v>
      </c>
      <c r="C44" s="80">
        <f>IF(VLOOKUP(A44,Ergebnis_je_Aktie_verwässert!A3:AJ68,6,FALSE)&gt;0,IF(VLOOKUP(A44,Schlußkurse!A5:AU70,35,FALSE)&gt;0,VLOOKUP(A44,Schlußkurse!A5:AU70,35,FALSE)/VLOOKUP(A44,Ergebnis_je_Aktie_verwässert!A3:AJ68,6,FALSE),""),"")</f>
        <v>17.841269841269842</v>
      </c>
      <c r="D44" s="81">
        <f>IF(VLOOKUP(A44,Ergebnis_je_Aktie_verwässert!A3:AJ68,7,FALSE)&gt;0,IF(VLOOKUP(A44,Schlußkurse!A5:AU70,36,FALSE)&gt;0,VLOOKUP(A44,Schlußkurse!A5:AU70,36,FALSE)/VLOOKUP(A44,Ergebnis_je_Aktie_verwässert!A3:AJ68,7,FALSE),""),"")</f>
        <v>17.784810126582279</v>
      </c>
      <c r="E44" s="81">
        <f>IF(VLOOKUP(A44,Ergebnis_je_Aktie_verwässert!A3:AJ68,8,FALSE)&gt;0,IF(VLOOKUP(A44,Schlußkurse!A5:AU70,37,FALSE)&gt;0,VLOOKUP(A44,Schlußkurse!A5:AU70,37,FALSE)/VLOOKUP(A44,Ergebnis_je_Aktie_verwässert!A3:AJ68,8,FALSE),""),"")</f>
        <v>25.813636363636363</v>
      </c>
      <c r="F44" s="81">
        <f>IF(VLOOKUP(A44,Ergebnis_je_Aktie_verwässert!A3:AJ68,9,FALSE)&gt;0,IF(VLOOKUP(A44,Schlußkurse!A5:AU70,38,FALSE)&gt;0,VLOOKUP(A44,Schlußkurse!A5:AU70,38,FALSE)/VLOOKUP(A44,Ergebnis_je_Aktie_verwässert!A3:AJ68,9,FALSE),""),"")</f>
        <v>12.297297297297296</v>
      </c>
      <c r="G44" s="81">
        <f>IF(VLOOKUP(A44,Ergebnis_je_Aktie_verwässert!A3:AJ68,10,FALSE)&gt;0,IF(VLOOKUP(A44,Schlußkurse!A5:AU70,39,FALSE)&gt;0,VLOOKUP(A44,Schlußkurse!A5:AU70,39,FALSE)/VLOOKUP(A44,Ergebnis_je_Aktie_verwässert!A3:AJ68,10,FALSE),""),"")</f>
        <v>27.85034013605442</v>
      </c>
      <c r="H44" s="81">
        <f>IF(VLOOKUP(A44,Ergebnis_je_Aktie_verwässert!A3:AJ68,11,FALSE)&gt;0,IF(VLOOKUP(A44,Schlußkurse!A5:AU70,40,FALSE)&gt;0,VLOOKUP(A44,Schlußkurse!A5:AU70,40,FALSE)/VLOOKUP(A44,Ergebnis_je_Aktie_verwässert!A3:AJ68,11,FALSE),""),"")</f>
        <v>18.850000000000001</v>
      </c>
      <c r="I44" s="81">
        <f>IF(VLOOKUP(A44,Ergebnis_je_Aktie_verwässert!A3:AJ68,12,FALSE)&gt;0,IF(VLOOKUP(A44,Schlußkurse!A5:AU70,41,FALSE)&gt;0,VLOOKUP(A44,Schlußkurse!A5:AU70,41,FALSE)/VLOOKUP(A44,Ergebnis_je_Aktie_verwässert!A3:AJ68,12,FALSE),""),"")</f>
        <v>17.841584158415841</v>
      </c>
      <c r="J44" s="81">
        <f>IF(VLOOKUP(A44,Ergebnis_je_Aktie_verwässert!A3:AJ68,13,FALSE)&gt;0,IF(VLOOKUP(A44,Schlußkurse!A5:AU70,42,FALSE)&gt;0,VLOOKUP(A44,Schlußkurse!A5:AU70,42,FALSE)/VLOOKUP(A44,Ergebnis_je_Aktie_verwässert!A3:AJ68,13,FALSE),""),"")</f>
        <v>10.684210526315789</v>
      </c>
      <c r="K44" s="81">
        <f>IF(VLOOKUP(A44,Ergebnis_je_Aktie_verwässert!A3:AJ68,14,FALSE)&gt;0,IF(VLOOKUP(A44,Schlußkurse!A5:AU70,43,FALSE)&gt;0,VLOOKUP(A44,Schlußkurse!A5:AU70,43,FALSE)/VLOOKUP(A44,Ergebnis_je_Aktie_verwässert!A3:AJ68,14,FALSE),""),"")</f>
        <v>5.3805309734513269</v>
      </c>
      <c r="L44" s="81">
        <f>IF(VLOOKUP(A44,Ergebnis_je_Aktie_verwässert!A3:AJ68,15,FALSE)&gt;0,IF(VLOOKUP(A44,Schlußkurse!A5:AU70,44,FALSE)&gt;0,VLOOKUP(A44,Schlußkurse!A5:AU70,44,FALSE)/VLOOKUP(A44,Ergebnis_je_Aktie_verwässert!A3:AJ68,15,FALSE),""),"")</f>
        <v>15.964285714285714</v>
      </c>
      <c r="M44" s="81">
        <f>IF(VLOOKUP(A44,Ergebnis_je_Aktie_verwässert!A3:AJ68,16,FALSE)&gt;0,IF(VLOOKUP(A44,Schlußkurse!A5:AU70,45,FALSE)&gt;0,VLOOKUP(A44,Schlußkurse!A5:AU70,45,FALSE)/VLOOKUP(A44,Ergebnis_je_Aktie_verwässert!A3:AJ68,16,FALSE),""),"")</f>
        <v>29.255033557046982</v>
      </c>
      <c r="N44" s="81">
        <f>IF(VLOOKUP(A44,Ergebnis_je_Aktie_verwässert!A3:AJ68,17,FALSE)&gt;0,IF(VLOOKUP(A44,Schlußkurse!A5:AU70,46,FALSE)&gt;0,VLOOKUP(A44,Schlußkurse!A5:AU70,46,FALSE)/VLOOKUP(A44,Ergebnis_je_Aktie_verwässert!A3:AJ68,17,FALSE),""),"")</f>
        <v>15.669950738916256</v>
      </c>
      <c r="O44" s="82">
        <f>IF(VLOOKUP(A44,Ergebnis_je_Aktie_verwässert!A3:AJ68,18,FALSE)&gt;0,IF(VLOOKUP(A44,Schlußkurse!A5:AU70,47,FALSE)&gt;0,VLOOKUP(A44,Schlußkurse!A5:AU70,47,FALSE)/VLOOKUP(A44,Ergebnis_je_Aktie_verwässert!A3:AJ68,18,FALSE),""),"")</f>
        <v>15.304761904761904</v>
      </c>
      <c r="P44" s="3">
        <f t="shared" si="1"/>
        <v>17.784810126582279</v>
      </c>
      <c r="Q44" s="3">
        <f ca="1">VLOOKUP(A44,Schlußkurse!A5:AU70,35,FALSE)/VLOOKUP(A44,Ergebnis_je_Aktie_verwässert!A3:AK68,23,FALSE)</f>
        <v>23.468819599109132</v>
      </c>
      <c r="R44" s="5">
        <f t="shared" ca="1" si="2"/>
        <v>0.31959910913140299</v>
      </c>
    </row>
    <row r="45" spans="1:18" x14ac:dyDescent="0.25">
      <c r="A45" t="s">
        <v>82</v>
      </c>
      <c r="B45" t="s">
        <v>83</v>
      </c>
      <c r="C45" s="80">
        <f>IF(VLOOKUP(A45,Ergebnis_je_Aktie_verwässert!A3:AJ68,6,FALSE)&gt;0,IF(VLOOKUP(A45,Schlußkurse!A5:AU70,35,FALSE)&gt;0,VLOOKUP(A45,Schlußkurse!A5:AU70,35,FALSE)/VLOOKUP(A45,Ergebnis_je_Aktie_verwässert!A3:AJ68,6,FALSE),""),"")</f>
        <v>12.577507598784194</v>
      </c>
      <c r="D45" s="81">
        <f>IF(VLOOKUP(A45,Ergebnis_je_Aktie_verwässert!A3:AJ68,7,FALSE)&gt;0,IF(VLOOKUP(A45,Schlußkurse!A5:AU70,36,FALSE)&gt;0,VLOOKUP(A45,Schlußkurse!A5:AU70,36,FALSE)/VLOOKUP(A45,Ergebnis_je_Aktie_verwässert!A3:AJ68,7,FALSE),""),"")</f>
        <v>14.171232876712329</v>
      </c>
      <c r="E45" s="81">
        <f>IF(VLOOKUP(A45,Ergebnis_je_Aktie_verwässert!A3:AJ68,8,FALSE)&gt;0,IF(VLOOKUP(A45,Schlußkurse!A5:AU70,37,FALSE)&gt;0,VLOOKUP(A45,Schlußkurse!A5:AU70,37,FALSE)/VLOOKUP(A45,Ergebnis_je_Aktie_verwässert!A3:AJ68,8,FALSE),""),"")</f>
        <v>17.447698744769873</v>
      </c>
      <c r="F45" s="81">
        <f>IF(VLOOKUP(A45,Ergebnis_je_Aktie_verwässert!A3:AJ68,9,FALSE)&gt;0,IF(VLOOKUP(A45,Schlußkurse!A5:AU70,38,FALSE)&gt;0,VLOOKUP(A45,Schlußkurse!A5:AU70,38,FALSE)/VLOOKUP(A45,Ergebnis_je_Aktie_verwässert!A3:AJ68,9,FALSE),""),"")</f>
        <v>13.134980988593156</v>
      </c>
      <c r="G45" s="81">
        <f>IF(VLOOKUP(A45,Ergebnis_je_Aktie_verwässert!A3:AJ68,10,FALSE)&gt;0,IF(VLOOKUP(A45,Schlußkurse!A5:AU70,39,FALSE)&gt;0,VLOOKUP(A45,Schlußkurse!A5:AU70,39,FALSE)/VLOOKUP(A45,Ergebnis_je_Aktie_verwässert!A3:AJ68,10,FALSE),""),"")</f>
        <v>11.456928838951312</v>
      </c>
      <c r="H45" s="81">
        <f>IF(VLOOKUP(A45,Ergebnis_je_Aktie_verwässert!A3:AJ68,11,FALSE)&gt;0,IF(VLOOKUP(A45,Schlußkurse!A5:AU70,40,FALSE)&gt;0,VLOOKUP(A45,Schlußkurse!A5:AU70,40,FALSE)/VLOOKUP(A45,Ergebnis_je_Aktie_verwässert!A3:AJ68,11,FALSE),""),"")</f>
        <v>9.5238095238095237</v>
      </c>
      <c r="I45" s="81">
        <f>IF(VLOOKUP(A45,Ergebnis_je_Aktie_verwässert!A3:AJ68,12,FALSE)&gt;0,IF(VLOOKUP(A45,Schlußkurse!A5:AU70,41,FALSE)&gt;0,VLOOKUP(A45,Schlußkurse!A5:AU70,41,FALSE)/VLOOKUP(A45,Ergebnis_je_Aktie_verwässert!A3:AJ68,12,FALSE),""),"")</f>
        <v>8.5539033457249083</v>
      </c>
      <c r="J45" s="81">
        <f>IF(VLOOKUP(A45,Ergebnis_je_Aktie_verwässert!A3:AJ68,13,FALSE)&gt;0,IF(VLOOKUP(A45,Schlußkurse!A5:AU70,42,FALSE)&gt;0,VLOOKUP(A45,Schlußkurse!A5:AU70,42,FALSE)/VLOOKUP(A45,Ergebnis_je_Aktie_verwässert!A3:AJ68,13,FALSE),""),"")</f>
        <v>11.319047619047618</v>
      </c>
      <c r="K45" s="81">
        <f>IF(VLOOKUP(A45,Ergebnis_je_Aktie_verwässert!A3:AJ68,14,FALSE)&gt;0,IF(VLOOKUP(A45,Schlußkurse!A5:AU70,43,FALSE)&gt;0,VLOOKUP(A45,Schlußkurse!A5:AU70,43,FALSE)/VLOOKUP(A45,Ergebnis_je_Aktie_verwässert!A3:AJ68,14,FALSE),""),"")</f>
        <v>16.981481481481481</v>
      </c>
      <c r="L45" s="81">
        <f>IF(VLOOKUP(A45,Ergebnis_je_Aktie_verwässert!A3:AJ68,15,FALSE)&gt;0,IF(VLOOKUP(A45,Schlußkurse!A5:AU70,44,FALSE)&gt;0,VLOOKUP(A45,Schlußkurse!A5:AU70,44,FALSE)/VLOOKUP(A45,Ergebnis_je_Aktie_verwässert!A3:AJ68,15,FALSE),""),"")</f>
        <v>15.759358288770052</v>
      </c>
      <c r="M45" s="81">
        <f>IF(VLOOKUP(A45,Ergebnis_je_Aktie_verwässert!A3:AJ68,16,FALSE)&gt;0,IF(VLOOKUP(A45,Schlußkurse!A5:AU70,45,FALSE)&gt;0,VLOOKUP(A45,Schlußkurse!A5:AU70,45,FALSE)/VLOOKUP(A45,Ergebnis_je_Aktie_verwässert!A3:AJ68,16,FALSE),""),"")</f>
        <v>16.408450704225352</v>
      </c>
      <c r="N45" s="81">
        <f>IF(VLOOKUP(A45,Ergebnis_je_Aktie_verwässert!A3:AJ68,17,FALSE)&gt;0,IF(VLOOKUP(A45,Schlußkurse!A5:AU70,46,FALSE)&gt;0,VLOOKUP(A45,Schlußkurse!A5:AU70,46,FALSE)/VLOOKUP(A45,Ergebnis_je_Aktie_verwässert!A3:AJ68,17,FALSE),""),"")</f>
        <v>20.7</v>
      </c>
      <c r="O45" s="82">
        <f>IF(VLOOKUP(A45,Ergebnis_je_Aktie_verwässert!A3:AJ68,18,FALSE)&gt;0,IF(VLOOKUP(A45,Schlußkurse!A5:AU70,47,FALSE)&gt;0,VLOOKUP(A45,Schlußkurse!A5:AU70,47,FALSE)/VLOOKUP(A45,Ergebnis_je_Aktie_verwässert!A3:AJ68,18,FALSE),""),"")</f>
        <v>25.499999999999996</v>
      </c>
      <c r="P45" s="3">
        <f t="shared" si="1"/>
        <v>14.171232876712329</v>
      </c>
      <c r="Q45" s="3">
        <f ca="1">VLOOKUP(A45,Schlußkurse!A5:AU70,35,FALSE)/VLOOKUP(A45,Ergebnis_je_Aktie_verwässert!A3:AK68,23,FALSE)</f>
        <v>14.971357359651064</v>
      </c>
      <c r="R45" s="5">
        <f t="shared" ca="1" si="2"/>
        <v>5.6461176659765799E-2</v>
      </c>
    </row>
    <row r="46" spans="1:18" x14ac:dyDescent="0.25">
      <c r="A46" t="s">
        <v>84</v>
      </c>
      <c r="B46" t="s">
        <v>85</v>
      </c>
      <c r="C46" s="80">
        <f>IF(VLOOKUP(A46,Ergebnis_je_Aktie_verwässert!A3:AJ68,6,FALSE)&gt;0,IF(VLOOKUP(A46,Schlußkurse!A5:AU70,35,FALSE)&gt;0,VLOOKUP(A46,Schlußkurse!A5:AU70,35,FALSE)/VLOOKUP(A46,Ergebnis_je_Aktie_verwässert!A3:AJ68,6,FALSE),""),"")</f>
        <v>15.830275229357795</v>
      </c>
      <c r="D46" s="81">
        <f>IF(VLOOKUP(A46,Ergebnis_je_Aktie_verwässert!A3:AJ68,7,FALSE)&gt;0,IF(VLOOKUP(A46,Schlußkurse!A5:AU70,36,FALSE)&gt;0,VLOOKUP(A46,Schlußkurse!A5:AU70,36,FALSE)/VLOOKUP(A46,Ergebnis_je_Aktie_verwässert!A3:AJ68,7,FALSE),""),"")</f>
        <v>17.788659793814432</v>
      </c>
      <c r="E46" s="81">
        <f>IF(VLOOKUP(A46,Ergebnis_je_Aktie_verwässert!A3:AJ68,8,FALSE)&gt;0,IF(VLOOKUP(A46,Schlußkurse!A5:AU70,37,FALSE)&gt;0,VLOOKUP(A46,Schlußkurse!A5:AU70,37,FALSE)/VLOOKUP(A46,Ergebnis_je_Aktie_verwässert!A3:AJ68,8,FALSE),""),"")</f>
        <v>22.015151515151519</v>
      </c>
      <c r="F46" s="81">
        <f>IF(VLOOKUP(A46,Ergebnis_je_Aktie_verwässert!A3:AJ68,9,FALSE)&gt;0,IF(VLOOKUP(A46,Schlußkurse!A5:AU70,38,FALSE)&gt;0,VLOOKUP(A46,Schlußkurse!A5:AU70,38,FALSE)/VLOOKUP(A46,Ergebnis_je_Aktie_verwässert!A3:AJ68,9,FALSE),""),"")</f>
        <v>27.578124999999996</v>
      </c>
      <c r="G46" s="81">
        <f>IF(VLOOKUP(A46,Ergebnis_je_Aktie_verwässert!A3:AJ68,10,FALSE)&gt;0,IF(VLOOKUP(A46,Schlußkurse!A5:AU70,39,FALSE)&gt;0,VLOOKUP(A46,Schlußkurse!A5:AU70,39,FALSE)/VLOOKUP(A46,Ergebnis_je_Aktie_verwässert!A3:AJ68,10,FALSE),""),"")</f>
        <v>10</v>
      </c>
      <c r="H46" s="81">
        <f>IF(VLOOKUP(A46,Ergebnis_je_Aktie_verwässert!A3:AJ68,11,FALSE)&gt;0,IF(VLOOKUP(A46,Schlußkurse!A5:AU70,40,FALSE)&gt;0,VLOOKUP(A46,Schlußkurse!A5:AU70,40,FALSE)/VLOOKUP(A46,Ergebnis_je_Aktie_verwässert!A3:AJ68,11,FALSE),""),"")</f>
        <v>21.09186046511628</v>
      </c>
      <c r="I46" s="81">
        <f>IF(VLOOKUP(A46,Ergebnis_je_Aktie_verwässert!A3:AJ68,12,FALSE)&gt;0,IF(VLOOKUP(A46,Schlußkurse!A5:AU70,41,FALSE)&gt;0,VLOOKUP(A46,Schlußkurse!A5:AU70,41,FALSE)/VLOOKUP(A46,Ergebnis_je_Aktie_verwässert!A3:AJ68,12,FALSE),""),"")</f>
        <v>5.1319587628865975</v>
      </c>
      <c r="J46" s="81">
        <f>IF(VLOOKUP(A46,Ergebnis_je_Aktie_verwässert!A3:AJ68,13,FALSE)&gt;0,IF(VLOOKUP(A46,Schlußkurse!A5:AU70,42,FALSE)&gt;0,VLOOKUP(A46,Schlußkurse!A5:AU70,42,FALSE)/VLOOKUP(A46,Ergebnis_je_Aktie_verwässert!A3:AJ68,13,FALSE),""),"")</f>
        <v>19.95</v>
      </c>
      <c r="K46" s="81">
        <f>IF(VLOOKUP(A46,Ergebnis_je_Aktie_verwässert!A3:AJ68,14,FALSE)&gt;0,IF(VLOOKUP(A46,Schlußkurse!A5:AU70,43,FALSE)&gt;0,VLOOKUP(A46,Schlußkurse!A5:AU70,43,FALSE)/VLOOKUP(A46,Ergebnis_je_Aktie_verwässert!A3:AJ68,14,FALSE),""),"")</f>
        <v>2.1789473684210527</v>
      </c>
      <c r="L46" s="81" t="str">
        <f>IF(VLOOKUP(A46,Ergebnis_je_Aktie_verwässert!A3:AJ68,15,FALSE)&gt;0,IF(VLOOKUP(A46,Schlußkurse!A5:AU70,44,FALSE)&gt;0,VLOOKUP(A46,Schlußkurse!A5:AU70,44,FALSE)/VLOOKUP(A46,Ergebnis_je_Aktie_verwässert!A3:AJ68,15,FALSE),""),"")</f>
        <v/>
      </c>
      <c r="M46" s="81" t="str">
        <f>IF(VLOOKUP(A46,Ergebnis_je_Aktie_verwässert!A3:AJ68,16,FALSE)&gt;0,IF(VLOOKUP(A46,Schlußkurse!A5:AU70,45,FALSE)&gt;0,VLOOKUP(A46,Schlußkurse!A5:AU70,45,FALSE)/VLOOKUP(A46,Ergebnis_je_Aktie_verwässert!A3:AJ68,16,FALSE),""),"")</f>
        <v/>
      </c>
      <c r="N46" s="81" t="str">
        <f>IF(VLOOKUP(A46,Ergebnis_je_Aktie_verwässert!A3:AJ68,17,FALSE)&gt;0,IF(VLOOKUP(A46,Schlußkurse!A5:AU70,46,FALSE)&gt;0,VLOOKUP(A46,Schlußkurse!A5:AU70,46,FALSE)/VLOOKUP(A46,Ergebnis_je_Aktie_verwässert!A3:AJ68,17,FALSE),""),"")</f>
        <v/>
      </c>
      <c r="O46" s="82" t="str">
        <f>IF(VLOOKUP(A46,Ergebnis_je_Aktie_verwässert!A3:AJ68,18,FALSE)&gt;0,IF(VLOOKUP(A46,Schlußkurse!A5:AU70,47,FALSE)&gt;0,VLOOKUP(A46,Schlußkurse!A5:AU70,47,FALSE)/VLOOKUP(A46,Ergebnis_je_Aktie_verwässert!A3:AJ68,18,FALSE),""),"")</f>
        <v/>
      </c>
      <c r="P46" s="3">
        <f t="shared" si="1"/>
        <v>17.788659793814432</v>
      </c>
      <c r="Q46" s="3">
        <f ca="1">VLOOKUP(A46,Schlußkurse!A5:AU70,35,FALSE)/VLOOKUP(A46,Ergebnis_je_Aktie_verwässert!A3:AK68,23,FALSE)</f>
        <v>20.195393143358746</v>
      </c>
      <c r="R46" s="5">
        <f t="shared" ca="1" si="2"/>
        <v>0.13529593445714205</v>
      </c>
    </row>
    <row r="47" spans="1:18" x14ac:dyDescent="0.25">
      <c r="A47" t="s">
        <v>86</v>
      </c>
      <c r="B47" t="s">
        <v>87</v>
      </c>
      <c r="C47" s="80">
        <f>IF(VLOOKUP(A47,Ergebnis_je_Aktie_verwässert!A3:AJ68,6,FALSE)&gt;0,IF(VLOOKUP(A47,Schlußkurse!A5:AU70,35,FALSE)&gt;0,VLOOKUP(A47,Schlußkurse!A5:AU70,35,FALSE)/VLOOKUP(A47,Ergebnis_je_Aktie_verwässert!A3:AJ68,6,FALSE),""),"")</f>
        <v>14.756313131313131</v>
      </c>
      <c r="D47" s="81">
        <f>IF(VLOOKUP(A47,Ergebnis_je_Aktie_verwässert!A3:AJ68,7,FALSE)&gt;0,IF(VLOOKUP(A47,Schlußkurse!A5:AU70,36,FALSE)&gt;0,VLOOKUP(A47,Schlußkurse!A5:AU70,36,FALSE)/VLOOKUP(A47,Ergebnis_je_Aktie_verwässert!A3:AJ68,7,FALSE),""),"")</f>
        <v>17.111273792093705</v>
      </c>
      <c r="E47" s="81">
        <f>IF(VLOOKUP(A47,Ergebnis_je_Aktie_verwässert!A3:AJ68,8,FALSE)&gt;0,IF(VLOOKUP(A47,Schlußkurse!A5:AU70,37,FALSE)&gt;0,VLOOKUP(A47,Schlußkurse!A5:AU70,37,FALSE)/VLOOKUP(A47,Ergebnis_je_Aktie_verwässert!A3:AJ68,8,FALSE),""),"")</f>
        <v>19.668367346938776</v>
      </c>
      <c r="F47" s="81">
        <f>IF(VLOOKUP(A47,Ergebnis_je_Aktie_verwässert!A3:AJ68,9,FALSE)&gt;0,IF(VLOOKUP(A47,Schlußkurse!A5:AU70,38,FALSE)&gt;0,VLOOKUP(A47,Schlußkurse!A5:AU70,38,FALSE)/VLOOKUP(A47,Ergebnis_je_Aktie_verwässert!A3:AJ68,9,FALSE),""),"")</f>
        <v>18.75287356321839</v>
      </c>
      <c r="G47" s="81">
        <f>IF(VLOOKUP(A47,Ergebnis_je_Aktie_verwässert!A3:AJ68,10,FALSE)&gt;0,IF(VLOOKUP(A47,Schlußkurse!A5:AU70,39,FALSE)&gt;0,VLOOKUP(A47,Schlußkurse!A5:AU70,39,FALSE)/VLOOKUP(A47,Ergebnis_je_Aktie_verwässert!A3:AJ68,10,FALSE),""),"")</f>
        <v>18.93695652173913</v>
      </c>
      <c r="H47" s="81">
        <f>IF(VLOOKUP(A47,Ergebnis_je_Aktie_verwässert!A3:AJ68,11,FALSE)&gt;0,IF(VLOOKUP(A47,Schlußkurse!A5:AU70,40,FALSE)&gt;0,VLOOKUP(A47,Schlußkurse!A5:AU70,40,FALSE)/VLOOKUP(A47,Ergebnis_je_Aktie_verwässert!A3:AJ68,11,FALSE),""),"")</f>
        <v>18.187335092348288</v>
      </c>
      <c r="I47" s="81">
        <f>IF(VLOOKUP(A47,Ergebnis_je_Aktie_verwässert!A3:AJ68,12,FALSE)&gt;0,IF(VLOOKUP(A47,Schlußkurse!A5:AU70,41,FALSE)&gt;0,VLOOKUP(A47,Schlußkurse!A5:AU70,41,FALSE)/VLOOKUP(A47,Ergebnis_je_Aktie_verwässert!A3:AJ68,12,FALSE),""),"")</f>
        <v>17.787162162162161</v>
      </c>
      <c r="J47" s="81">
        <f>IF(VLOOKUP(A47,Ergebnis_je_Aktie_verwässert!A3:AJ68,13,FALSE)&gt;0,IF(VLOOKUP(A47,Schlußkurse!A5:AU70,42,FALSE)&gt;0,VLOOKUP(A47,Schlußkurse!A5:AU70,42,FALSE)/VLOOKUP(A47,Ergebnis_je_Aktie_verwässert!A3:AJ68,13,FALSE),""),"")</f>
        <v>36.62882096069869</v>
      </c>
      <c r="K47" s="81">
        <f>IF(VLOOKUP(A47,Ergebnis_je_Aktie_verwässert!A3:AJ68,14,FALSE)&gt;0,IF(VLOOKUP(A47,Schlußkurse!A5:AU70,43,FALSE)&gt;0,VLOOKUP(A47,Schlußkurse!A5:AU70,43,FALSE)/VLOOKUP(A47,Ergebnis_je_Aktie_verwässert!A3:AJ68,14,FALSE),""),"")</f>
        <v>26.693925233644858</v>
      </c>
      <c r="L47" s="81">
        <f>IF(VLOOKUP(A47,Ergebnis_je_Aktie_verwässert!A3:AJ68,15,FALSE)&gt;0,IF(VLOOKUP(A47,Schlußkurse!A5:AU70,44,FALSE)&gt;0,VLOOKUP(A47,Schlußkurse!A5:AU70,44,FALSE)/VLOOKUP(A47,Ergebnis_je_Aktie_verwässert!A3:AJ68,15,FALSE),""),"")</f>
        <v>19.265193370165743</v>
      </c>
      <c r="M47" s="81">
        <f>IF(VLOOKUP(A47,Ergebnis_je_Aktie_verwässert!A3:AJ68,16,FALSE)&gt;0,IF(VLOOKUP(A47,Schlußkurse!A5:AU70,45,FALSE)&gt;0,VLOOKUP(A47,Schlußkurse!A5:AU70,45,FALSE)/VLOOKUP(A47,Ergebnis_je_Aktie_verwässert!A3:AJ68,16,FALSE),""),"")</f>
        <v>26.491620111731844</v>
      </c>
      <c r="N47" s="81">
        <f>IF(VLOOKUP(A47,Ergebnis_je_Aktie_verwässert!A3:AJ68,17,FALSE)&gt;0,IF(VLOOKUP(A47,Schlußkurse!A5:AU70,46,FALSE)&gt;0,VLOOKUP(A47,Schlußkurse!A5:AU70,46,FALSE)/VLOOKUP(A47,Ergebnis_je_Aktie_verwässert!A3:AJ68,17,FALSE),""),"")</f>
        <v>25.48</v>
      </c>
      <c r="O47" s="82">
        <f>IF(VLOOKUP(A47,Ergebnis_je_Aktie_verwässert!A3:AJ68,18,FALSE)&gt;0,IF(VLOOKUP(A47,Schlußkurse!A5:AU70,47,FALSE)&gt;0,VLOOKUP(A47,Schlußkurse!A5:AU70,47,FALSE)/VLOOKUP(A47,Ergebnis_je_Aktie_verwässert!A3:AJ68,18,FALSE),""),"")</f>
        <v>38.936170212765958</v>
      </c>
      <c r="P47" s="3">
        <f t="shared" si="1"/>
        <v>19.265193370165743</v>
      </c>
      <c r="Q47" s="3">
        <f ca="1">VLOOKUP(A47,Schlußkurse!A5:AU70,35,FALSE)/VLOOKUP(A47,Ergebnis_je_Aktie_verwässert!A3:AK68,23,FALSE)</f>
        <v>18.291502728082953</v>
      </c>
      <c r="R47" s="5">
        <f t="shared" ca="1" si="2"/>
        <v>-5.054144141582595E-2</v>
      </c>
    </row>
    <row r="48" spans="1:18" x14ac:dyDescent="0.25">
      <c r="A48" t="s">
        <v>88</v>
      </c>
      <c r="B48" t="s">
        <v>89</v>
      </c>
      <c r="C48" s="80">
        <f>IF(VLOOKUP(A48,Ergebnis_je_Aktie_verwässert!A3:AJ68,6,FALSE)&gt;0,IF(VLOOKUP(A48,Schlußkurse!A5:AU70,35,FALSE)&gt;0,VLOOKUP(A48,Schlußkurse!A5:AU70,35,FALSE)/VLOOKUP(A48,Ergebnis_je_Aktie_verwässert!A3:AJ68,6,FALSE),""),"")</f>
        <v>14.414965986394559</v>
      </c>
      <c r="D48" s="81">
        <f>IF(VLOOKUP(A48,Ergebnis_je_Aktie_verwässert!A3:AJ68,7,FALSE)&gt;0,IF(VLOOKUP(A48,Schlußkurse!A5:AU70,36,FALSE)&gt;0,VLOOKUP(A48,Schlußkurse!A5:AU70,36,FALSE)/VLOOKUP(A48,Ergebnis_je_Aktie_verwässert!A3:AJ68,7,FALSE),""),"")</f>
        <v>15.813432835820896</v>
      </c>
      <c r="E48" s="81">
        <f>IF(VLOOKUP(A48,Ergebnis_je_Aktie_verwässert!A3:AJ68,8,FALSE)&gt;0,IF(VLOOKUP(A48,Schlußkurse!A5:AU70,37,FALSE)&gt;0,VLOOKUP(A48,Schlußkurse!A5:AU70,37,FALSE)/VLOOKUP(A48,Ergebnis_je_Aktie_verwässert!A3:AJ68,8,FALSE),""),"")</f>
        <v>17.655462184873951</v>
      </c>
      <c r="F48" s="81">
        <f>IF(VLOOKUP(A48,Ergebnis_je_Aktie_verwässert!A3:AJ68,9,FALSE)&gt;0,IF(VLOOKUP(A48,Schlußkurse!A5:AU70,38,FALSE)&gt;0,VLOOKUP(A48,Schlußkurse!A5:AU70,38,FALSE)/VLOOKUP(A48,Ergebnis_je_Aktie_verwässert!A3:AJ68,9,FALSE),""),"")</f>
        <v>14.193277310924371</v>
      </c>
      <c r="G48" s="81">
        <f>IF(VLOOKUP(A48,Ergebnis_je_Aktie_verwässert!A3:AJ68,10,FALSE)&gt;0,IF(VLOOKUP(A48,Schlußkurse!A5:AU70,39,FALSE)&gt;0,VLOOKUP(A48,Schlußkurse!A5:AU70,39,FALSE)/VLOOKUP(A48,Ergebnis_je_Aktie_verwässert!A3:AJ68,10,FALSE),""),"")</f>
        <v>11.712389380530974</v>
      </c>
      <c r="H48" s="81">
        <f>IF(VLOOKUP(A48,Ergebnis_je_Aktie_verwässert!A3:AJ68,11,FALSE)&gt;0,IF(VLOOKUP(A48,Schlußkurse!A5:AU70,40,FALSE)&gt;0,VLOOKUP(A48,Schlußkurse!A5:AU70,40,FALSE)/VLOOKUP(A48,Ergebnis_je_Aktie_verwässert!A3:AJ68,11,FALSE),""),"")</f>
        <v>17.459183673469386</v>
      </c>
      <c r="I48" s="81">
        <f>IF(VLOOKUP(A48,Ergebnis_je_Aktie_verwässert!A3:AJ68,12,FALSE)&gt;0,IF(VLOOKUP(A48,Schlußkurse!A5:AU70,41,FALSE)&gt;0,VLOOKUP(A48,Schlußkurse!A5:AU70,41,FALSE)/VLOOKUP(A48,Ergebnis_je_Aktie_verwässert!A3:AJ68,12,FALSE),""),"")</f>
        <v>13.514970059880241</v>
      </c>
      <c r="J48" s="81">
        <f>IF(VLOOKUP(A48,Ergebnis_je_Aktie_verwässert!A3:AJ68,13,FALSE)&gt;0,IF(VLOOKUP(A48,Schlußkurse!A5:AU70,42,FALSE)&gt;0,VLOOKUP(A48,Schlußkurse!A5:AU70,42,FALSE)/VLOOKUP(A48,Ergebnis_je_Aktie_verwässert!A3:AJ68,13,FALSE),""),"")</f>
        <v>16.190082644628099</v>
      </c>
      <c r="K48" s="81">
        <f>IF(VLOOKUP(A48,Ergebnis_je_Aktie_verwässert!A3:AJ68,14,FALSE)&gt;0,IF(VLOOKUP(A48,Schlußkurse!A5:AU70,43,FALSE)&gt;0,VLOOKUP(A48,Schlußkurse!A5:AU70,43,FALSE)/VLOOKUP(A48,Ergebnis_je_Aktie_verwässert!A3:AJ68,14,FALSE),""),"")</f>
        <v>20.954128440366972</v>
      </c>
      <c r="L48" s="81">
        <f>IF(VLOOKUP(A48,Ergebnis_je_Aktie_verwässert!A3:AJ68,15,FALSE)&gt;0,IF(VLOOKUP(A48,Schlußkurse!A5:AU70,44,FALSE)&gt;0,VLOOKUP(A48,Schlußkurse!A5:AU70,44,FALSE)/VLOOKUP(A48,Ergebnis_je_Aktie_verwässert!A3:AJ68,15,FALSE),""),"")</f>
        <v>18.283018867924525</v>
      </c>
      <c r="M48" s="81">
        <f>IF(VLOOKUP(A48,Ergebnis_je_Aktie_verwässert!A3:AJ68,16,FALSE)&gt;0,IF(VLOOKUP(A48,Schlußkurse!A5:AU70,45,FALSE)&gt;0,VLOOKUP(A48,Schlußkurse!A5:AU70,45,FALSE)/VLOOKUP(A48,Ergebnis_je_Aktie_verwässert!A3:AJ68,16,FALSE),""),"")</f>
        <v>17.555555555555554</v>
      </c>
      <c r="N48" s="81">
        <f>IF(VLOOKUP(A48,Ergebnis_je_Aktie_verwässert!A3:AJ68,17,FALSE)&gt;0,IF(VLOOKUP(A48,Schlußkurse!A5:AU70,46,FALSE)&gt;0,VLOOKUP(A48,Schlußkurse!A5:AU70,46,FALSE)/VLOOKUP(A48,Ergebnis_je_Aktie_verwässert!A3:AJ68,17,FALSE),""),"")</f>
        <v>20</v>
      </c>
      <c r="O48" s="82">
        <f>IF(VLOOKUP(A48,Ergebnis_je_Aktie_verwässert!A3:AJ68,18,FALSE)&gt;0,IF(VLOOKUP(A48,Schlußkurse!A5:AU70,47,FALSE)&gt;0,VLOOKUP(A48,Schlußkurse!A5:AU70,47,FALSE)/VLOOKUP(A48,Ergebnis_je_Aktie_verwässert!A3:AJ68,18,FALSE),""),"")</f>
        <v>20.727272727272727</v>
      </c>
      <c r="P48" s="3">
        <f t="shared" si="1"/>
        <v>17.459183673469386</v>
      </c>
      <c r="Q48" s="3">
        <f ca="1">VLOOKUP(A48,Schlußkurse!A5:AU70,35,FALSE)/VLOOKUP(A48,Ergebnis_je_Aktie_verwässert!A3:AK68,23,FALSE)</f>
        <v>16.201338005734311</v>
      </c>
      <c r="R48" s="5">
        <f t="shared" ca="1" si="2"/>
        <v>-7.2044930121588191E-2</v>
      </c>
    </row>
    <row r="49" spans="1:18" x14ac:dyDescent="0.25">
      <c r="A49" t="s">
        <v>90</v>
      </c>
      <c r="B49" t="s">
        <v>91</v>
      </c>
      <c r="C49" s="80">
        <f>IF(VLOOKUP(A49,Ergebnis_je_Aktie_verwässert!A3:AJ68,6,FALSE)&gt;0,IF(VLOOKUP(A49,Schlußkurse!A5:AU70,35,FALSE)&gt;0,VLOOKUP(A49,Schlußkurse!A5:AU70,35,FALSE)/VLOOKUP(A49,Ergebnis_je_Aktie_verwässert!A3:AJ68,6,FALSE),""),"")</f>
        <v>17.243144424131625</v>
      </c>
      <c r="D49" s="81">
        <f>IF(VLOOKUP(A49,Ergebnis_je_Aktie_verwässert!A3:AJ68,7,FALSE)&gt;0,IF(VLOOKUP(A49,Schlußkurse!A5:AU70,36,FALSE)&gt;0,VLOOKUP(A49,Schlußkurse!A5:AU70,36,FALSE)/VLOOKUP(A49,Ergebnis_je_Aktie_verwässert!A3:AJ68,7,FALSE),""),"")</f>
        <v>18.640316205533598</v>
      </c>
      <c r="E49" s="81">
        <f>IF(VLOOKUP(A49,Ergebnis_je_Aktie_verwässert!A3:AJ68,8,FALSE)&gt;0,IF(VLOOKUP(A49,Schlußkurse!A5:AU70,37,FALSE)&gt;0,VLOOKUP(A49,Schlußkurse!A5:AU70,37,FALSE)/VLOOKUP(A49,Ergebnis_je_Aktie_verwässert!A3:AJ68,8,FALSE),""),"")</f>
        <v>20.291845493562231</v>
      </c>
      <c r="F49" s="81">
        <f>IF(VLOOKUP(A49,Ergebnis_je_Aktie_verwässert!A3:AJ68,9,FALSE)&gt;0,IF(VLOOKUP(A49,Schlußkurse!A5:AU70,38,FALSE)&gt;0,VLOOKUP(A49,Schlußkurse!A5:AU70,38,FALSE)/VLOOKUP(A49,Ergebnis_je_Aktie_verwässert!A3:AJ68,9,FALSE),""),"")</f>
        <v>19.423887587822016</v>
      </c>
      <c r="G49" s="81">
        <f>IF(VLOOKUP(A49,Ergebnis_je_Aktie_verwässert!A3:AJ68,10,FALSE)&gt;0,IF(VLOOKUP(A49,Schlußkurse!A5:AU70,39,FALSE)&gt;0,VLOOKUP(A49,Schlußkurse!A5:AU70,39,FALSE)/VLOOKUP(A49,Ergebnis_je_Aktie_verwässert!A3:AJ68,10,FALSE),""),"")</f>
        <v>15.840277777777779</v>
      </c>
      <c r="H49" s="81">
        <f>IF(VLOOKUP(A49,Ergebnis_je_Aktie_verwässert!A3:AJ68,11,FALSE)&gt;0,IF(VLOOKUP(A49,Schlußkurse!A5:AU70,40,FALSE)&gt;0,VLOOKUP(A49,Schlußkurse!A5:AU70,40,FALSE)/VLOOKUP(A49,Ergebnis_je_Aktie_verwässert!A3:AJ68,11,FALSE),""),"")</f>
        <v>16.926020408163264</v>
      </c>
      <c r="I49" s="81">
        <f>IF(VLOOKUP(A49,Ergebnis_je_Aktie_verwässert!A3:AJ68,12,FALSE)&gt;0,IF(VLOOKUP(A49,Schlußkurse!A5:AU70,41,FALSE)&gt;0,VLOOKUP(A49,Schlußkurse!A5:AU70,41,FALSE)/VLOOKUP(A49,Ergebnis_je_Aktie_verwässert!A3:AJ68,12,FALSE),""),"")</f>
        <v>16.210918114143919</v>
      </c>
      <c r="J49" s="81">
        <f>IF(VLOOKUP(A49,Ergebnis_je_Aktie_verwässert!A3:AJ68,13,FALSE)&gt;0,IF(VLOOKUP(A49,Schlußkurse!A5:AU70,42,FALSE)&gt;0,VLOOKUP(A49,Schlußkurse!A5:AU70,42,FALSE)/VLOOKUP(A49,Ergebnis_je_Aktie_verwässert!A3:AJ68,13,FALSE),""),"")</f>
        <v>15.549872122762148</v>
      </c>
      <c r="K49" s="81">
        <f>IF(VLOOKUP(A49,Ergebnis_je_Aktie_verwässert!A3:AJ68,14,FALSE)&gt;0,IF(VLOOKUP(A49,Schlußkurse!A5:AU70,43,FALSE)&gt;0,VLOOKUP(A49,Schlußkurse!A5:AU70,43,FALSE)/VLOOKUP(A49,Ergebnis_je_Aktie_verwässert!A3:AJ68,14,FALSE),""),"")</f>
        <v>14.527851458885943</v>
      </c>
      <c r="L49" s="81">
        <f>IF(VLOOKUP(A49,Ergebnis_je_Aktie_verwässert!A3:AJ68,15,FALSE)&gt;0,IF(VLOOKUP(A49,Schlußkurse!A5:AU70,44,FALSE)&gt;0,VLOOKUP(A49,Schlußkurse!A5:AU70,44,FALSE)/VLOOKUP(A49,Ergebnis_je_Aktie_verwässert!A3:AJ68,15,FALSE),""),"")</f>
        <v>23.644859813084114</v>
      </c>
      <c r="M49" s="81">
        <f>IF(VLOOKUP(A49,Ergebnis_je_Aktie_verwässert!A3:AJ68,16,FALSE)&gt;0,IF(VLOOKUP(A49,Schlußkurse!A5:AU70,45,FALSE)&gt;0,VLOOKUP(A49,Schlußkurse!A5:AU70,45,FALSE)/VLOOKUP(A49,Ergebnis_je_Aktie_verwässert!A3:AJ68,16,FALSE),""),"")</f>
        <v>18.375366568914956</v>
      </c>
      <c r="N49" s="81">
        <f>IF(VLOOKUP(A49,Ergebnis_je_Aktie_verwässert!A3:AJ68,17,FALSE)&gt;0,IF(VLOOKUP(A49,Schlußkurse!A5:AU70,46,FALSE)&gt;0,VLOOKUP(A49,Schlußkurse!A5:AU70,46,FALSE)/VLOOKUP(A49,Ergebnis_je_Aktie_verwässert!A3:AJ68,17,FALSE),""),"")</f>
        <v>17.766467065868266</v>
      </c>
      <c r="O49" s="82">
        <f>IF(VLOOKUP(A49,Ergebnis_je_Aktie_verwässert!A3:AJ68,18,FALSE)&gt;0,IF(VLOOKUP(A49,Schlußkurse!A5:AU70,47,FALSE)&gt;0,VLOOKUP(A49,Schlußkurse!A5:AU70,47,FALSE)/VLOOKUP(A49,Ergebnis_je_Aktie_verwässert!A3:AJ68,18,FALSE),""),"")</f>
        <v>21.84100418410042</v>
      </c>
      <c r="P49" s="3">
        <f t="shared" si="1"/>
        <v>17.766467065868266</v>
      </c>
      <c r="Q49" s="3">
        <f ca="1">VLOOKUP(A49,Schlußkurse!A5:AU70,35,FALSE)/VLOOKUP(A49,Ergebnis_je_Aktie_verwässert!A3:AK68,23,FALSE)</f>
        <v>19.894070775720646</v>
      </c>
      <c r="R49" s="5">
        <f t="shared" ca="1" si="2"/>
        <v>0.11975389940861048</v>
      </c>
    </row>
    <row r="50" spans="1:18" x14ac:dyDescent="0.25">
      <c r="A50" t="s">
        <v>92</v>
      </c>
      <c r="B50" t="s">
        <v>93</v>
      </c>
      <c r="C50" s="80">
        <f>IF(VLOOKUP(A50,Ergebnis_je_Aktie_verwässert!A3:AJ68,6,FALSE)&gt;0,IF(VLOOKUP(A50,Schlußkurse!A5:AU70,35,FALSE)&gt;0,VLOOKUP(A50,Schlußkurse!A5:AU70,35,FALSE)/VLOOKUP(A50,Ergebnis_je_Aktie_verwässert!A3:AJ68,6,FALSE),""),"")</f>
        <v>17.258883248730964</v>
      </c>
      <c r="D50" s="81">
        <f>IF(VLOOKUP(A50,Ergebnis_je_Aktie_verwässert!A3:AJ68,7,FALSE)&gt;0,IF(VLOOKUP(A50,Schlußkurse!A5:AU70,36,FALSE)&gt;0,VLOOKUP(A50,Schlußkurse!A5:AU70,36,FALSE)/VLOOKUP(A50,Ergebnis_je_Aktie_verwässert!A3:AJ68,7,FALSE),""),"")</f>
        <v>18.18181818181818</v>
      </c>
      <c r="E50" s="81">
        <f>IF(VLOOKUP(A50,Ergebnis_je_Aktie_verwässert!A3:AJ68,8,FALSE)&gt;0,IF(VLOOKUP(A50,Schlußkurse!A5:AU70,37,FALSE)&gt;0,VLOOKUP(A50,Schlußkurse!A5:AU70,37,FALSE)/VLOOKUP(A50,Ergebnis_je_Aktie_verwässert!A3:AJ68,8,FALSE),""),"")</f>
        <v>17.021857923497265</v>
      </c>
      <c r="F50" s="81">
        <f>IF(VLOOKUP(A50,Ergebnis_je_Aktie_verwässert!A3:AJ68,9,FALSE)&gt;0,IF(VLOOKUP(A50,Schlußkurse!A5:AU70,38,FALSE)&gt;0,VLOOKUP(A50,Schlußkurse!A5:AU70,38,FALSE)/VLOOKUP(A50,Ergebnis_je_Aktie_verwässert!A3:AJ68,9,FALSE),""),"")</f>
        <v>21.570422535211268</v>
      </c>
      <c r="G50" s="81">
        <f>IF(VLOOKUP(A50,Ergebnis_je_Aktie_verwässert!A3:AJ68,10,FALSE)&gt;0,IF(VLOOKUP(A50,Schlußkurse!A5:AU70,39,FALSE)&gt;0,VLOOKUP(A50,Schlußkurse!A5:AU70,39,FALSE)/VLOOKUP(A50,Ergebnis_je_Aktie_verwässert!A3:AJ68,10,FALSE),""),"")</f>
        <v>15.199575757575758</v>
      </c>
      <c r="H50" s="81">
        <f>IF(VLOOKUP(A50,Ergebnis_je_Aktie_verwässert!A3:AJ68,11,FALSE)&gt;0,IF(VLOOKUP(A50,Schlußkurse!A5:AU70,40,FALSE)&gt;0,VLOOKUP(A50,Schlußkurse!A5:AU70,40,FALSE)/VLOOKUP(A50,Ergebnis_je_Aktie_verwässert!A3:AJ68,11,FALSE),""),"")</f>
        <v>11.154639175257733</v>
      </c>
      <c r="I50" s="81">
        <f>IF(VLOOKUP(A50,Ergebnis_je_Aktie_verwässert!A3:AJ68,12,FALSE)&gt;0,IF(VLOOKUP(A50,Schlußkurse!A5:AU70,41,FALSE)&gt;0,VLOOKUP(A50,Schlußkurse!A5:AU70,41,FALSE)/VLOOKUP(A50,Ergebnis_je_Aktie_verwässert!A3:AJ68,12,FALSE),""),"")</f>
        <v>13.78740157480315</v>
      </c>
      <c r="J50" s="81">
        <f>IF(VLOOKUP(A50,Ergebnis_je_Aktie_verwässert!A3:AJ68,13,FALSE)&gt;0,IF(VLOOKUP(A50,Schlußkurse!A5:AU70,42,FALSE)&gt;0,VLOOKUP(A50,Schlußkurse!A5:AU70,42,FALSE)/VLOOKUP(A50,Ergebnis_je_Aktie_verwässert!A3:AJ68,13,FALSE),""),"")</f>
        <v>17.833333333333336</v>
      </c>
      <c r="K50" s="81">
        <f>IF(VLOOKUP(A50,Ergebnis_je_Aktie_verwässert!A3:AJ68,14,FALSE)&gt;0,IF(VLOOKUP(A50,Schlußkurse!A5:AU70,43,FALSE)&gt;0,VLOOKUP(A50,Schlußkurse!A5:AU70,43,FALSE)/VLOOKUP(A50,Ergebnis_je_Aktie_verwässert!A3:AJ68,14,FALSE),""),"")</f>
        <v>14.398373983739837</v>
      </c>
      <c r="L50" s="81">
        <f>IF(VLOOKUP(A50,Ergebnis_je_Aktie_verwässert!A3:AJ68,15,FALSE)&gt;0,IF(VLOOKUP(A50,Schlußkurse!A5:AU70,44,FALSE)&gt;0,VLOOKUP(A50,Schlußkurse!A5:AU70,44,FALSE)/VLOOKUP(A50,Ergebnis_je_Aktie_verwässert!A3:AJ68,15,FALSE),""),"")</f>
        <v>18.941666666666666</v>
      </c>
      <c r="M50" s="81">
        <f>IF(VLOOKUP(A50,Ergebnis_je_Aktie_verwässert!A3:AJ68,16,FALSE)&gt;0,IF(VLOOKUP(A50,Schlußkurse!A5:AU70,45,FALSE)&gt;0,VLOOKUP(A50,Schlußkurse!A5:AU70,45,FALSE)/VLOOKUP(A50,Ergebnis_je_Aktie_verwässert!A3:AJ68,16,FALSE),""),"")</f>
        <v>22.196581196581196</v>
      </c>
      <c r="N50" s="81">
        <f>IF(VLOOKUP(A50,Ergebnis_je_Aktie_verwässert!A3:AJ68,17,FALSE)&gt;0,IF(VLOOKUP(A50,Schlußkurse!A5:AU70,46,FALSE)&gt;0,VLOOKUP(A50,Schlußkurse!A5:AU70,46,FALSE)/VLOOKUP(A50,Ergebnis_je_Aktie_verwässert!A3:AJ68,17,FALSE),""),"")</f>
        <v>15.342105263157896</v>
      </c>
      <c r="O50" s="82">
        <f>IF(VLOOKUP(A50,Ergebnis_je_Aktie_verwässert!A3:AJ68,18,FALSE)&gt;0,IF(VLOOKUP(A50,Schlußkurse!A5:AU70,47,FALSE)&gt;0,VLOOKUP(A50,Schlußkurse!A5:AU70,47,FALSE)/VLOOKUP(A50,Ergebnis_je_Aktie_verwässert!A3:AJ68,18,FALSE),""),"")</f>
        <v>24.669724770642201</v>
      </c>
      <c r="P50" s="3">
        <f t="shared" si="1"/>
        <v>17.258883248730964</v>
      </c>
      <c r="Q50" s="3">
        <f ca="1">VLOOKUP(A50,Schlußkurse!A5:AU70,35,FALSE)/VLOOKUP(A50,Ergebnis_je_Aktie_verwässert!A3:AK68,23,FALSE)</f>
        <v>18.49724959197243</v>
      </c>
      <c r="R50" s="5">
        <f t="shared" ca="1" si="2"/>
        <v>7.1752402828990869E-2</v>
      </c>
    </row>
    <row r="51" spans="1:18" x14ac:dyDescent="0.25">
      <c r="A51" t="s">
        <v>94</v>
      </c>
      <c r="B51" t="s">
        <v>95</v>
      </c>
      <c r="C51" s="80">
        <f>IF(VLOOKUP(A51,Ergebnis_je_Aktie_verwässert!A3:AJ68,6,FALSE)&gt;0,IF(VLOOKUP(A51,Schlußkurse!A5:AU70,35,FALSE)&gt;0,VLOOKUP(A51,Schlußkurse!A5:AU70,35,FALSE)/VLOOKUP(A51,Ergebnis_je_Aktie_verwässert!A3:AJ68,6,FALSE),""),"")</f>
        <v>15.655241935483872</v>
      </c>
      <c r="D51" s="81">
        <f>IF(VLOOKUP(A51,Ergebnis_je_Aktie_verwässert!A3:AJ68,7,FALSE)&gt;0,IF(VLOOKUP(A51,Schlußkurse!A5:AU70,36,FALSE)&gt;0,VLOOKUP(A51,Schlußkurse!A5:AU70,36,FALSE)/VLOOKUP(A51,Ergebnis_je_Aktie_verwässert!A3:AJ68,7,FALSE),""),"")</f>
        <v>16.807359307359309</v>
      </c>
      <c r="E51" s="81">
        <f>IF(VLOOKUP(A51,Ergebnis_je_Aktie_verwässert!A3:AJ68,8,FALSE)&gt;0,IF(VLOOKUP(A51,Schlußkurse!A5:AU70,37,FALSE)&gt;0,VLOOKUP(A51,Schlußkurse!A5:AU70,37,FALSE)/VLOOKUP(A51,Ergebnis_je_Aktie_verwässert!A3:AJ68,8,FALSE),""),"")</f>
        <v>19.300947867298579</v>
      </c>
      <c r="F51" s="81">
        <f>IF(VLOOKUP(A51,Ergebnis_je_Aktie_verwässert!A3:AJ68,9,FALSE)&gt;0,IF(VLOOKUP(A51,Schlußkurse!A5:AU70,38,FALSE)&gt;0,VLOOKUP(A51,Schlußkurse!A5:AU70,38,FALSE)/VLOOKUP(A51,Ergebnis_je_Aktie_verwässert!A3:AJ68,9,FALSE),""),"")</f>
        <v>18.304621848739497</v>
      </c>
      <c r="G51" s="81">
        <f>IF(VLOOKUP(A51,Ergebnis_je_Aktie_verwässert!A3:AJ68,10,FALSE)&gt;0,IF(VLOOKUP(A51,Schlußkurse!A5:AU70,39,FALSE)&gt;0,VLOOKUP(A51,Schlußkurse!A5:AU70,39,FALSE)/VLOOKUP(A51,Ergebnis_je_Aktie_verwässert!A3:AJ68,10,FALSE),""),"")</f>
        <v>15.901140684410647</v>
      </c>
      <c r="H51" s="81">
        <f>IF(VLOOKUP(A51,Ergebnis_je_Aktie_verwässert!A3:AJ68,11,FALSE)&gt;0,IF(VLOOKUP(A51,Schlußkurse!A5:AU70,40,FALSE)&gt;0,VLOOKUP(A51,Schlußkurse!A5:AU70,40,FALSE)/VLOOKUP(A51,Ergebnis_je_Aktie_verwässert!A3:AJ68,11,FALSE),""),"")</f>
        <v>15.179883945841393</v>
      </c>
      <c r="I51" s="81">
        <f>IF(VLOOKUP(A51,Ergebnis_je_Aktie_verwässert!A3:AJ68,12,FALSE)&gt;0,IF(VLOOKUP(A51,Schlußkurse!A5:AU70,41,FALSE)&gt;0,VLOOKUP(A51,Schlußkurse!A5:AU70,41,FALSE)/VLOOKUP(A51,Ergebnis_je_Aktie_verwässert!A3:AJ68,12,FALSE),""),"")</f>
        <v>12.068041237113404</v>
      </c>
      <c r="J51" s="81">
        <f>IF(VLOOKUP(A51,Ergebnis_je_Aktie_verwässert!A3:AJ68,13,FALSE)&gt;0,IF(VLOOKUP(A51,Schlußkurse!A5:AU70,42,FALSE)&gt;0,VLOOKUP(A51,Schlußkurse!A5:AU70,42,FALSE)/VLOOKUP(A51,Ergebnis_je_Aktie_verwässert!A3:AJ68,13,FALSE),""),"")</f>
        <v>12.293367346938775</v>
      </c>
      <c r="K51" s="81">
        <f>IF(VLOOKUP(A51,Ergebnis_je_Aktie_verwässert!A3:AJ68,14,FALSE)&gt;0,IF(VLOOKUP(A51,Schlußkurse!A5:AU70,43,FALSE)&gt;0,VLOOKUP(A51,Schlußkurse!A5:AU70,43,FALSE)/VLOOKUP(A51,Ergebnis_je_Aktie_verwässert!A3:AJ68,14,FALSE),""),"")</f>
        <v>13.429012345679011</v>
      </c>
      <c r="L51" s="81" t="str">
        <f>IF(VLOOKUP(A51,Ergebnis_je_Aktie_verwässert!A3:AJ68,15,FALSE)&gt;0,IF(VLOOKUP(A51,Schlußkurse!A5:AU70,44,FALSE)&gt;0,VLOOKUP(A51,Schlußkurse!A5:AU70,44,FALSE)/VLOOKUP(A51,Ergebnis_je_Aktie_verwässert!A3:AJ68,15,FALSE),""),"")</f>
        <v/>
      </c>
      <c r="M51" s="81" t="str">
        <f>IF(VLOOKUP(A51,Ergebnis_je_Aktie_verwässert!A3:AJ68,16,FALSE)&gt;0,IF(VLOOKUP(A51,Schlußkurse!A5:AU70,45,FALSE)&gt;0,VLOOKUP(A51,Schlußkurse!A5:AU70,45,FALSE)/VLOOKUP(A51,Ergebnis_je_Aktie_verwässert!A3:AJ68,16,FALSE),""),"")</f>
        <v/>
      </c>
      <c r="N51" s="81" t="str">
        <f>IF(VLOOKUP(A51,Ergebnis_je_Aktie_verwässert!A3:AJ68,17,FALSE)&gt;0,IF(VLOOKUP(A51,Schlußkurse!A5:AU70,46,FALSE)&gt;0,VLOOKUP(A51,Schlußkurse!A5:AU70,46,FALSE)/VLOOKUP(A51,Ergebnis_je_Aktie_verwässert!A3:AJ68,17,FALSE),""),"")</f>
        <v/>
      </c>
      <c r="O51" s="82" t="str">
        <f>IF(VLOOKUP(A51,Ergebnis_je_Aktie_verwässert!A3:AJ68,18,FALSE)&gt;0,IF(VLOOKUP(A51,Schlußkurse!A5:AU70,47,FALSE)&gt;0,VLOOKUP(A51,Schlußkurse!A5:AU70,47,FALSE)/VLOOKUP(A51,Ergebnis_je_Aktie_verwässert!A3:AJ68,18,FALSE),""),"")</f>
        <v/>
      </c>
      <c r="P51" s="3">
        <f t="shared" si="1"/>
        <v>15.655241935483872</v>
      </c>
      <c r="Q51" s="3">
        <f ca="1">VLOOKUP(A51,Schlußkurse!A5:AU70,35,FALSE)/VLOOKUP(A51,Ergebnis_je_Aktie_verwässert!A3:AK68,23,FALSE)</f>
        <v>18.05347455437872</v>
      </c>
      <c r="R51" s="5">
        <f t="shared" ca="1" si="2"/>
        <v>0.15319039008008306</v>
      </c>
    </row>
    <row r="52" spans="1:18" x14ac:dyDescent="0.25">
      <c r="A52" t="s">
        <v>96</v>
      </c>
      <c r="B52" t="s">
        <v>97</v>
      </c>
      <c r="C52" s="80">
        <f>IF(VLOOKUP(A52,Ergebnis_je_Aktie_verwässert!A3:AJ68,6,FALSE)&gt;0,IF(VLOOKUP(A52,Schlußkurse!A5:AU70,35,FALSE)&gt;0,VLOOKUP(A52,Schlußkurse!A5:AU70,35,FALSE)/VLOOKUP(A52,Ergebnis_je_Aktie_verwässert!A3:AJ68,6,FALSE),""),"")</f>
        <v>17.336864406779661</v>
      </c>
      <c r="D52" s="81">
        <f>IF(VLOOKUP(A52,Ergebnis_je_Aktie_verwässert!A3:AJ68,7,FALSE)&gt;0,IF(VLOOKUP(A52,Schlußkurse!A5:AU70,36,FALSE)&gt;0,VLOOKUP(A52,Schlußkurse!A5:AU70,36,FALSE)/VLOOKUP(A52,Ergebnis_je_Aktie_verwässert!A3:AJ68,7,FALSE),""),"")</f>
        <v>19.030232558139534</v>
      </c>
      <c r="E52" s="81">
        <f>IF(VLOOKUP(A52,Ergebnis_je_Aktie_verwässert!A3:AJ68,8,FALSE)&gt;0,IF(VLOOKUP(A52,Schlußkurse!A5:AU70,37,FALSE)&gt;0,VLOOKUP(A52,Schlußkurse!A5:AU70,37,FALSE)/VLOOKUP(A52,Ergebnis_je_Aktie_verwässert!A3:AJ68,8,FALSE),""),"")</f>
        <v>21.29810298102981</v>
      </c>
      <c r="F52" s="81">
        <f>IF(VLOOKUP(A52,Ergebnis_je_Aktie_verwässert!A3:AJ68,9,FALSE)&gt;0,IF(VLOOKUP(A52,Schlußkurse!A5:AU70,38,FALSE)&gt;0,VLOOKUP(A52,Schlußkurse!A5:AU70,38,FALSE)/VLOOKUP(A52,Ergebnis_je_Aktie_verwässert!A3:AJ68,9,FALSE),""),"")</f>
        <v>19.199501246882793</v>
      </c>
      <c r="G52" s="81">
        <f>IF(VLOOKUP(A52,Ergebnis_je_Aktie_verwässert!A3:AJ68,10,FALSE)&gt;0,IF(VLOOKUP(A52,Schlußkurse!A5:AU70,39,FALSE)&gt;0,VLOOKUP(A52,Schlußkurse!A5:AU70,39,FALSE)/VLOOKUP(A52,Ergebnis_je_Aktie_verwässert!A3:AJ68,10,FALSE),""),"")</f>
        <v>15.867875647668395</v>
      </c>
      <c r="H52" s="81">
        <f>IF(VLOOKUP(A52,Ergebnis_je_Aktie_verwässert!A3:AJ68,11,FALSE)&gt;0,IF(VLOOKUP(A52,Schlußkurse!A5:AU70,40,FALSE)&gt;0,VLOOKUP(A52,Schlußkurse!A5:AU70,40,FALSE)/VLOOKUP(A52,Ergebnis_je_Aktie_verwässert!A3:AJ68,11,FALSE),""),"")</f>
        <v>17.368852459016392</v>
      </c>
      <c r="I52" s="81">
        <f>IF(VLOOKUP(A52,Ergebnis_je_Aktie_verwässert!A3:AJ68,12,FALSE)&gt;0,IF(VLOOKUP(A52,Schlußkurse!A5:AU70,41,FALSE)&gt;0,VLOOKUP(A52,Schlußkurse!A5:AU70,41,FALSE)/VLOOKUP(A52,Ergebnis_je_Aktie_verwässert!A3:AJ68,12,FALSE),""),"")</f>
        <v>15.262086513994909</v>
      </c>
      <c r="J52" s="81">
        <f>IF(VLOOKUP(A52,Ergebnis_je_Aktie_verwässert!A3:AJ68,13,FALSE)&gt;0,IF(VLOOKUP(A52,Schlußkurse!A5:AU70,42,FALSE)&gt;0,VLOOKUP(A52,Schlußkurse!A5:AU70,42,FALSE)/VLOOKUP(A52,Ergebnis_je_Aktie_verwässert!A3:AJ68,13,FALSE),""),"")</f>
        <v>14.475920679886686</v>
      </c>
      <c r="K52" s="81">
        <f>IF(VLOOKUP(A52,Ergebnis_je_Aktie_verwässert!A3:AJ68,14,FALSE)&gt;0,IF(VLOOKUP(A52,Schlußkurse!A5:AU70,43,FALSE)&gt;0,VLOOKUP(A52,Schlußkurse!A5:AU70,43,FALSE)/VLOOKUP(A52,Ergebnis_je_Aktie_verwässert!A3:AJ68,14,FALSE),""),"")</f>
        <v>17.938053097345133</v>
      </c>
      <c r="L52" s="81">
        <f>IF(VLOOKUP(A52,Ergebnis_je_Aktie_verwässert!A3:AJ68,15,FALSE)&gt;0,IF(VLOOKUP(A52,Schlußkurse!A5:AU70,44,FALSE)&gt;0,VLOOKUP(A52,Schlußkurse!A5:AU70,44,FALSE)/VLOOKUP(A52,Ergebnis_je_Aktie_verwässert!A3:AJ68,15,FALSE),""),"")</f>
        <v>17.997058823529411</v>
      </c>
      <c r="M52" s="81">
        <f>IF(VLOOKUP(A52,Ergebnis_je_Aktie_verwässert!A3:AJ68,16,FALSE)&gt;0,IF(VLOOKUP(A52,Schlußkurse!A5:AU70,45,FALSE)&gt;0,VLOOKUP(A52,Schlußkurse!A5:AU70,45,FALSE)/VLOOKUP(A52,Ergebnis_je_Aktie_verwässert!A3:AJ68,16,FALSE),""),"")</f>
        <v>18.63486842105263</v>
      </c>
      <c r="N52" s="81">
        <f>IF(VLOOKUP(A52,Ergebnis_je_Aktie_verwässert!A3:AJ68,17,FALSE)&gt;0,IF(VLOOKUP(A52,Schlußkurse!A5:AU70,46,FALSE)&gt;0,VLOOKUP(A52,Schlußkurse!A5:AU70,46,FALSE)/VLOOKUP(A52,Ergebnis_je_Aktie_verwässert!A3:AJ68,17,FALSE),""),"")</f>
        <v>19.981060606060606</v>
      </c>
      <c r="O52" s="82">
        <f>IF(VLOOKUP(A52,Ergebnis_je_Aktie_verwässert!A3:AJ68,18,FALSE)&gt;0,IF(VLOOKUP(A52,Schlußkurse!A5:AU70,47,FALSE)&gt;0,VLOOKUP(A52,Schlußkurse!A5:AU70,47,FALSE)/VLOOKUP(A52,Ergebnis_je_Aktie_verwässert!A3:AJ68,18,FALSE),""),"")</f>
        <v>20.466165413533833</v>
      </c>
      <c r="P52" s="3">
        <f t="shared" si="1"/>
        <v>17.997058823529411</v>
      </c>
      <c r="Q52" s="3">
        <f ca="1">VLOOKUP(A52,Schlußkurse!A5:AU70,35,FALSE)/VLOOKUP(A52,Ergebnis_je_Aktie_verwässert!A3:AK68,23,FALSE)</f>
        <v>19.859775911119506</v>
      </c>
      <c r="R52" s="5">
        <f t="shared" ca="1" si="2"/>
        <v>0.1035011946037967</v>
      </c>
    </row>
    <row r="53" spans="1:18" x14ac:dyDescent="0.25">
      <c r="A53" t="s">
        <v>98</v>
      </c>
      <c r="B53" t="s">
        <v>99</v>
      </c>
      <c r="C53" s="80">
        <f>IF(VLOOKUP(A53,Ergebnis_je_Aktie_verwässert!A3:AJ68,6,FALSE)&gt;0,IF(VLOOKUP(A53,Schlußkurse!A5:AU70,35,FALSE)&gt;0,VLOOKUP(A53,Schlußkurse!A5:AU70,35,FALSE)/VLOOKUP(A53,Ergebnis_je_Aktie_verwässert!A3:AJ68,6,FALSE),""),"")</f>
        <v>12.05925925925926</v>
      </c>
      <c r="D53" s="81">
        <f>IF(VLOOKUP(A53,Ergebnis_je_Aktie_verwässert!A3:AJ68,7,FALSE)&gt;0,IF(VLOOKUP(A53,Schlußkurse!A5:AU70,36,FALSE)&gt;0,VLOOKUP(A53,Schlußkurse!A5:AU70,36,FALSE)/VLOOKUP(A53,Ergebnis_je_Aktie_verwässert!A3:AJ68,7,FALSE),""),"")</f>
        <v>12.459183673469388</v>
      </c>
      <c r="E53" s="81">
        <f>IF(VLOOKUP(A53,Ergebnis_je_Aktie_verwässert!A3:AJ68,8,FALSE)&gt;0,IF(VLOOKUP(A53,Schlußkurse!A5:AU70,37,FALSE)&gt;0,VLOOKUP(A53,Schlußkurse!A5:AU70,37,FALSE)/VLOOKUP(A53,Ergebnis_je_Aktie_verwässert!A3:AJ68,8,FALSE),""),"")</f>
        <v>12.609164420485175</v>
      </c>
      <c r="F53" s="81">
        <f>IF(VLOOKUP(A53,Ergebnis_je_Aktie_verwässert!A3:AJ68,9,FALSE)&gt;0,IF(VLOOKUP(A53,Schlußkurse!A5:AU70,38,FALSE)&gt;0,VLOOKUP(A53,Schlußkurse!A5:AU70,38,FALSE)/VLOOKUP(A53,Ergebnis_je_Aktie_verwässert!A3:AJ68,9,FALSE),""),"")</f>
        <v>20.305785123966942</v>
      </c>
      <c r="G53" s="81">
        <f>IF(VLOOKUP(A53,Ergebnis_je_Aktie_verwässert!A3:AJ68,10,FALSE)&gt;0,IF(VLOOKUP(A53,Schlußkurse!A5:AU70,39,FALSE)&gt;0,VLOOKUP(A53,Schlußkurse!A5:AU70,39,FALSE)/VLOOKUP(A53,Ergebnis_je_Aktie_verwässert!A3:AJ68,10,FALSE),""),"")</f>
        <v>10.817500000000001</v>
      </c>
      <c r="H53" s="81">
        <f>IF(VLOOKUP(A53,Ergebnis_je_Aktie_verwässert!A3:AJ68,11,FALSE)&gt;0,IF(VLOOKUP(A53,Schlußkurse!A5:AU70,40,FALSE)&gt;0,VLOOKUP(A53,Schlußkurse!A5:AU70,40,FALSE)/VLOOKUP(A53,Ergebnis_je_Aktie_verwässert!A3:AJ68,11,FALSE),""),"")</f>
        <v>17.910714285714281</v>
      </c>
      <c r="I53" s="81">
        <f>IF(VLOOKUP(A53,Ergebnis_je_Aktie_verwässert!A3:AJ68,12,FALSE)&gt;0,IF(VLOOKUP(A53,Schlußkurse!A5:AU70,41,FALSE)&gt;0,VLOOKUP(A53,Schlußkurse!A5:AU70,41,FALSE)/VLOOKUP(A53,Ergebnis_je_Aktie_verwässert!A3:AJ68,12,FALSE),""),"")</f>
        <v>16.641860465116281</v>
      </c>
      <c r="J53" s="81">
        <f>IF(VLOOKUP(A53,Ergebnis_je_Aktie_verwässert!A3:AJ68,13,FALSE)&gt;0,IF(VLOOKUP(A53,Schlußkurse!A5:AU70,42,FALSE)&gt;0,VLOOKUP(A53,Schlußkurse!A5:AU70,42,FALSE)/VLOOKUP(A53,Ergebnis_je_Aktie_verwässert!A3:AJ68,13,FALSE),""),"")</f>
        <v>15.059090909090909</v>
      </c>
      <c r="K53" s="81">
        <f>IF(VLOOKUP(A53,Ergebnis_je_Aktie_verwässert!A3:AJ68,14,FALSE)&gt;0,IF(VLOOKUP(A53,Schlußkurse!A5:AU70,43,FALSE)&gt;0,VLOOKUP(A53,Schlußkurse!A5:AU70,43,FALSE)/VLOOKUP(A53,Ergebnis_je_Aktie_verwässert!A3:AJ68,14,FALSE),""),"")</f>
        <v>14.125</v>
      </c>
      <c r="L53" s="81">
        <f>IF(VLOOKUP(A53,Ergebnis_je_Aktie_verwässert!A3:AJ68,15,FALSE)&gt;0,IF(VLOOKUP(A53,Schlußkurse!A5:AU70,44,FALSE)&gt;0,VLOOKUP(A53,Schlußkurse!A5:AU70,44,FALSE)/VLOOKUP(A53,Ergebnis_je_Aktie_verwässert!A3:AJ68,15,FALSE),""),"")</f>
        <v>19.331858407079647</v>
      </c>
      <c r="M53" s="81">
        <f>IF(VLOOKUP(A53,Ergebnis_je_Aktie_verwässert!A3:AJ68,16,FALSE)&gt;0,IF(VLOOKUP(A53,Schlußkurse!A5:AU70,45,FALSE)&gt;0,VLOOKUP(A53,Schlußkurse!A5:AU70,45,FALSE)/VLOOKUP(A53,Ergebnis_je_Aktie_verwässert!A3:AJ68,16,FALSE),""),"")</f>
        <v>19.631578947368421</v>
      </c>
      <c r="N53" s="81">
        <f>IF(VLOOKUP(A53,Ergebnis_je_Aktie_verwässert!A3:AJ68,17,FALSE)&gt;0,IF(VLOOKUP(A53,Schlußkurse!A5:AU70,46,FALSE)&gt;0,VLOOKUP(A53,Schlußkurse!A5:AU70,46,FALSE)/VLOOKUP(A53,Ergebnis_je_Aktie_verwässert!A3:AJ68,17,FALSE),""),"")</f>
        <v>14.009302325581396</v>
      </c>
      <c r="O53" s="82">
        <f>IF(VLOOKUP(A53,Ergebnis_je_Aktie_verwässert!A3:AJ68,18,FALSE)&gt;0,IF(VLOOKUP(A53,Schlußkurse!A5:AU70,47,FALSE)&gt;0,VLOOKUP(A53,Schlußkurse!A5:AU70,47,FALSE)/VLOOKUP(A53,Ergebnis_je_Aktie_verwässert!A3:AJ68,18,FALSE),""),"")</f>
        <v>15.286792452830188</v>
      </c>
      <c r="P53" s="3">
        <f t="shared" si="1"/>
        <v>15.059090909090909</v>
      </c>
      <c r="Q53" s="3">
        <f ca="1">VLOOKUP(A53,Schlußkurse!A5:AU70,35,FALSE)/VLOOKUP(A53,Ergebnis_je_Aktie_verwässert!A3:AK68,23,FALSE)</f>
        <v>13.015034087628523</v>
      </c>
      <c r="R53" s="5">
        <f t="shared" ca="1" si="2"/>
        <v>-0.13573573821965734</v>
      </c>
    </row>
    <row r="54" spans="1:18" x14ac:dyDescent="0.25">
      <c r="A54" t="s">
        <v>100</v>
      </c>
      <c r="B54" t="s">
        <v>101</v>
      </c>
      <c r="C54" s="80">
        <f>IF(VLOOKUP(A54,Ergebnis_je_Aktie_verwässert!A3:AJ68,6,FALSE)&gt;0,IF(VLOOKUP(A54,Schlußkurse!A5:AU70,35,FALSE)&gt;0,VLOOKUP(A54,Schlußkurse!A5:AU70,35,FALSE)/VLOOKUP(A54,Ergebnis_je_Aktie_verwässert!A3:AJ68,6,FALSE),""),"")</f>
        <v>15.780346820809248</v>
      </c>
      <c r="D54" s="81">
        <f>IF(VLOOKUP(A54,Ergebnis_je_Aktie_verwässert!A3:AJ68,7,FALSE)&gt;0,IF(VLOOKUP(A54,Schlußkurse!A5:AU70,36,FALSE)&gt;0,VLOOKUP(A54,Schlußkurse!A5:AU70,36,FALSE)/VLOOKUP(A54,Ergebnis_je_Aktie_verwässert!A3:AJ68,7,FALSE),""),"")</f>
        <v>17.37832310838446</v>
      </c>
      <c r="E54" s="81">
        <f>IF(VLOOKUP(A54,Ergebnis_je_Aktie_verwässert!A3:AJ68,8,FALSE)&gt;0,IF(VLOOKUP(A54,Schlußkurse!A5:AU70,37,FALSE)&gt;0,VLOOKUP(A54,Schlußkurse!A5:AU70,37,FALSE)/VLOOKUP(A54,Ergebnis_je_Aktie_verwässert!A3:AJ68,8,FALSE),""),"")</f>
        <v>14.788118811881191</v>
      </c>
      <c r="F54" s="81">
        <f>IF(VLOOKUP(A54,Ergebnis_je_Aktie_verwässert!A3:AJ68,9,FALSE)&gt;0,IF(VLOOKUP(A54,Schlußkurse!A5:AU70,38,FALSE)&gt;0,VLOOKUP(A54,Schlußkurse!A5:AU70,38,FALSE)/VLOOKUP(A54,Ergebnis_je_Aktie_verwässert!A3:AJ68,9,FALSE),""),"")</f>
        <v>14.334016393442624</v>
      </c>
      <c r="G54" s="81">
        <f>IF(VLOOKUP(A54,Ergebnis_je_Aktie_verwässert!A3:AJ68,10,FALSE)&gt;0,IF(VLOOKUP(A54,Schlußkurse!A5:AU70,39,FALSE)&gt;0,VLOOKUP(A54,Schlußkurse!A5:AU70,39,FALSE)/VLOOKUP(A54,Ergebnis_je_Aktie_verwässert!A3:AJ68,10,FALSE),""),"")</f>
        <v>12.223107569721117</v>
      </c>
      <c r="H54" s="81">
        <f>IF(VLOOKUP(A54,Ergebnis_je_Aktie_verwässert!A3:AJ68,11,FALSE)&gt;0,IF(VLOOKUP(A54,Schlußkurse!A5:AU70,40,FALSE)&gt;0,VLOOKUP(A54,Schlußkurse!A5:AU70,40,FALSE)/VLOOKUP(A54,Ergebnis_je_Aktie_verwässert!A3:AJ68,11,FALSE),""),"")</f>
        <v>12.40486725663717</v>
      </c>
      <c r="I54" s="81">
        <f>IF(VLOOKUP(A54,Ergebnis_je_Aktie_verwässert!A3:AJ68,12,FALSE)&gt;0,IF(VLOOKUP(A54,Schlußkurse!A5:AU70,41,FALSE)&gt;0,VLOOKUP(A54,Schlußkurse!A5:AU70,41,FALSE)/VLOOKUP(A54,Ergebnis_je_Aktie_verwässert!A3:AJ68,12,FALSE),""),"")</f>
        <v>11.953020134228188</v>
      </c>
      <c r="J54" s="81">
        <f>IF(VLOOKUP(A54,Ergebnis_je_Aktie_verwässert!A3:AJ68,13,FALSE)&gt;0,IF(VLOOKUP(A54,Schlußkurse!A5:AU70,42,FALSE)&gt;0,VLOOKUP(A54,Schlußkurse!A5:AU70,42,FALSE)/VLOOKUP(A54,Ergebnis_je_Aktie_verwässert!A3:AJ68,13,FALSE),""),"")</f>
        <v>12.735135135135133</v>
      </c>
      <c r="K54" s="81">
        <f>IF(VLOOKUP(A54,Ergebnis_je_Aktie_verwässert!A3:AJ68,14,FALSE)&gt;0,IF(VLOOKUP(A54,Schlußkurse!A5:AU70,43,FALSE)&gt;0,VLOOKUP(A54,Schlußkurse!A5:AU70,43,FALSE)/VLOOKUP(A54,Ergebnis_je_Aktie_verwässert!A3:AJ68,14,FALSE),""),"")</f>
        <v>14.976401179941004</v>
      </c>
      <c r="L54" s="81">
        <f>IF(VLOOKUP(A54,Ergebnis_je_Aktie_verwässert!A3:AJ68,15,FALSE)&gt;0,IF(VLOOKUP(A54,Schlußkurse!A5:AU70,44,FALSE)&gt;0,VLOOKUP(A54,Schlußkurse!A5:AU70,44,FALSE)/VLOOKUP(A54,Ergebnis_je_Aktie_verwässert!A3:AJ68,15,FALSE),""),"")</f>
        <v>15.230031948881789</v>
      </c>
      <c r="M54" s="81">
        <f>IF(VLOOKUP(A54,Ergebnis_je_Aktie_verwässert!A3:AJ68,16,FALSE)&gt;0,IF(VLOOKUP(A54,Schlußkurse!A5:AU70,45,FALSE)&gt;0,VLOOKUP(A54,Schlußkurse!A5:AU70,45,FALSE)/VLOOKUP(A54,Ergebnis_je_Aktie_verwässert!A3:AJ68,16,FALSE),""),"")</f>
        <v>17.014760147601475</v>
      </c>
      <c r="N54" s="81">
        <f>IF(VLOOKUP(A54,Ergebnis_je_Aktie_verwässert!A3:AJ68,17,FALSE)&gt;0,IF(VLOOKUP(A54,Schlußkurse!A5:AU70,46,FALSE)&gt;0,VLOOKUP(A54,Schlußkurse!A5:AU70,46,FALSE)/VLOOKUP(A54,Ergebnis_je_Aktie_verwässert!A3:AJ68,17,FALSE),""),"")</f>
        <v>19.552238805970148</v>
      </c>
      <c r="O54" s="82">
        <f>IF(VLOOKUP(A54,Ergebnis_je_Aktie_verwässert!A3:AJ68,18,FALSE)&gt;0,IF(VLOOKUP(A54,Schlußkurse!A5:AU70,47,FALSE)&gt;0,VLOOKUP(A54,Schlußkurse!A5:AU70,47,FALSE)/VLOOKUP(A54,Ergebnis_je_Aktie_verwässert!A3:AJ68,18,FALSE),""),"")</f>
        <v>22.344398340248961</v>
      </c>
      <c r="P54" s="3">
        <f t="shared" si="1"/>
        <v>14.976401179941004</v>
      </c>
      <c r="Q54" s="3">
        <f ca="1">VLOOKUP(A54,Schlußkurse!A5:AU70,35,FALSE)/VLOOKUP(A54,Ergebnis_je_Aktie_verwässert!A3:AK68,23,FALSE)</f>
        <v>16.626628320081206</v>
      </c>
      <c r="R54" s="5">
        <f t="shared" ca="1" si="2"/>
        <v>0.11018849724394886</v>
      </c>
    </row>
    <row r="55" spans="1:18" x14ac:dyDescent="0.25">
      <c r="A55" t="s">
        <v>102</v>
      </c>
      <c r="B55" t="s">
        <v>103</v>
      </c>
      <c r="C55" s="80">
        <f>IF(VLOOKUP(A55,Ergebnis_je_Aktie_verwässert!A3:AJ68,6,FALSE)&gt;0,IF(VLOOKUP(A55,Schlußkurse!A5:AU70,35,FALSE)&gt;0,VLOOKUP(A55,Schlußkurse!A5:AU70,35,FALSE)/VLOOKUP(A55,Ergebnis_je_Aktie_verwässert!A3:AJ68,6,FALSE),""),"")</f>
        <v>19.23782866242038</v>
      </c>
      <c r="D55" s="81">
        <f>IF(VLOOKUP(A55,Ergebnis_je_Aktie_verwässert!A3:AJ68,7,FALSE)&gt;0,IF(VLOOKUP(A55,Schlußkurse!A5:AU70,36,FALSE)&gt;0,VLOOKUP(A55,Schlußkurse!A5:AU70,36,FALSE)/VLOOKUP(A55,Ergebnis_je_Aktie_verwässert!A3:AJ68,7,FALSE),""),"")</f>
        <v>20.338983838383836</v>
      </c>
      <c r="E55" s="81">
        <f>IF(VLOOKUP(A55,Ergebnis_je_Aktie_verwässert!A3:AJ68,8,FALSE)&gt;0,IF(VLOOKUP(A55,Schlußkurse!A5:AU70,37,FALSE)&gt;0,VLOOKUP(A55,Schlußkurse!A5:AU70,37,FALSE)/VLOOKUP(A55,Ergebnis_je_Aktie_verwässert!A3:AJ68,8,FALSE),""),"")</f>
        <v>20.389694793536805</v>
      </c>
      <c r="F55" s="81">
        <f>IF(VLOOKUP(A55,Ergebnis_je_Aktie_verwässert!A3:AJ68,9,FALSE)&gt;0,IF(VLOOKUP(A55,Schlußkurse!A5:AU70,38,FALSE)&gt;0,VLOOKUP(A55,Schlußkurse!A5:AU70,38,FALSE)/VLOOKUP(A55,Ergebnis_je_Aktie_verwässert!A3:AJ68,9,FALSE),""),"")</f>
        <v>19.569219485294116</v>
      </c>
      <c r="G55" s="81">
        <f>IF(VLOOKUP(A55,Ergebnis_je_Aktie_verwässert!A3:AJ68,10,FALSE)&gt;0,IF(VLOOKUP(A55,Schlußkurse!A5:AU70,39,FALSE)&gt;0,VLOOKUP(A55,Schlußkurse!A5:AU70,39,FALSE)/VLOOKUP(A55,Ergebnis_je_Aktie_verwässert!A3:AJ68,10,FALSE),""),"")</f>
        <v>17.653399185336045</v>
      </c>
      <c r="H55" s="81">
        <f>IF(VLOOKUP(A55,Ergebnis_je_Aktie_verwässert!A3:AJ68,11,FALSE)&gt;0,IF(VLOOKUP(A55,Schlußkurse!A5:AU70,40,FALSE)&gt;0,VLOOKUP(A55,Schlußkurse!A5:AU70,40,FALSE)/VLOOKUP(A55,Ergebnis_je_Aktie_verwässert!A3:AJ68,11,FALSE),""),"")</f>
        <v>13.780105955056179</v>
      </c>
      <c r="I55" s="81">
        <f>IF(VLOOKUP(A55,Ergebnis_je_Aktie_verwässert!A3:AJ68,12,FALSE)&gt;0,IF(VLOOKUP(A55,Schlußkurse!A5:AU70,41,FALSE)&gt;0,VLOOKUP(A55,Schlußkurse!A5:AU70,41,FALSE)/VLOOKUP(A55,Ergebnis_je_Aktie_verwässert!A3:AJ68,12,FALSE),""),"")</f>
        <v>15.790016528925618</v>
      </c>
      <c r="J55" s="81">
        <f>IF(VLOOKUP(A55,Ergebnis_je_Aktie_verwässert!A3:AJ68,13,FALSE)&gt;0,IF(VLOOKUP(A55,Schlußkurse!A5:AU70,42,FALSE)&gt;0,VLOOKUP(A55,Schlußkurse!A5:AU70,42,FALSE)/VLOOKUP(A55,Ergebnis_je_Aktie_verwässert!A3:AJ68,13,FALSE),""),"")</f>
        <v>20.867437200000001</v>
      </c>
      <c r="K55" s="81">
        <f>IF(VLOOKUP(A55,Ergebnis_je_Aktie_verwässert!A3:AJ68,14,FALSE)&gt;0,IF(VLOOKUP(A55,Schlußkurse!A5:AU70,43,FALSE)&gt;0,VLOOKUP(A55,Schlußkurse!A5:AU70,43,FALSE)/VLOOKUP(A55,Ergebnis_je_Aktie_verwässert!A3:AJ68,14,FALSE),""),"")</f>
        <v>8.1076199999999989</v>
      </c>
      <c r="L55" s="81" t="str">
        <f>IF(VLOOKUP(A55,Ergebnis_je_Aktie_verwässert!A3:AJ68,15,FALSE)&gt;0,IF(VLOOKUP(A55,Schlußkurse!A5:AU70,44,FALSE)&gt;0,VLOOKUP(A55,Schlußkurse!A5:AU70,44,FALSE)/VLOOKUP(A55,Ergebnis_je_Aktie_verwässert!A3:AJ68,15,FALSE),""),"")</f>
        <v/>
      </c>
      <c r="M55" s="81" t="str">
        <f>IF(VLOOKUP(A55,Ergebnis_je_Aktie_verwässert!A3:AJ68,16,FALSE)&gt;0,IF(VLOOKUP(A55,Schlußkurse!A5:AU70,45,FALSE)&gt;0,VLOOKUP(A55,Schlußkurse!A5:AU70,45,FALSE)/VLOOKUP(A55,Ergebnis_je_Aktie_verwässert!A3:AJ68,16,FALSE),""),"")</f>
        <v/>
      </c>
      <c r="N55" s="81" t="str">
        <f>IF(VLOOKUP(A55,Ergebnis_je_Aktie_verwässert!A3:AJ68,17,FALSE)&gt;0,IF(VLOOKUP(A55,Schlußkurse!A5:AU70,46,FALSE)&gt;0,VLOOKUP(A55,Schlußkurse!A5:AU70,46,FALSE)/VLOOKUP(A55,Ergebnis_je_Aktie_verwässert!A3:AJ68,17,FALSE),""),"")</f>
        <v/>
      </c>
      <c r="O55" s="82" t="str">
        <f>IF(VLOOKUP(A55,Ergebnis_je_Aktie_verwässert!A3:AJ68,18,FALSE)&gt;0,IF(VLOOKUP(A55,Schlußkurse!A5:AU70,47,FALSE)&gt;0,VLOOKUP(A55,Schlußkurse!A5:AU70,47,FALSE)/VLOOKUP(A55,Ergebnis_je_Aktie_verwässert!A3:AJ68,18,FALSE),""),"")</f>
        <v/>
      </c>
      <c r="P55" s="3">
        <f t="shared" si="1"/>
        <v>19.23782866242038</v>
      </c>
      <c r="Q55" s="3">
        <f ca="1">VLOOKUP(A55,Schlußkurse!A5:AU70,35,FALSE)/VLOOKUP(A55,Ergebnis_je_Aktie_verwässert!A3:AK68,23,FALSE)</f>
        <v>21.401766077324684</v>
      </c>
      <c r="R55" s="5">
        <f t="shared" ca="1" si="2"/>
        <v>0.1124834539737527</v>
      </c>
    </row>
    <row r="56" spans="1:18" x14ac:dyDescent="0.25">
      <c r="A56" t="s">
        <v>104</v>
      </c>
      <c r="B56" t="s">
        <v>105</v>
      </c>
      <c r="C56" s="80">
        <f>IF(VLOOKUP(A56,Ergebnis_je_Aktie_verwässert!A3:AJ68,6,FALSE)&gt;0,IF(VLOOKUP(A56,Schlußkurse!A5:AU70,35,FALSE)&gt;0,VLOOKUP(A56,Schlußkurse!A5:AU70,35,FALSE)/VLOOKUP(A56,Ergebnis_je_Aktie_verwässert!A3:AJ68,6,FALSE),""),"")</f>
        <v>31.843718079673135</v>
      </c>
      <c r="D56" s="81">
        <f>IF(VLOOKUP(A56,Ergebnis_je_Aktie_verwässert!A3:AJ68,7,FALSE)&gt;0,IF(VLOOKUP(A56,Schlußkurse!A5:AU70,36,FALSE)&gt;0,VLOOKUP(A56,Schlußkurse!A5:AU70,36,FALSE)/VLOOKUP(A56,Ergebnis_je_Aktie_verwässert!A3:AJ68,7,FALSE),""),"")</f>
        <v>35.146561443066517</v>
      </c>
      <c r="E56" s="81">
        <f>IF(VLOOKUP(A56,Ergebnis_je_Aktie_verwässert!A3:AJ68,8,FALSE)&gt;0,IF(VLOOKUP(A56,Schlußkurse!A5:AU70,37,FALSE)&gt;0,VLOOKUP(A56,Schlußkurse!A5:AU70,37,FALSE)/VLOOKUP(A56,Ergebnis_je_Aktie_verwässert!A3:AJ68,8,FALSE),""),"")</f>
        <v>35.658140985651904</v>
      </c>
      <c r="F56" s="81">
        <f>IF(VLOOKUP(A56,Ergebnis_je_Aktie_verwässert!A3:AJ68,9,FALSE)&gt;0,IF(VLOOKUP(A56,Schlußkurse!A5:AU70,38,FALSE)&gt;0,VLOOKUP(A56,Schlußkurse!A5:AU70,38,FALSE)/VLOOKUP(A56,Ergebnis_je_Aktie_verwässert!A3:AJ68,9,FALSE),""),"")</f>
        <v>33.356449375866852</v>
      </c>
      <c r="G56" s="81">
        <f>IF(VLOOKUP(A56,Ergebnis_je_Aktie_verwässert!A3:AJ68,10,FALSE)&gt;0,IF(VLOOKUP(A56,Schlußkurse!A5:AU70,39,FALSE)&gt;0,VLOOKUP(A56,Schlußkurse!A5:AU70,39,FALSE)/VLOOKUP(A56,Ergebnis_je_Aktie_verwässert!A3:AJ68,10,FALSE),""),"")</f>
        <v>26.267123287671232</v>
      </c>
      <c r="H56" s="81">
        <f>IF(VLOOKUP(A56,Ergebnis_je_Aktie_verwässert!A3:AJ68,11,FALSE)&gt;0,IF(VLOOKUP(A56,Schlußkurse!A5:AU70,40,FALSE)&gt;0,VLOOKUP(A56,Schlußkurse!A5:AU70,40,FALSE)/VLOOKUP(A56,Ergebnis_je_Aktie_verwässert!A3:AJ68,11,FALSE),""),"")</f>
        <v>26.444818871103621</v>
      </c>
      <c r="I56" s="81">
        <f>IF(VLOOKUP(A56,Ergebnis_je_Aktie_verwässert!A3:AJ68,12,FALSE)&gt;0,IF(VLOOKUP(A56,Schlußkurse!A5:AU70,41,FALSE)&gt;0,VLOOKUP(A56,Schlußkurse!A5:AU70,41,FALSE)/VLOOKUP(A56,Ergebnis_je_Aktie_verwässert!A3:AJ68,12,FALSE),""),"")</f>
        <v>27.922077922077921</v>
      </c>
      <c r="J56" s="81">
        <f>IF(VLOOKUP(A56,Ergebnis_je_Aktie_verwässert!A3:AJ68,13,FALSE)&gt;0,IF(VLOOKUP(A56,Schlußkurse!A5:AU70,42,FALSE)&gt;0,VLOOKUP(A56,Schlußkurse!A5:AU70,42,FALSE)/VLOOKUP(A56,Ergebnis_je_Aktie_verwässert!A3:AJ68,13,FALSE),""),"")</f>
        <v>24.080568720379148</v>
      </c>
      <c r="K56" s="81">
        <f>IF(VLOOKUP(A56,Ergebnis_je_Aktie_verwässert!A3:AJ68,14,FALSE)&gt;0,IF(VLOOKUP(A56,Schlußkurse!A5:AU70,43,FALSE)&gt;0,VLOOKUP(A56,Schlußkurse!A5:AU70,43,FALSE)/VLOOKUP(A56,Ergebnis_je_Aktie_verwässert!A3:AJ68,14,FALSE),""),"")</f>
        <v>26.560112821718182</v>
      </c>
      <c r="L56" s="81">
        <f>IF(VLOOKUP(A56,Ergebnis_je_Aktie_verwässert!A3:AJ68,15,FALSE)&gt;0,IF(VLOOKUP(A56,Schlußkurse!A5:AU70,44,FALSE)&gt;0,VLOOKUP(A56,Schlußkurse!A5:AU70,44,FALSE)/VLOOKUP(A56,Ergebnis_je_Aktie_verwässert!A3:AJ68,15,FALSE),""),"")</f>
        <v>34.885964912280699</v>
      </c>
      <c r="M56" s="81">
        <f>IF(VLOOKUP(A56,Ergebnis_je_Aktie_verwässert!A3:AJ68,16,FALSE)&gt;0,IF(VLOOKUP(A56,Schlußkurse!A5:AU70,45,FALSE)&gt;0,VLOOKUP(A56,Schlußkurse!A5:AU70,45,FALSE)/VLOOKUP(A56,Ergebnis_je_Aktie_verwässert!A3:AJ68,16,FALSE),""),"")</f>
        <v>28.139321723189735</v>
      </c>
      <c r="N56" s="81">
        <f>IF(VLOOKUP(A56,Ergebnis_je_Aktie_verwässert!A3:AJ68,17,FALSE)&gt;0,IF(VLOOKUP(A56,Schlußkurse!A5:AU70,46,FALSE)&gt;0,VLOOKUP(A56,Schlußkurse!A5:AU70,46,FALSE)/VLOOKUP(A56,Ergebnis_je_Aktie_verwässert!A3:AJ68,17,FALSE),""),"")</f>
        <v>23.827616152844115</v>
      </c>
      <c r="O56" s="82">
        <f>IF(VLOOKUP(A56,Ergebnis_je_Aktie_verwässert!A3:AJ68,18,FALSE)&gt;0,IF(VLOOKUP(A56,Schlußkurse!A5:AU70,47,FALSE)&gt;0,VLOOKUP(A56,Schlußkurse!A5:AU70,47,FALSE)/VLOOKUP(A56,Ergebnis_je_Aktie_verwässert!A3:AJ68,18,FALSE),""),"")</f>
        <v>21.674043217912001</v>
      </c>
      <c r="P56" s="3">
        <f t="shared" si="1"/>
        <v>27.922077922077921</v>
      </c>
      <c r="Q56" s="3">
        <f ca="1">VLOOKUP(A56,Schlußkurse!A5:AU70,35,FALSE)/VLOOKUP(A56,Ergebnis_je_Aktie_verwässert!A3:AK68,23,FALSE)</f>
        <v>38.072267085960277</v>
      </c>
      <c r="R56" s="5">
        <f t="shared" ca="1" si="2"/>
        <v>0.36351840261346102</v>
      </c>
    </row>
    <row r="57" spans="1:18" x14ac:dyDescent="0.25">
      <c r="A57" t="s">
        <v>107</v>
      </c>
      <c r="B57" t="s">
        <v>108</v>
      </c>
      <c r="C57" s="80">
        <f>IF(VLOOKUP(A57,Ergebnis_je_Aktie_verwässert!A3:AJ68,6,FALSE)&gt;0,IF(VLOOKUP(A57,Schlußkurse!A5:AU70,35,FALSE)&gt;0,VLOOKUP(A57,Schlußkurse!A5:AU70,35,FALSE)/VLOOKUP(A57,Ergebnis_je_Aktie_verwässert!A3:AJ68,6,FALSE),""),"")</f>
        <v>19.647377938517177</v>
      </c>
      <c r="D57" s="81">
        <f>IF(VLOOKUP(A57,Ergebnis_je_Aktie_verwässert!A3:AJ68,7,FALSE)&gt;0,IF(VLOOKUP(A57,Schlußkurse!A5:AU70,36,FALSE)&gt;0,VLOOKUP(A57,Schlußkurse!A5:AU70,36,FALSE)/VLOOKUP(A57,Ergebnis_je_Aktie_verwässert!A3:AJ68,7,FALSE),""),"")</f>
        <v>21.686626746506988</v>
      </c>
      <c r="E57" s="81">
        <f>IF(VLOOKUP(A57,Ergebnis_je_Aktie_verwässert!A3:AJ68,8,FALSE)&gt;0,IF(VLOOKUP(A57,Schlußkurse!A5:AU70,37,FALSE)&gt;0,VLOOKUP(A57,Schlußkurse!A5:AU70,37,FALSE)/VLOOKUP(A57,Ergebnis_je_Aktie_verwässert!A3:AJ68,8,FALSE),""),"")</f>
        <v>19.481481481481481</v>
      </c>
      <c r="F57" s="81">
        <f>IF(VLOOKUP(A57,Ergebnis_je_Aktie_verwässert!A3:AJ68,9,FALSE)&gt;0,IF(VLOOKUP(A57,Schlußkurse!A5:AU70,38,FALSE)&gt;0,VLOOKUP(A57,Schlußkurse!A5:AU70,38,FALSE)/VLOOKUP(A57,Ergebnis_je_Aktie_verwässert!A3:AJ68,9,FALSE),""),"")</f>
        <v>22.422872340425535</v>
      </c>
      <c r="G57" s="81">
        <f>IF(VLOOKUP(A57,Ergebnis_je_Aktie_verwässert!A3:AJ68,10,FALSE)&gt;0,IF(VLOOKUP(A57,Schlußkurse!A5:AU70,39,FALSE)&gt;0,VLOOKUP(A57,Schlußkurse!A5:AU70,39,FALSE)/VLOOKUP(A57,Ergebnis_je_Aktie_verwässert!A3:AJ68,10,FALSE),""),"")</f>
        <v>16.948228882833789</v>
      </c>
      <c r="H57" s="81">
        <f>IF(VLOOKUP(A57,Ergebnis_je_Aktie_verwässert!A3:AJ68,11,FALSE)&gt;0,IF(VLOOKUP(A57,Schlußkurse!A5:AU70,40,FALSE)&gt;0,VLOOKUP(A57,Schlußkurse!A5:AU70,40,FALSE)/VLOOKUP(A57,Ergebnis_je_Aktie_verwässert!A3:AJ68,11,FALSE),""),"")</f>
        <v>12.77650429799427</v>
      </c>
      <c r="I57" s="81">
        <f>IF(VLOOKUP(A57,Ergebnis_je_Aktie_verwässert!A3:AJ68,12,FALSE)&gt;0,IF(VLOOKUP(A57,Schlußkurse!A5:AU70,41,FALSE)&gt;0,VLOOKUP(A57,Schlußkurse!A5:AU70,41,FALSE)/VLOOKUP(A57,Ergebnis_je_Aktie_verwässert!A3:AJ68,12,FALSE),""),"")</f>
        <v>16.102076124567471</v>
      </c>
      <c r="J57" s="81">
        <f>IF(VLOOKUP(A57,Ergebnis_je_Aktie_verwässert!A3:AJ68,13,FALSE)&gt;0,IF(VLOOKUP(A57,Schlußkurse!A5:AU70,42,FALSE)&gt;0,VLOOKUP(A57,Schlußkurse!A5:AU70,42,FALSE)/VLOOKUP(A57,Ergebnis_je_Aktie_verwässert!A3:AJ68,13,FALSE),""),"")</f>
        <v>14.120155038759689</v>
      </c>
      <c r="K57" s="81">
        <f>IF(VLOOKUP(A57,Ergebnis_je_Aktie_verwässert!A3:AJ68,14,FALSE)&gt;0,IF(VLOOKUP(A57,Schlußkurse!A5:AU70,43,FALSE)&gt;0,VLOOKUP(A57,Schlußkurse!A5:AU70,43,FALSE)/VLOOKUP(A57,Ergebnis_je_Aktie_verwässert!A3:AJ68,14,FALSE),""),"")</f>
        <v>16.135714285714286</v>
      </c>
      <c r="L57" s="81">
        <f>IF(VLOOKUP(A57,Ergebnis_je_Aktie_verwässert!A3:AJ68,15,FALSE)&gt;0,IF(VLOOKUP(A57,Schlußkurse!A5:AU70,44,FALSE)&gt;0,VLOOKUP(A57,Schlußkurse!A5:AU70,44,FALSE)/VLOOKUP(A57,Ergebnis_je_Aktie_verwässert!A3:AJ68,15,FALSE),""),"")</f>
        <v>20.885869565217391</v>
      </c>
      <c r="M57" s="81">
        <f>IF(VLOOKUP(A57,Ergebnis_je_Aktie_verwässert!A3:AJ68,16,FALSE)&gt;0,IF(VLOOKUP(A57,Schlußkurse!A5:AU70,45,FALSE)&gt;0,VLOOKUP(A57,Schlußkurse!A5:AU70,45,FALSE)/VLOOKUP(A57,Ergebnis_je_Aktie_verwässert!A3:AJ68,16,FALSE),""),"")</f>
        <v>17.364485981308409</v>
      </c>
      <c r="N57" s="81">
        <f>IF(VLOOKUP(A57,Ergebnis_je_Aktie_verwässert!A3:AJ68,17,FALSE)&gt;0,IF(VLOOKUP(A57,Schlußkurse!A5:AU70,46,FALSE)&gt;0,VLOOKUP(A57,Schlußkurse!A5:AU70,46,FALSE)/VLOOKUP(A57,Ergebnis_je_Aktie_verwässert!A3:AJ68,17,FALSE),""),"")</f>
        <v>14.2378391959799</v>
      </c>
      <c r="O57" s="82">
        <f>IF(VLOOKUP(A57,Ergebnis_je_Aktie_verwässert!A3:AJ68,18,FALSE)&gt;0,IF(VLOOKUP(A57,Schlußkurse!A5:AU70,47,FALSE)&gt;0,VLOOKUP(A57,Schlußkurse!A5:AU70,47,FALSE)/VLOOKUP(A57,Ergebnis_je_Aktie_verwässert!A3:AJ68,18,FALSE),""),"")</f>
        <v>12.052711864406779</v>
      </c>
      <c r="P57" s="3">
        <f t="shared" si="1"/>
        <v>16.948228882833789</v>
      </c>
      <c r="Q57" s="3">
        <f ca="1">VLOOKUP(A57,Schlußkurse!A5:AU70,35,FALSE)/VLOOKUP(A57,Ergebnis_je_Aktie_verwässert!A3:AK68,23,FALSE)</f>
        <v>23.239813197390472</v>
      </c>
      <c r="R57" s="5">
        <f t="shared" ca="1" si="2"/>
        <v>0.3712237047334892</v>
      </c>
    </row>
    <row r="58" spans="1:18" x14ac:dyDescent="0.25">
      <c r="A58" t="s">
        <v>109</v>
      </c>
      <c r="B58" t="s">
        <v>110</v>
      </c>
      <c r="C58" s="80">
        <f>IF(VLOOKUP(A58,Ergebnis_je_Aktie_verwässert!A3:AJ68,6,FALSE)&gt;0,IF(VLOOKUP(A58,Schlußkurse!A5:AU70,35,FALSE)&gt;0,VLOOKUP(A58,Schlußkurse!A5:AU70,35,FALSE)/VLOOKUP(A58,Ergebnis_je_Aktie_verwässert!A3:AJ68,6,FALSE),""),"")</f>
        <v>24.396306818181817</v>
      </c>
      <c r="D58" s="81">
        <f>IF(VLOOKUP(A58,Ergebnis_je_Aktie_verwässert!A3:AJ68,7,FALSE)&gt;0,IF(VLOOKUP(A58,Schlußkurse!A5:AU70,36,FALSE)&gt;0,VLOOKUP(A58,Schlußkurse!A5:AU70,36,FALSE)/VLOOKUP(A58,Ergebnis_je_Aktie_verwässert!A3:AJ68,7,FALSE),""),"")</f>
        <v>26.221374045801529</v>
      </c>
      <c r="E58" s="81">
        <f>IF(VLOOKUP(A58,Ergebnis_je_Aktie_verwässert!A3:AJ68,8,FALSE)&gt;0,IF(VLOOKUP(A58,Schlußkurse!A5:AU70,37,FALSE)&gt;0,VLOOKUP(A58,Schlußkurse!A5:AU70,37,FALSE)/VLOOKUP(A58,Ergebnis_je_Aktie_verwässert!A3:AJ68,8,FALSE),""),"")</f>
        <v>22.911184210526319</v>
      </c>
      <c r="F58" s="81">
        <f>IF(VLOOKUP(A58,Ergebnis_je_Aktie_verwässert!A3:AJ68,9,FALSE)&gt;0,IF(VLOOKUP(A58,Schlußkurse!A5:AU70,38,FALSE)&gt;0,VLOOKUP(A58,Schlußkurse!A5:AU70,38,FALSE)/VLOOKUP(A58,Ergebnis_je_Aktie_verwässert!A3:AJ68,9,FALSE),""),"")</f>
        <v>23.913857677902623</v>
      </c>
      <c r="G58" s="81">
        <f>IF(VLOOKUP(A58,Ergebnis_je_Aktie_verwässert!A3:AJ68,10,FALSE)&gt;0,IF(VLOOKUP(A58,Schlußkurse!A5:AU70,39,FALSE)&gt;0,VLOOKUP(A58,Schlußkurse!A5:AU70,39,FALSE)/VLOOKUP(A58,Ergebnis_je_Aktie_verwässert!A3:AJ68,10,FALSE),""),"")</f>
        <v>20.448343079922029</v>
      </c>
      <c r="H58" s="81">
        <f>IF(VLOOKUP(A58,Ergebnis_je_Aktie_verwässert!A3:AJ68,11,FALSE)&gt;0,IF(VLOOKUP(A58,Schlußkurse!A5:AU70,40,FALSE)&gt;0,VLOOKUP(A58,Schlußkurse!A5:AU70,40,FALSE)/VLOOKUP(A58,Ergebnis_je_Aktie_verwässert!A3:AJ68,11,FALSE),""),"")</f>
        <v>16.435845213849287</v>
      </c>
      <c r="I58" s="81">
        <f>IF(VLOOKUP(A58,Ergebnis_je_Aktie_verwässert!A3:AJ68,12,FALSE)&gt;0,IF(VLOOKUP(A58,Schlußkurse!A5:AU70,41,FALSE)&gt;0,VLOOKUP(A58,Schlußkurse!A5:AU70,41,FALSE)/VLOOKUP(A58,Ergebnis_je_Aktie_verwässert!A3:AJ68,12,FALSE),""),"")</f>
        <v>19.231481481481481</v>
      </c>
      <c r="J58" s="81">
        <f>IF(VLOOKUP(A58,Ergebnis_je_Aktie_verwässert!A3:AJ68,13,FALSE)&gt;0,IF(VLOOKUP(A58,Schlußkurse!A5:AU70,42,FALSE)&gt;0,VLOOKUP(A58,Schlußkurse!A5:AU70,42,FALSE)/VLOOKUP(A58,Ergebnis_je_Aktie_verwässert!A3:AJ68,13,FALSE),""),"")</f>
        <v>19.451371571072322</v>
      </c>
      <c r="K58" s="81">
        <f>IF(VLOOKUP(A58,Ergebnis_je_Aktie_verwässert!A3:AJ68,14,FALSE)&gt;0,IF(VLOOKUP(A58,Schlußkurse!A5:AU70,43,FALSE)&gt;0,VLOOKUP(A58,Schlußkurse!A5:AU70,43,FALSE)/VLOOKUP(A58,Ergebnis_je_Aktie_verwässert!A3:AJ68,14,FALSE),""),"")</f>
        <v>18.216374269005847</v>
      </c>
      <c r="L58" s="81">
        <f>IF(VLOOKUP(A58,Ergebnis_je_Aktie_verwässert!A3:AJ68,15,FALSE)&gt;0,IF(VLOOKUP(A58,Schlußkurse!A5:AU70,44,FALSE)&gt;0,VLOOKUP(A58,Schlußkurse!A5:AU70,44,FALSE)/VLOOKUP(A58,Ergebnis_je_Aktie_verwässert!A3:AJ68,15,FALSE),""),"")</f>
        <v>28.074498567335244</v>
      </c>
      <c r="M58" s="81">
        <f>IF(VLOOKUP(A58,Ergebnis_je_Aktie_verwässert!A3:AJ68,16,FALSE)&gt;0,IF(VLOOKUP(A58,Schlußkurse!A5:AU70,45,FALSE)&gt;0,VLOOKUP(A58,Schlußkurse!A5:AU70,45,FALSE)/VLOOKUP(A58,Ergebnis_je_Aktie_verwässert!A3:AJ68,16,FALSE),""),"")</f>
        <v>22.589285714285715</v>
      </c>
      <c r="N58" s="81">
        <f>IF(VLOOKUP(A58,Ergebnis_je_Aktie_verwässert!A3:AJ68,17,FALSE)&gt;0,IF(VLOOKUP(A58,Schlußkurse!A5:AU70,46,FALSE)&gt;0,VLOOKUP(A58,Schlußkurse!A5:AU70,46,FALSE)/VLOOKUP(A58,Ergebnis_je_Aktie_verwässert!A3:AJ68,17,FALSE),""),"")</f>
        <v>21.073825503355703</v>
      </c>
      <c r="O58" s="82">
        <f>IF(VLOOKUP(A58,Ergebnis_je_Aktie_verwässert!A3:AJ68,18,FALSE)&gt;0,IF(VLOOKUP(A58,Schlußkurse!A5:AU70,47,FALSE)&gt;0,VLOOKUP(A58,Schlußkurse!A5:AU70,47,FALSE)/VLOOKUP(A58,Ergebnis_je_Aktie_verwässert!A3:AJ68,18,FALSE),""),"")</f>
        <v>21.48076923076923</v>
      </c>
      <c r="P58" s="3">
        <f t="shared" si="1"/>
        <v>21.48076923076923</v>
      </c>
      <c r="Q58" s="3">
        <f ca="1">VLOOKUP(A58,Schlußkurse!A5:AU70,35,FALSE)/VLOOKUP(A58,Ergebnis_je_Aktie_verwässert!A3:AK68,23,FALSE)</f>
        <v>27.812388950614228</v>
      </c>
      <c r="R58" s="5">
        <f t="shared" ca="1" si="2"/>
        <v>0.29475758767407334</v>
      </c>
    </row>
    <row r="59" spans="1:18" x14ac:dyDescent="0.25">
      <c r="A59" t="s">
        <v>111</v>
      </c>
      <c r="B59" t="s">
        <v>112</v>
      </c>
      <c r="C59" s="80">
        <f>IF(VLOOKUP(A59,Ergebnis_je_Aktie_verwässert!A3:AJ68,6,FALSE)&gt;0,IF(VLOOKUP(A59,Schlußkurse!A5:AU70,35,FALSE)&gt;0,VLOOKUP(A59,Schlußkurse!A5:AU70,35,FALSE)/VLOOKUP(A59,Ergebnis_je_Aktie_verwässert!A3:AJ68,6,FALSE),""),"")</f>
        <v>18.951476793248943</v>
      </c>
      <c r="D59" s="81">
        <f>IF(VLOOKUP(A59,Ergebnis_je_Aktie_verwässert!A3:AJ68,7,FALSE)&gt;0,IF(VLOOKUP(A59,Schlußkurse!A5:AU70,36,FALSE)&gt;0,VLOOKUP(A59,Schlußkurse!A5:AU70,36,FALSE)/VLOOKUP(A59,Ergebnis_je_Aktie_verwässert!A3:AJ68,7,FALSE),""),"")</f>
        <v>18.951476793248943</v>
      </c>
      <c r="E59" s="81">
        <f>IF(VLOOKUP(A59,Ergebnis_je_Aktie_verwässert!A3:AJ68,8,FALSE)&gt;0,IF(VLOOKUP(A59,Schlußkurse!A5:AU70,37,FALSE)&gt;0,VLOOKUP(A59,Schlußkurse!A5:AU70,37,FALSE)/VLOOKUP(A59,Ergebnis_je_Aktie_verwässert!A3:AJ68,8,FALSE),""),"")</f>
        <v>17.040540540540537</v>
      </c>
      <c r="F59" s="81">
        <f>IF(VLOOKUP(A59,Ergebnis_je_Aktie_verwässert!A3:AJ68,9,FALSE)&gt;0,IF(VLOOKUP(A59,Schlußkurse!A5:AU70,38,FALSE)&gt;0,VLOOKUP(A59,Schlußkurse!A5:AU70,38,FALSE)/VLOOKUP(A59,Ergebnis_je_Aktie_verwässert!A3:AJ68,9,FALSE),""),"")</f>
        <v>23.369696969696971</v>
      </c>
      <c r="G59" s="81">
        <f>IF(VLOOKUP(A59,Ergebnis_je_Aktie_verwässert!A3:AJ68,10,FALSE)&gt;0,IF(VLOOKUP(A59,Schlußkurse!A5:AU70,39,FALSE)&gt;0,VLOOKUP(A59,Schlußkurse!A5:AU70,39,FALSE)/VLOOKUP(A59,Ergebnis_je_Aktie_verwässert!A3:AJ68,10,FALSE),""),"")</f>
        <v>25.679856115107917</v>
      </c>
      <c r="H59" s="81">
        <f>IF(VLOOKUP(A59,Ergebnis_je_Aktie_verwässert!A3:AJ68,11,FALSE)&gt;0,IF(VLOOKUP(A59,Schlußkurse!A5:AU70,40,FALSE)&gt;0,VLOOKUP(A59,Schlußkurse!A5:AU70,40,FALSE)/VLOOKUP(A59,Ergebnis_je_Aktie_verwässert!A3:AJ68,11,FALSE),""),"")</f>
        <v>15.173796791443849</v>
      </c>
      <c r="I59" s="81">
        <f>IF(VLOOKUP(A59,Ergebnis_je_Aktie_verwässert!A3:AJ68,12,FALSE)&gt;0,IF(VLOOKUP(A59,Schlußkurse!A5:AU70,41,FALSE)&gt;0,VLOOKUP(A59,Schlußkurse!A5:AU70,41,FALSE)/VLOOKUP(A59,Ergebnis_je_Aktie_verwässert!A3:AJ68,12,FALSE),""),"")</f>
        <v>11.153846153846153</v>
      </c>
      <c r="J59" s="81">
        <f>IF(VLOOKUP(A59,Ergebnis_je_Aktie_verwässert!A3:AJ68,13,FALSE)&gt;0,IF(VLOOKUP(A59,Schlußkurse!A5:AU70,42,FALSE)&gt;0,VLOOKUP(A59,Schlußkurse!A5:AU70,42,FALSE)/VLOOKUP(A59,Ergebnis_je_Aktie_verwässert!A3:AJ68,13,FALSE),""),"")</f>
        <v>13.172248803827753</v>
      </c>
      <c r="K59" s="81">
        <f>IF(VLOOKUP(A59,Ergebnis_je_Aktie_verwässert!A3:AJ68,14,FALSE)&gt;0,IF(VLOOKUP(A59,Schlußkurse!A5:AU70,43,FALSE)&gt;0,VLOOKUP(A59,Schlußkurse!A5:AU70,43,FALSE)/VLOOKUP(A59,Ergebnis_je_Aktie_verwässert!A3:AJ68,14,FALSE),""),"")</f>
        <v>11.265508684863523</v>
      </c>
      <c r="L59" s="81">
        <f>IF(VLOOKUP(A59,Ergebnis_je_Aktie_verwässert!A3:AJ68,15,FALSE)&gt;0,IF(VLOOKUP(A59,Schlußkurse!A5:AU70,44,FALSE)&gt;0,VLOOKUP(A59,Schlußkurse!A5:AU70,44,FALSE)/VLOOKUP(A59,Ergebnis_je_Aktie_verwässert!A3:AJ68,15,FALSE),""),"")</f>
        <v>21.421768707482993</v>
      </c>
      <c r="M59" s="81">
        <f>IF(VLOOKUP(A59,Ergebnis_je_Aktie_verwässert!A3:AJ68,16,FALSE)&gt;0,IF(VLOOKUP(A59,Schlußkurse!A5:AU70,45,FALSE)&gt;0,VLOOKUP(A59,Schlußkurse!A5:AU70,45,FALSE)/VLOOKUP(A59,Ergebnis_je_Aktie_verwässert!A3:AJ68,16,FALSE),""),"")</f>
        <v>17.982005141388175</v>
      </c>
      <c r="N59" s="81">
        <f>IF(VLOOKUP(A59,Ergebnis_je_Aktie_verwässert!A3:AJ68,17,FALSE)&gt;0,IF(VLOOKUP(A59,Schlußkurse!A5:AU70,46,FALSE)&gt;0,VLOOKUP(A59,Schlußkurse!A5:AU70,46,FALSE)/VLOOKUP(A59,Ergebnis_je_Aktie_verwässert!A3:AJ68,17,FALSE),""),"")</f>
        <v>25.084745762711862</v>
      </c>
      <c r="O59" s="82">
        <f>IF(VLOOKUP(A59,Ergebnis_je_Aktie_verwässert!A3:AJ68,18,FALSE)&gt;0,IF(VLOOKUP(A59,Schlußkurse!A5:AU70,47,FALSE)&gt;0,VLOOKUP(A59,Schlußkurse!A5:AU70,47,FALSE)/VLOOKUP(A59,Ergebnis_je_Aktie_verwässert!A3:AJ68,18,FALSE),""),"")</f>
        <v>35</v>
      </c>
      <c r="P59" s="3">
        <f t="shared" si="1"/>
        <v>18.951476793248943</v>
      </c>
      <c r="Q59" s="3">
        <f ca="1">VLOOKUP(A59,Schlußkurse!A5:AU70,35,FALSE)/VLOOKUP(A59,Ergebnis_je_Aktie_verwässert!A3:AK68,23,FALSE)</f>
        <v>19.958526198852059</v>
      </c>
      <c r="R59" s="5">
        <f t="shared" ca="1" si="2"/>
        <v>5.313830772079231E-2</v>
      </c>
    </row>
    <row r="60" spans="1:18" x14ac:dyDescent="0.25">
      <c r="A60" t="s">
        <v>113</v>
      </c>
      <c r="B60" t="s">
        <v>114</v>
      </c>
      <c r="C60" s="80">
        <f>IF(VLOOKUP(A60,Ergebnis_je_Aktie_verwässert!A3:AJ68,6,FALSE)&gt;0,IF(VLOOKUP(A60,Schlußkurse!A5:AU70,35,FALSE)&gt;0,VLOOKUP(A60,Schlußkurse!A5:AU70,35,FALSE)/VLOOKUP(A60,Ergebnis_je_Aktie_verwässert!A3:AJ68,6,FALSE),""),"")</f>
        <v>17.420560747663551</v>
      </c>
      <c r="D60" s="81">
        <f>IF(VLOOKUP(A60,Ergebnis_je_Aktie_verwässert!A3:AJ68,7,FALSE)&gt;0,IF(VLOOKUP(A60,Schlußkurse!A5:AU70,36,FALSE)&gt;0,VLOOKUP(A60,Schlußkurse!A5:AU70,36,FALSE)/VLOOKUP(A60,Ergebnis_je_Aktie_verwässert!A3:AJ68,7,FALSE),""),"")</f>
        <v>18.714859437751006</v>
      </c>
      <c r="E60" s="81">
        <f>IF(VLOOKUP(A60,Ergebnis_je_Aktie_verwässert!A3:AJ68,8,FALSE)&gt;0,IF(VLOOKUP(A60,Schlußkurse!A5:AU70,37,FALSE)&gt;0,VLOOKUP(A60,Schlußkurse!A5:AU70,37,FALSE)/VLOOKUP(A60,Ergebnis_je_Aktie_verwässert!A3:AJ68,8,FALSE),""),"")</f>
        <v>21.013513513513512</v>
      </c>
      <c r="F60" s="81">
        <f>IF(VLOOKUP(A60,Ergebnis_je_Aktie_verwässert!A3:AJ68,9,FALSE)&gt;0,IF(VLOOKUP(A60,Schlußkurse!A5:AU70,38,FALSE)&gt;0,VLOOKUP(A60,Schlußkurse!A5:AU70,38,FALSE)/VLOOKUP(A60,Ergebnis_je_Aktie_verwässert!A3:AJ68,9,FALSE),""),"")</f>
        <v>21.05263157894737</v>
      </c>
      <c r="G60" s="81">
        <f>IF(VLOOKUP(A60,Ergebnis_je_Aktie_verwässert!A3:AJ68,10,FALSE)&gt;0,IF(VLOOKUP(A60,Schlußkurse!A5:AU70,39,FALSE)&gt;0,VLOOKUP(A60,Schlußkurse!A5:AU70,39,FALSE)/VLOOKUP(A60,Ergebnis_je_Aktie_verwässert!A3:AJ68,10,FALSE),""),"")</f>
        <v>16.585858585858588</v>
      </c>
      <c r="H60" s="81">
        <f>IF(VLOOKUP(A60,Ergebnis_je_Aktie_verwässert!A3:AJ68,11,FALSE)&gt;0,IF(VLOOKUP(A60,Schlußkurse!A5:AU70,40,FALSE)&gt;0,VLOOKUP(A60,Schlußkurse!A5:AU70,40,FALSE)/VLOOKUP(A60,Ergebnis_je_Aktie_verwässert!A3:AJ68,11,FALSE),""),"")</f>
        <v>16.532467532467532</v>
      </c>
      <c r="I60" s="81">
        <f>IF(VLOOKUP(A60,Ergebnis_je_Aktie_verwässert!A3:AJ68,12,FALSE)&gt;0,IF(VLOOKUP(A60,Schlußkurse!A5:AU70,41,FALSE)&gt;0,VLOOKUP(A60,Schlußkurse!A5:AU70,41,FALSE)/VLOOKUP(A60,Ergebnis_je_Aktie_verwässert!A3:AJ68,12,FALSE),""),"")</f>
        <v>13.94736842105263</v>
      </c>
      <c r="J60" s="81">
        <f>IF(VLOOKUP(A60,Ergebnis_je_Aktie_verwässert!A3:AJ68,13,FALSE)&gt;0,IF(VLOOKUP(A60,Schlußkurse!A5:AU70,42,FALSE)&gt;0,VLOOKUP(A60,Schlußkurse!A5:AU70,42,FALSE)/VLOOKUP(A60,Ergebnis_je_Aktie_verwässert!A3:AJ68,13,FALSE),""),"")</f>
        <v>13.204545454545453</v>
      </c>
      <c r="K60" s="81">
        <f>IF(VLOOKUP(A60,Ergebnis_je_Aktie_verwässert!A3:AJ68,14,FALSE)&gt;0,IF(VLOOKUP(A60,Schlußkurse!A5:AU70,43,FALSE)&gt;0,VLOOKUP(A60,Schlußkurse!A5:AU70,43,FALSE)/VLOOKUP(A60,Ergebnis_je_Aktie_verwässert!A3:AJ68,14,FALSE),""),"")</f>
        <v>14.215384615384615</v>
      </c>
      <c r="L60" s="81">
        <f>IF(VLOOKUP(A60,Ergebnis_je_Aktie_verwässert!A3:AJ68,15,FALSE)&gt;0,IF(VLOOKUP(A60,Schlußkurse!A5:AU70,44,FALSE)&gt;0,VLOOKUP(A60,Schlußkurse!A5:AU70,44,FALSE)/VLOOKUP(A60,Ergebnis_je_Aktie_verwässert!A3:AJ68,15,FALSE),""),"")</f>
        <v>17.576271186440678</v>
      </c>
      <c r="M60" s="81">
        <f>IF(VLOOKUP(A60,Ergebnis_je_Aktie_verwässert!A3:AJ68,16,FALSE)&gt;0,IF(VLOOKUP(A60,Schlußkurse!A5:AU70,45,FALSE)&gt;0,VLOOKUP(A60,Schlußkurse!A5:AU70,45,FALSE)/VLOOKUP(A60,Ergebnis_je_Aktie_verwässert!A3:AJ68,16,FALSE),""),"")</f>
        <v>16.536363636363635</v>
      </c>
      <c r="N60" s="81">
        <f>IF(VLOOKUP(A60,Ergebnis_je_Aktie_verwässert!A3:AJ68,17,FALSE)&gt;0,IF(VLOOKUP(A60,Schlußkurse!A5:AU70,46,FALSE)&gt;0,VLOOKUP(A60,Schlußkurse!A5:AU70,46,FALSE)/VLOOKUP(A60,Ergebnis_je_Aktie_verwässert!A3:AJ68,17,FALSE),""),"")</f>
        <v>12.283582089552239</v>
      </c>
      <c r="O60" s="82">
        <f>IF(VLOOKUP(A60,Ergebnis_je_Aktie_verwässert!A3:AJ68,18,FALSE)&gt;0,IF(VLOOKUP(A60,Schlußkurse!A5:AU70,47,FALSE)&gt;0,VLOOKUP(A60,Schlußkurse!A5:AU70,47,FALSE)/VLOOKUP(A60,Ergebnis_je_Aktie_verwässert!A3:AJ68,18,FALSE),""),"")</f>
        <v>16.163043478260867</v>
      </c>
      <c r="P60" s="3">
        <f t="shared" si="1"/>
        <v>16.536363636363635</v>
      </c>
      <c r="Q60" s="3">
        <f ca="1">VLOOKUP(A60,Schlußkurse!A5:AU70,35,FALSE)/VLOOKUP(A60,Ergebnis_je_Aktie_verwässert!A3:AK68,23,FALSE)</f>
        <v>19.33208877826177</v>
      </c>
      <c r="R60" s="5">
        <f t="shared" ca="1" si="2"/>
        <v>0.16906529170357065</v>
      </c>
    </row>
    <row r="61" spans="1:18" x14ac:dyDescent="0.25">
      <c r="A61" t="s">
        <v>115</v>
      </c>
      <c r="B61" t="s">
        <v>116</v>
      </c>
      <c r="C61" s="80">
        <f>IF(VLOOKUP(A61,Ergebnis_je_Aktie_verwässert!A3:AJ68,6,FALSE)&gt;0,IF(VLOOKUP(A61,Schlußkurse!A5:AU70,35,FALSE)&gt;0,VLOOKUP(A61,Schlußkurse!A5:AU70,35,FALSE)/VLOOKUP(A61,Ergebnis_je_Aktie_verwässert!A3:AJ68,6,FALSE),""),"")</f>
        <v>21.194835474308302</v>
      </c>
      <c r="D61" s="81">
        <f>IF(VLOOKUP(A61,Ergebnis_je_Aktie_verwässert!A3:AJ68,7,FALSE)&gt;0,IF(VLOOKUP(A61,Schlußkurse!A5:AU70,36,FALSE)&gt;0,VLOOKUP(A61,Schlußkurse!A5:AU70,36,FALSE)/VLOOKUP(A61,Ergebnis_je_Aktie_verwässert!A3:AJ68,7,FALSE),""),"")</f>
        <v>23.014134656652359</v>
      </c>
      <c r="E61" s="81">
        <f>IF(VLOOKUP(A61,Ergebnis_je_Aktie_verwässert!A3:AJ68,8,FALSE)&gt;0,IF(VLOOKUP(A61,Schlußkurse!A5:AU70,37,FALSE)&gt;0,VLOOKUP(A61,Schlußkurse!A5:AU70,37,FALSE)/VLOOKUP(A61,Ergebnis_je_Aktie_verwässert!A3:AJ68,8,FALSE),""),"")</f>
        <v>21.481379310344828</v>
      </c>
      <c r="F61" s="81">
        <f>IF(VLOOKUP(A61,Ergebnis_je_Aktie_verwässert!A3:AJ68,9,FALSE)&gt;0,IF(VLOOKUP(A61,Schlußkurse!A5:AU70,38,FALSE)&gt;0,VLOOKUP(A61,Schlußkurse!A5:AU70,38,FALSE)/VLOOKUP(A61,Ergebnis_je_Aktie_verwässert!A3:AJ68,9,FALSE),""),"")</f>
        <v>25.18941244019139</v>
      </c>
      <c r="G61" s="81">
        <f>IF(VLOOKUP(A61,Ergebnis_je_Aktie_verwässert!A3:AJ68,10,FALSE)&gt;0,IF(VLOOKUP(A61,Schlußkurse!A5:AU70,39,FALSE)&gt;0,VLOOKUP(A61,Schlußkurse!A5:AU70,39,FALSE)/VLOOKUP(A61,Ergebnis_je_Aktie_verwässert!A3:AJ68,10,FALSE),""),"")</f>
        <v>19.695884558823526</v>
      </c>
      <c r="H61" s="81">
        <f>IF(VLOOKUP(A61,Ergebnis_je_Aktie_verwässert!A3:AJ68,11,FALSE)&gt;0,IF(VLOOKUP(A61,Schlußkurse!A5:AU70,40,FALSE)&gt;0,VLOOKUP(A61,Schlußkurse!A5:AU70,40,FALSE)/VLOOKUP(A61,Ergebnis_je_Aktie_verwässert!A3:AJ68,11,FALSE),""),"")</f>
        <v>13.406381628787877</v>
      </c>
      <c r="I61" s="81">
        <f>IF(VLOOKUP(A61,Ergebnis_je_Aktie_verwässert!A3:AJ68,12,FALSE)&gt;0,IF(VLOOKUP(A61,Schlußkurse!A5:AU70,41,FALSE)&gt;0,VLOOKUP(A61,Schlußkurse!A5:AU70,41,FALSE)/VLOOKUP(A61,Ergebnis_je_Aktie_verwässert!A3:AJ68,12,FALSE),""),"")</f>
        <v>19.297121052631578</v>
      </c>
      <c r="J61" s="81">
        <f>IF(VLOOKUP(A61,Ergebnis_je_Aktie_verwässert!A3:AJ68,13,FALSE)&gt;0,IF(VLOOKUP(A61,Schlußkurse!A5:AU70,42,FALSE)&gt;0,VLOOKUP(A61,Schlußkurse!A5:AU70,42,FALSE)/VLOOKUP(A61,Ergebnis_je_Aktie_verwässert!A3:AJ68,13,FALSE),""),"")</f>
        <v>12.18985</v>
      </c>
      <c r="K61" s="81">
        <f>IF(VLOOKUP(A61,Ergebnis_je_Aktie_verwässert!A3:AJ68,14,FALSE)&gt;0,IF(VLOOKUP(A61,Schlußkurse!A5:AU70,43,FALSE)&gt;0,VLOOKUP(A61,Schlußkurse!A5:AU70,43,FALSE)/VLOOKUP(A61,Ergebnis_je_Aktie_verwässert!A3:AJ68,14,FALSE),""),"")</f>
        <v>17.529753599999999</v>
      </c>
      <c r="L61" s="81">
        <f>IF(VLOOKUP(A61,Ergebnis_je_Aktie_verwässert!A3:AJ68,15,FALSE)&gt;0,IF(VLOOKUP(A61,Schlußkurse!A5:AU70,44,FALSE)&gt;0,VLOOKUP(A61,Schlußkurse!A5:AU70,44,FALSE)/VLOOKUP(A61,Ergebnis_je_Aktie_verwässert!A3:AJ68,15,FALSE),""),"")</f>
        <v>16.37469029850746</v>
      </c>
      <c r="M61" s="81">
        <f>IF(VLOOKUP(A61,Ergebnis_je_Aktie_verwässert!A3:AJ68,16,FALSE)&gt;0,IF(VLOOKUP(A61,Schlußkurse!A5:AU70,45,FALSE)&gt;0,VLOOKUP(A61,Schlußkurse!A5:AU70,45,FALSE)/VLOOKUP(A61,Ergebnis_je_Aktie_verwässert!A3:AJ68,16,FALSE),""),"")</f>
        <v>17.942603636363636</v>
      </c>
      <c r="N61" s="81" t="str">
        <f>IF(VLOOKUP(A61,Ergebnis_je_Aktie_verwässert!A3:AJ68,17,FALSE)&gt;0,IF(VLOOKUP(A61,Schlußkurse!A5:AU70,46,FALSE)&gt;0,VLOOKUP(A61,Schlußkurse!A5:AU70,46,FALSE)/VLOOKUP(A61,Ergebnis_je_Aktie_verwässert!A3:AJ68,17,FALSE),""),"")</f>
        <v/>
      </c>
      <c r="O61" s="82" t="str">
        <f>IF(VLOOKUP(A61,Ergebnis_je_Aktie_verwässert!A3:AJ68,18,FALSE)&gt;0,IF(VLOOKUP(A61,Schlußkurse!A5:AU70,47,FALSE)&gt;0,VLOOKUP(A61,Schlußkurse!A5:AU70,47,FALSE)/VLOOKUP(A61,Ergebnis_je_Aktie_verwässert!A3:AJ68,18,FALSE),""),"")</f>
        <v/>
      </c>
      <c r="P61" s="3">
        <f t="shared" si="1"/>
        <v>19.297121052631578</v>
      </c>
      <c r="Q61" s="3">
        <f ca="1">VLOOKUP(A61,Schlußkurse!A5:AU70,35,FALSE)/VLOOKUP(A61,Ergebnis_je_Aktie_verwässert!A3:AK68,23,FALSE)</f>
        <v>23.018799887912429</v>
      </c>
      <c r="R61" s="5">
        <f t="shared" ca="1" si="2"/>
        <v>0.19286186914256409</v>
      </c>
    </row>
    <row r="62" spans="1:18" x14ac:dyDescent="0.25">
      <c r="A62" t="s">
        <v>117</v>
      </c>
      <c r="B62" t="s">
        <v>118</v>
      </c>
      <c r="C62" s="80">
        <f>IF(VLOOKUP(A62,Ergebnis_je_Aktie_verwässert!A3:AJ68,6,FALSE)&gt;0,IF(VLOOKUP(A62,Schlußkurse!A5:AU70,35,FALSE)&gt;0,VLOOKUP(A62,Schlußkurse!A5:AU70,35,FALSE)/VLOOKUP(A62,Ergebnis_je_Aktie_verwässert!A3:AJ68,6,FALSE),""),"")</f>
        <v>19.070904645476773</v>
      </c>
      <c r="D62" s="81">
        <f>IF(VLOOKUP(A62,Ergebnis_je_Aktie_verwässert!A3:AJ68,7,FALSE)&gt;0,IF(VLOOKUP(A62,Schlußkurse!A5:AU70,36,FALSE)&gt;0,VLOOKUP(A62,Schlußkurse!A5:AU70,36,FALSE)/VLOOKUP(A62,Ergebnis_je_Aktie_verwässert!A3:AJ68,7,FALSE),""),"")</f>
        <v>21.282401091405184</v>
      </c>
      <c r="E62" s="81">
        <f>IF(VLOOKUP(A62,Ergebnis_je_Aktie_verwässert!A3:AJ68,8,FALSE)&gt;0,IF(VLOOKUP(A62,Schlußkurse!A5:AU70,37,FALSE)&gt;0,VLOOKUP(A62,Schlußkurse!A5:AU70,37,FALSE)/VLOOKUP(A62,Ergebnis_je_Aktie_verwässert!A3:AJ68,8,FALSE),""),"")</f>
        <v>17.46192893401015</v>
      </c>
      <c r="F62" s="81">
        <f>IF(VLOOKUP(A62,Ergebnis_je_Aktie_verwässert!A3:AJ68,9,FALSE)&gt;0,IF(VLOOKUP(A62,Schlußkurse!A5:AU70,38,FALSE)&gt;0,VLOOKUP(A62,Schlußkurse!A5:AU70,38,FALSE)/VLOOKUP(A62,Ergebnis_je_Aktie_verwässert!A3:AJ68,9,FALSE),""),"")</f>
        <v>28.271929824561404</v>
      </c>
      <c r="G62" s="81">
        <f>IF(VLOOKUP(A62,Ergebnis_je_Aktie_verwässert!A3:AJ68,10,FALSE)&gt;0,IF(VLOOKUP(A62,Schlußkurse!A5:AU70,39,FALSE)&gt;0,VLOOKUP(A62,Schlußkurse!A5:AU70,39,FALSE)/VLOOKUP(A62,Ergebnis_je_Aktie_verwässert!A3:AJ68,10,FALSE),""),"")</f>
        <v>12.027027027027026</v>
      </c>
      <c r="H62" s="81">
        <f>IF(VLOOKUP(A62,Ergebnis_je_Aktie_verwässert!A3:AJ68,11,FALSE)&gt;0,IF(VLOOKUP(A62,Schlußkurse!A5:AU70,40,FALSE)&gt;0,VLOOKUP(A62,Schlußkurse!A5:AU70,40,FALSE)/VLOOKUP(A62,Ergebnis_je_Aktie_verwässert!A3:AJ68,11,FALSE),""),"")</f>
        <v>15.994565217391303</v>
      </c>
      <c r="I62" s="81">
        <f>IF(VLOOKUP(A62,Ergebnis_je_Aktie_verwässert!A3:AJ68,12,FALSE)&gt;0,IF(VLOOKUP(A62,Schlußkurse!A5:AU70,41,FALSE)&gt;0,VLOOKUP(A62,Schlußkurse!A5:AU70,41,FALSE)/VLOOKUP(A62,Ergebnis_je_Aktie_verwässert!A3:AJ68,12,FALSE),""),"")</f>
        <v>12.038834951456311</v>
      </c>
      <c r="J62" s="81">
        <f>IF(VLOOKUP(A62,Ergebnis_je_Aktie_verwässert!A3:AJ68,13,FALSE)&gt;0,IF(VLOOKUP(A62,Schlußkurse!A5:AU70,42,FALSE)&gt;0,VLOOKUP(A62,Schlußkurse!A5:AU70,42,FALSE)/VLOOKUP(A62,Ergebnis_je_Aktie_verwässert!A3:AJ68,13,FALSE),""),"")</f>
        <v>41.234375</v>
      </c>
      <c r="K62" s="81">
        <f>IF(VLOOKUP(A62,Ergebnis_je_Aktie_verwässert!A3:AJ68,14,FALSE)&gt;0,IF(VLOOKUP(A62,Schlußkurse!A5:AU70,43,FALSE)&gt;0,VLOOKUP(A62,Schlußkurse!A5:AU70,43,FALSE)/VLOOKUP(A62,Ergebnis_je_Aktie_verwässert!A3:AJ68,14,FALSE),""),"")</f>
        <v>11.893518518518519</v>
      </c>
      <c r="L62" s="81">
        <f>IF(VLOOKUP(A62,Ergebnis_je_Aktie_verwässert!A3:AJ68,15,FALSE)&gt;0,IF(VLOOKUP(A62,Schlußkurse!A5:AU70,44,FALSE)&gt;0,VLOOKUP(A62,Schlußkurse!A5:AU70,44,FALSE)/VLOOKUP(A62,Ergebnis_je_Aktie_verwässert!A3:AJ68,15,FALSE),""),"")</f>
        <v>14.534090909090908</v>
      </c>
      <c r="M62" s="81">
        <f>IF(VLOOKUP(A62,Ergebnis_je_Aktie_verwässert!A3:AJ68,16,FALSE)&gt;0,IF(VLOOKUP(A62,Schlußkurse!A5:AU70,45,FALSE)&gt;0,VLOOKUP(A62,Schlußkurse!A5:AU70,45,FALSE)/VLOOKUP(A62,Ergebnis_je_Aktie_verwässert!A3:AJ68,16,FALSE),""),"")</f>
        <v>14.297872340425533</v>
      </c>
      <c r="N62" s="81">
        <f>IF(VLOOKUP(A62,Ergebnis_je_Aktie_verwässert!A3:AJ68,17,FALSE)&gt;0,IF(VLOOKUP(A62,Schlußkurse!A5:AU70,46,FALSE)&gt;0,VLOOKUP(A62,Schlußkurse!A5:AU70,46,FALSE)/VLOOKUP(A62,Ergebnis_je_Aktie_verwässert!A3:AJ68,17,FALSE),""),"")</f>
        <v>15.463157894736842</v>
      </c>
      <c r="O62" s="82">
        <f>IF(VLOOKUP(A62,Ergebnis_je_Aktie_verwässert!A3:AJ68,18,FALSE)&gt;0,IF(VLOOKUP(A62,Schlußkurse!A5:AU70,47,FALSE)&gt;0,VLOOKUP(A62,Schlußkurse!A5:AU70,47,FALSE)/VLOOKUP(A62,Ergebnis_je_Aktie_verwässert!A3:AJ68,18,FALSE),""),"")</f>
        <v>14.902439024390246</v>
      </c>
      <c r="P62" s="3">
        <f t="shared" si="1"/>
        <v>15.463157894736842</v>
      </c>
      <c r="Q62" s="3">
        <f ca="1">VLOOKUP(A62,Schlußkurse!A5:AU70,35,FALSE)/VLOOKUP(A62,Ergebnis_je_Aktie_verwässert!A3:AK68,23,FALSE)</f>
        <v>20.0811685409329</v>
      </c>
      <c r="R62" s="5">
        <f t="shared" ca="1" si="2"/>
        <v>0.29864602545175334</v>
      </c>
    </row>
    <row r="63" spans="1:18" x14ac:dyDescent="0.25">
      <c r="A63" t="s">
        <v>119</v>
      </c>
      <c r="B63" t="s">
        <v>120</v>
      </c>
      <c r="C63" s="80">
        <f>IF(VLOOKUP(A63,Ergebnis_je_Aktie_verwässert!A3:AJ68,6,FALSE)&gt;0,IF(VLOOKUP(A63,Schlußkurse!A5:AU70,35,FALSE)&gt;0,VLOOKUP(A63,Schlußkurse!A5:AU70,35,FALSE)/VLOOKUP(A63,Ergebnis_je_Aktie_verwässert!A3:AJ68,6,FALSE),""),"")</f>
        <v>21.159420289855071</v>
      </c>
      <c r="D63" s="81">
        <f>IF(VLOOKUP(A63,Ergebnis_je_Aktie_verwässert!A3:AJ68,7,FALSE)&gt;0,IF(VLOOKUP(A63,Schlußkurse!A5:AU70,36,FALSE)&gt;0,VLOOKUP(A63,Schlußkurse!A5:AU70,36,FALSE)/VLOOKUP(A63,Ergebnis_je_Aktie_verwässert!A3:AJ68,7,FALSE),""),"")</f>
        <v>22.723735408560312</v>
      </c>
      <c r="E63" s="81">
        <f>IF(VLOOKUP(A63,Ergebnis_je_Aktie_verwässert!A3:AJ68,8,FALSE)&gt;0,IF(VLOOKUP(A63,Schlußkurse!A5:AU70,37,FALSE)&gt;0,VLOOKUP(A63,Schlußkurse!A5:AU70,37,FALSE)/VLOOKUP(A63,Ergebnis_je_Aktie_verwässert!A3:AJ68,8,FALSE),""),"")</f>
        <v>21.618257261410786</v>
      </c>
      <c r="F63" s="81">
        <f>IF(VLOOKUP(A63,Ergebnis_je_Aktie_verwässert!A3:AJ68,9,FALSE)&gt;0,IF(VLOOKUP(A63,Schlußkurse!A5:AU70,38,FALSE)&gt;0,VLOOKUP(A63,Schlußkurse!A5:AU70,38,FALSE)/VLOOKUP(A63,Ergebnis_je_Aktie_verwässert!A3:AJ68,9,FALSE),""),"")</f>
        <v>10.563748299319727</v>
      </c>
      <c r="G63" s="81">
        <f>IF(VLOOKUP(A63,Ergebnis_je_Aktie_verwässert!A3:AJ68,10,FALSE)&gt;0,IF(VLOOKUP(A63,Schlußkurse!A5:AU70,39,FALSE)&gt;0,VLOOKUP(A63,Schlußkurse!A5:AU70,39,FALSE)/VLOOKUP(A63,Ergebnis_je_Aktie_verwässert!A3:AJ68,10,FALSE),""),"")</f>
        <v>15.775062761506275</v>
      </c>
      <c r="H63" s="81">
        <f>IF(VLOOKUP(A63,Ergebnis_je_Aktie_verwässert!A3:AJ68,11,FALSE)&gt;0,IF(VLOOKUP(A63,Schlußkurse!A5:AU70,40,FALSE)&gt;0,VLOOKUP(A63,Schlußkurse!A5:AU70,40,FALSE)/VLOOKUP(A63,Ergebnis_je_Aktie_verwässert!A3:AJ68,11,FALSE),""),"")</f>
        <v>12.363356</v>
      </c>
      <c r="I63" s="81">
        <f>IF(VLOOKUP(A63,Ergebnis_je_Aktie_verwässert!A3:AJ68,12,FALSE)&gt;0,IF(VLOOKUP(A63,Schlußkurse!A5:AU70,41,FALSE)&gt;0,VLOOKUP(A63,Schlußkurse!A5:AU70,41,FALSE)/VLOOKUP(A63,Ergebnis_je_Aktie_verwässert!A3:AJ68,12,FALSE),""),"")</f>
        <v>14.456396624472573</v>
      </c>
      <c r="J63" s="81">
        <f>IF(VLOOKUP(A63,Ergebnis_je_Aktie_verwässert!A3:AJ68,13,FALSE)&gt;0,IF(VLOOKUP(A63,Schlußkurse!A5:AU70,42,FALSE)&gt;0,VLOOKUP(A63,Schlußkurse!A5:AU70,42,FALSE)/VLOOKUP(A63,Ergebnis_je_Aktie_verwässert!A3:AJ68,13,FALSE),""),"")</f>
        <v>15.242542056074765</v>
      </c>
      <c r="K63" s="81">
        <f>IF(VLOOKUP(A63,Ergebnis_je_Aktie_verwässert!A3:AJ68,14,FALSE)&gt;0,IF(VLOOKUP(A63,Schlußkurse!A5:AU70,43,FALSE)&gt;0,VLOOKUP(A63,Schlußkurse!A5:AU70,43,FALSE)/VLOOKUP(A63,Ergebnis_je_Aktie_verwässert!A3:AJ68,14,FALSE),""),"")</f>
        <v>12.849835897435897</v>
      </c>
      <c r="L63" s="81">
        <f>IF(VLOOKUP(A63,Ergebnis_je_Aktie_verwässert!A3:AJ68,15,FALSE)&gt;0,IF(VLOOKUP(A63,Schlußkurse!A5:AU70,44,FALSE)&gt;0,VLOOKUP(A63,Schlußkurse!A5:AU70,44,FALSE)/VLOOKUP(A63,Ergebnis_je_Aktie_verwässert!A3:AJ68,15,FALSE),""),"")</f>
        <v>18.272883870967743</v>
      </c>
      <c r="M63" s="81">
        <f>IF(VLOOKUP(A63,Ergebnis_je_Aktie_verwässert!A3:AJ68,16,FALSE)&gt;0,IF(VLOOKUP(A63,Schlußkurse!A5:AU70,45,FALSE)&gt;0,VLOOKUP(A63,Schlußkurse!A5:AU70,45,FALSE)/VLOOKUP(A63,Ergebnis_je_Aktie_verwässert!A3:AJ68,16,FALSE),""),"")</f>
        <v>17.723117187500002</v>
      </c>
      <c r="N63" s="81" t="str">
        <f>IF(VLOOKUP(A63,Ergebnis_je_Aktie_verwässert!A3:AJ68,17,FALSE)&gt;0,IF(VLOOKUP(A63,Schlußkurse!A5:AU70,46,FALSE)&gt;0,VLOOKUP(A63,Schlußkurse!A5:AU70,46,FALSE)/VLOOKUP(A63,Ergebnis_je_Aktie_verwässert!A3:AJ68,17,FALSE),""),"")</f>
        <v/>
      </c>
      <c r="O63" s="82" t="str">
        <f>IF(VLOOKUP(A63,Ergebnis_je_Aktie_verwässert!A3:AJ68,18,FALSE)&gt;0,IF(VLOOKUP(A63,Schlußkurse!A5:AU70,47,FALSE)&gt;0,VLOOKUP(A63,Schlußkurse!A5:AU70,47,FALSE)/VLOOKUP(A63,Ergebnis_je_Aktie_verwässert!A3:AJ68,18,FALSE),""),"")</f>
        <v/>
      </c>
      <c r="P63" s="3">
        <f t="shared" si="1"/>
        <v>15.775062761506275</v>
      </c>
      <c r="Q63" s="3">
        <f ca="1">VLOOKUP(A63,Schlußkurse!A5:AU70,35,FALSE)/VLOOKUP(A63,Ergebnis_je_Aktie_verwässert!A3:AK68,23,FALSE)</f>
        <v>23.910472204530979</v>
      </c>
      <c r="R63" s="5">
        <f t="shared" ca="1" si="2"/>
        <v>0.51571328533008631</v>
      </c>
    </row>
    <row r="64" spans="1:18" x14ac:dyDescent="0.25">
      <c r="A64" t="s">
        <v>121</v>
      </c>
      <c r="B64" t="s">
        <v>122</v>
      </c>
      <c r="C64" s="80">
        <f>IF(VLOOKUP(A64,Ergebnis_je_Aktie_verwässert!A3:AJ68,6,FALSE)&gt;0,IF(VLOOKUP(A64,Schlußkurse!A5:AU70,35,FALSE)&gt;0,VLOOKUP(A64,Schlußkurse!A5:AU70,35,FALSE)/VLOOKUP(A64,Ergebnis_je_Aktie_verwässert!A3:AJ68,6,FALSE),""),"")</f>
        <v>15.910216718266254</v>
      </c>
      <c r="D64" s="81">
        <f>IF(VLOOKUP(A64,Ergebnis_je_Aktie_verwässert!A3:AJ68,7,FALSE)&gt;0,IF(VLOOKUP(A64,Schlußkurse!A5:AU70,36,FALSE)&gt;0,VLOOKUP(A64,Schlußkurse!A5:AU70,36,FALSE)/VLOOKUP(A64,Ergebnis_je_Aktie_verwässert!A3:AJ68,7,FALSE),""),"")</f>
        <v>17.016556291390728</v>
      </c>
      <c r="E64" s="81">
        <f>IF(VLOOKUP(A64,Ergebnis_je_Aktie_verwässert!A3:AJ68,8,FALSE)&gt;0,IF(VLOOKUP(A64,Schlußkurse!A5:AU70,37,FALSE)&gt;0,VLOOKUP(A64,Schlußkurse!A5:AU70,37,FALSE)/VLOOKUP(A64,Ergebnis_je_Aktie_verwässert!A3:AJ68,8,FALSE),""),"")</f>
        <v>17.596428571428575</v>
      </c>
      <c r="F64" s="81">
        <f>IF(VLOOKUP(A64,Ergebnis_je_Aktie_verwässert!A3:AJ68,9,FALSE)&gt;0,IF(VLOOKUP(A64,Schlußkurse!A5:AU70,38,FALSE)&gt;0,VLOOKUP(A64,Schlußkurse!A5:AU70,38,FALSE)/VLOOKUP(A64,Ergebnis_je_Aktie_verwässert!A3:AJ68,9,FALSE),""),"")</f>
        <v>14.99609375</v>
      </c>
      <c r="G64" s="81">
        <f>IF(VLOOKUP(A64,Ergebnis_je_Aktie_verwässert!A3:AJ68,10,FALSE)&gt;0,IF(VLOOKUP(A64,Schlußkurse!A5:AU70,39,FALSE)&gt;0,VLOOKUP(A64,Schlußkurse!A5:AU70,39,FALSE)/VLOOKUP(A64,Ergebnis_je_Aktie_verwässert!A3:AJ68,10,FALSE),""),"")</f>
        <v>13.911504424778762</v>
      </c>
      <c r="H64" s="81">
        <f>IF(VLOOKUP(A64,Ergebnis_je_Aktie_verwässert!A3:AJ68,11,FALSE)&gt;0,IF(VLOOKUP(A64,Schlußkurse!A5:AU70,40,FALSE)&gt;0,VLOOKUP(A64,Schlußkurse!A5:AU70,40,FALSE)/VLOOKUP(A64,Ergebnis_je_Aktie_verwässert!A3:AJ68,11,FALSE),""),"")</f>
        <v>14.393203883495145</v>
      </c>
      <c r="I64" s="81">
        <f>IF(VLOOKUP(A64,Ergebnis_je_Aktie_verwässert!A3:AJ68,12,FALSE)&gt;0,IF(VLOOKUP(A64,Schlußkurse!A5:AU70,41,FALSE)&gt;0,VLOOKUP(A64,Schlußkurse!A5:AU70,41,FALSE)/VLOOKUP(A64,Ergebnis_je_Aktie_verwässert!A3:AJ68,12,FALSE),""),"")</f>
        <v>15.012195121951221</v>
      </c>
      <c r="J64" s="81">
        <f>IF(VLOOKUP(A64,Ergebnis_je_Aktie_verwässert!A3:AJ68,13,FALSE)&gt;0,IF(VLOOKUP(A64,Schlußkurse!A5:AU70,42,FALSE)&gt;0,VLOOKUP(A64,Schlußkurse!A5:AU70,42,FALSE)/VLOOKUP(A64,Ergebnis_je_Aktie_verwässert!A3:AJ68,13,FALSE),""),"")</f>
        <v>10.497326203208555</v>
      </c>
      <c r="K64" s="81">
        <f>IF(VLOOKUP(A64,Ergebnis_je_Aktie_verwässert!A3:AJ68,14,FALSE)&gt;0,IF(VLOOKUP(A64,Schlußkurse!A5:AU70,43,FALSE)&gt;0,VLOOKUP(A64,Schlußkurse!A5:AU70,43,FALSE)/VLOOKUP(A64,Ergebnis_je_Aktie_verwässert!A3:AJ68,14,FALSE),""),"")</f>
        <v>6.0545454545454547</v>
      </c>
      <c r="L64" s="81">
        <f>IF(VLOOKUP(A64,Ergebnis_je_Aktie_verwässert!A3:AJ68,15,FALSE)&gt;0,IF(VLOOKUP(A64,Schlußkurse!A5:AU70,44,FALSE)&gt;0,VLOOKUP(A64,Schlußkurse!A5:AU70,44,FALSE)/VLOOKUP(A64,Ergebnis_je_Aktie_verwässert!A3:AJ68,15,FALSE),""),"")</f>
        <v>16.2</v>
      </c>
      <c r="M64" s="81">
        <f>IF(VLOOKUP(A64,Ergebnis_je_Aktie_verwässert!A3:AJ68,16,FALSE)&gt;0,IF(VLOOKUP(A64,Schlußkurse!A5:AU70,45,FALSE)&gt;0,VLOOKUP(A64,Schlußkurse!A5:AU70,45,FALSE)/VLOOKUP(A64,Ergebnis_je_Aktie_verwässert!A3:AJ68,16,FALSE),""),"")</f>
        <v>15.202027027027029</v>
      </c>
      <c r="N64" s="81">
        <f>IF(VLOOKUP(A64,Ergebnis_je_Aktie_verwässert!A3:AJ68,17,FALSE)&gt;0,IF(VLOOKUP(A64,Schlußkurse!A5:AU70,46,FALSE)&gt;0,VLOOKUP(A64,Schlußkurse!A5:AU70,46,FALSE)/VLOOKUP(A64,Ergebnis_je_Aktie_verwässert!A3:AJ68,17,FALSE),""),"")</f>
        <v>11.957615894039735</v>
      </c>
      <c r="O64" s="82">
        <f>IF(VLOOKUP(A64,Ergebnis_je_Aktie_verwässert!A3:AJ68,18,FALSE)&gt;0,IF(VLOOKUP(A64,Schlußkurse!A5:AU70,47,FALSE)&gt;0,VLOOKUP(A64,Schlußkurse!A5:AU70,47,FALSE)/VLOOKUP(A64,Ergebnis_je_Aktie_verwässert!A3:AJ68,18,FALSE),""),"")</f>
        <v>13.627049180327869</v>
      </c>
      <c r="P64" s="3">
        <f t="shared" si="1"/>
        <v>14.99609375</v>
      </c>
      <c r="Q64" s="3">
        <f ca="1">VLOOKUP(A64,Schlußkurse!A5:AU70,35,FALSE)/VLOOKUP(A64,Ergebnis_je_Aktie_verwässert!A3:AK68,23,FALSE)</f>
        <v>18.065738335644397</v>
      </c>
      <c r="R64" s="5">
        <f t="shared" ca="1" si="2"/>
        <v>0.20469627869887108</v>
      </c>
    </row>
    <row r="65" spans="1:18" x14ac:dyDescent="0.25">
      <c r="A65" t="s">
        <v>123</v>
      </c>
      <c r="B65" t="s">
        <v>124</v>
      </c>
      <c r="C65" s="80">
        <f>IF(VLOOKUP(A65,Ergebnis_je_Aktie_verwässert!A3:AJ68,6,FALSE)&gt;0,IF(VLOOKUP(A65,Schlußkurse!A5:AU70,35,FALSE)&gt;0,VLOOKUP(A65,Schlußkurse!A5:AU70,35,FALSE)/VLOOKUP(A65,Ergebnis_je_Aktie_verwässert!A3:AJ68,6,FALSE),""),"")</f>
        <v>7.9913294797687859</v>
      </c>
      <c r="D65" s="81">
        <f>IF(VLOOKUP(A65,Ergebnis_je_Aktie_verwässert!A3:AJ68,7,FALSE)&gt;0,IF(VLOOKUP(A65,Schlußkurse!A5:AU70,36,FALSE)&gt;0,VLOOKUP(A65,Schlußkurse!A5:AU70,36,FALSE)/VLOOKUP(A65,Ergebnis_je_Aktie_verwässert!A3:AJ68,7,FALSE),""),"")</f>
        <v>9.9819494584837543</v>
      </c>
      <c r="E65" s="81">
        <f>IF(VLOOKUP(A65,Ergebnis_je_Aktie_verwässert!A3:AJ68,8,FALSE)&gt;0,IF(VLOOKUP(A65,Schlußkurse!A5:AU70,37,FALSE)&gt;0,VLOOKUP(A65,Schlußkurse!A5:AU70,37,FALSE)/VLOOKUP(A65,Ergebnis_je_Aktie_verwässert!A3:AJ68,8,FALSE),""),"")</f>
        <v>11.338056680161943</v>
      </c>
      <c r="F65" s="81">
        <f>IF(VLOOKUP(A65,Ergebnis_je_Aktie_verwässert!A3:AJ68,9,FALSE)&gt;0,IF(VLOOKUP(A65,Schlußkurse!A5:AU70,38,FALSE)&gt;0,VLOOKUP(A65,Schlußkurse!A5:AU70,38,FALSE)/VLOOKUP(A65,Ergebnis_je_Aktie_verwässert!A3:AJ68,9,FALSE),""),"")</f>
        <v>9.8173076923076916</v>
      </c>
      <c r="G65" s="81">
        <f>IF(VLOOKUP(A65,Ergebnis_je_Aktie_verwässert!A3:AJ68,10,FALSE)&gt;0,IF(VLOOKUP(A65,Schlußkurse!A5:AU70,39,FALSE)&gt;0,VLOOKUP(A65,Schlußkurse!A5:AU70,39,FALSE)/VLOOKUP(A65,Ergebnis_je_Aktie_verwässert!A3:AJ68,10,FALSE),""),"")</f>
        <v>5.7585644371941269</v>
      </c>
      <c r="H65" s="81">
        <f>IF(VLOOKUP(A65,Ergebnis_je_Aktie_verwässert!A3:AJ68,11,FALSE)&gt;0,IF(VLOOKUP(A65,Schlußkurse!A5:AU70,40,FALSE)&gt;0,VLOOKUP(A65,Schlußkurse!A5:AU70,40,FALSE)/VLOOKUP(A65,Ergebnis_je_Aktie_verwässert!A3:AJ68,11,FALSE),""),"")</f>
        <v>11.372549019607842</v>
      </c>
      <c r="I65" s="81">
        <f>IF(VLOOKUP(A65,Ergebnis_je_Aktie_verwässert!A3:AJ68,12,FALSE)&gt;0,IF(VLOOKUP(A65,Schlußkurse!A5:AU70,41,FALSE)&gt;0,VLOOKUP(A65,Schlußkurse!A5:AU70,41,FALSE)/VLOOKUP(A65,Ergebnis_je_Aktie_verwässert!A3:AJ68,12,FALSE),""),"")</f>
        <v>6.1038135593220337</v>
      </c>
      <c r="J65" s="81">
        <f>IF(VLOOKUP(A65,Ergebnis_je_Aktie_verwässert!A3:AJ68,13,FALSE)&gt;0,IF(VLOOKUP(A65,Schlußkurse!A5:AU70,42,FALSE)&gt;0,VLOOKUP(A65,Schlußkurse!A5:AU70,42,FALSE)/VLOOKUP(A65,Ergebnis_je_Aktie_verwässert!A3:AJ68,13,FALSE),""),"")</f>
        <v>2.5844827586206898</v>
      </c>
      <c r="K65" s="81" t="str">
        <f>IF(VLOOKUP(A65,Ergebnis_je_Aktie_verwässert!A3:AJ68,14,FALSE)&gt;0,IF(VLOOKUP(A65,Schlußkurse!A5:AU70,43,FALSE)&gt;0,VLOOKUP(A65,Schlußkurse!A5:AU70,43,FALSE)/VLOOKUP(A65,Ergebnis_je_Aktie_verwässert!A3:AJ68,14,FALSE),""),"")</f>
        <v/>
      </c>
      <c r="L65" s="81" t="str">
        <f>IF(VLOOKUP(A65,Ergebnis_je_Aktie_verwässert!A3:AJ68,15,FALSE)&gt;0,IF(VLOOKUP(A65,Schlußkurse!A5:AU70,44,FALSE)&gt;0,VLOOKUP(A65,Schlußkurse!A5:AU70,44,FALSE)/VLOOKUP(A65,Ergebnis_je_Aktie_verwässert!A3:AJ68,15,FALSE),""),"")</f>
        <v/>
      </c>
      <c r="M65" s="81">
        <f>IF(VLOOKUP(A65,Ergebnis_je_Aktie_verwässert!A3:AJ68,16,FALSE)&gt;0,IF(VLOOKUP(A65,Schlußkurse!A5:AU70,45,FALSE)&gt;0,VLOOKUP(A65,Schlußkurse!A5:AU70,45,FALSE)/VLOOKUP(A65,Ergebnis_je_Aktie_verwässert!A3:AJ68,16,FALSE),""),"")</f>
        <v>30.01255230125523</v>
      </c>
      <c r="N65" s="81">
        <f>IF(VLOOKUP(A65,Ergebnis_je_Aktie_verwässert!A3:AJ68,17,FALSE)&gt;0,IF(VLOOKUP(A65,Schlußkurse!A5:AU70,46,FALSE)&gt;0,VLOOKUP(A65,Schlußkurse!A5:AU70,46,FALSE)/VLOOKUP(A65,Ergebnis_je_Aktie_verwässert!A3:AJ68,17,FALSE),""),"")</f>
        <v>12.729477611940297</v>
      </c>
      <c r="O65" s="82">
        <f>IF(VLOOKUP(A65,Ergebnis_je_Aktie_verwässert!A3:AJ68,18,FALSE)&gt;0,IF(VLOOKUP(A65,Schlußkurse!A5:AU70,47,FALSE)&gt;0,VLOOKUP(A65,Schlußkurse!A5:AU70,47,FALSE)/VLOOKUP(A65,Ergebnis_je_Aktie_verwässert!A3:AJ68,18,FALSE),""),"")</f>
        <v>16.458646616541355</v>
      </c>
      <c r="P65" s="3">
        <f t="shared" si="1"/>
        <v>9.9819494584837543</v>
      </c>
      <c r="Q65" s="3">
        <f ca="1">VLOOKUP(A65,Schlußkurse!A5:AU70,35,FALSE)/VLOOKUP(A65,Ergebnis_je_Aktie_verwässert!A3:AK68,23,FALSE)</f>
        <v>10.925255186038852</v>
      </c>
      <c r="R65" s="5">
        <f t="shared" ca="1" si="2"/>
        <v>9.4501152453078552E-2</v>
      </c>
    </row>
    <row r="66" spans="1:18" x14ac:dyDescent="0.25">
      <c r="A66" t="s">
        <v>125</v>
      </c>
      <c r="B66" t="s">
        <v>126</v>
      </c>
      <c r="C66" s="80">
        <f>IF(VLOOKUP(A66,Ergebnis_je_Aktie_verwässert!A3:AJ68,6,FALSE)&gt;0,IF(VLOOKUP(A66,Schlußkurse!A5:AU70,35,FALSE)&gt;0,VLOOKUP(A66,Schlußkurse!A5:AU70,35,FALSE)/VLOOKUP(A66,Ergebnis_je_Aktie_verwässert!A3:AJ68,6,FALSE),""),"")</f>
        <v>14.089655172413792</v>
      </c>
      <c r="D66" s="81">
        <f>IF(VLOOKUP(A66,Ergebnis_je_Aktie_verwässert!A3:AJ68,7,FALSE)&gt;0,IF(VLOOKUP(A66,Schlußkurse!A5:AU70,36,FALSE)&gt;0,VLOOKUP(A66,Schlußkurse!A5:AU70,36,FALSE)/VLOOKUP(A66,Ergebnis_je_Aktie_verwässert!A3:AJ68,7,FALSE),""),"")</f>
        <v>15.919480519480519</v>
      </c>
      <c r="E66" s="81">
        <f>IF(VLOOKUP(A66,Ergebnis_je_Aktie_verwässert!A3:AJ68,8,FALSE)&gt;0,IF(VLOOKUP(A66,Schlußkurse!A5:AU70,37,FALSE)&gt;0,VLOOKUP(A66,Schlußkurse!A5:AU70,37,FALSE)/VLOOKUP(A66,Ergebnis_je_Aktie_verwässert!A3:AJ68,8,FALSE),""),"")</f>
        <v>17.789054726368157</v>
      </c>
      <c r="F66" s="81">
        <f>IF(VLOOKUP(A66,Ergebnis_je_Aktie_verwässert!A3:AJ68,9,FALSE)&gt;0,IF(VLOOKUP(A66,Schlußkurse!A5:AU70,38,FALSE)&gt;0,VLOOKUP(A66,Schlußkurse!A5:AU70,38,FALSE)/VLOOKUP(A66,Ergebnis_je_Aktie_verwässert!A3:AJ68,9,FALSE),""),"")</f>
        <v>16.440000000000001</v>
      </c>
      <c r="G66" s="81">
        <f>IF(VLOOKUP(A66,Ergebnis_je_Aktie_verwässert!A3:AJ68,10,FALSE)&gt;0,IF(VLOOKUP(A66,Schlußkurse!A5:AU70,39,FALSE)&gt;0,VLOOKUP(A66,Schlußkurse!A5:AU70,39,FALSE)/VLOOKUP(A66,Ergebnis_je_Aktie_verwässert!A3:AJ68,10,FALSE),""),"")</f>
        <v>12.25311203319502</v>
      </c>
      <c r="H66" s="81">
        <f>IF(VLOOKUP(A66,Ergebnis_je_Aktie_verwässert!A3:AJ68,11,FALSE)&gt;0,IF(VLOOKUP(A66,Schlußkurse!A5:AU70,40,FALSE)&gt;0,VLOOKUP(A66,Schlußkurse!A5:AU70,40,FALSE)/VLOOKUP(A66,Ergebnis_je_Aktie_verwässert!A3:AJ68,11,FALSE),""),"")</f>
        <v>12.925308194343728</v>
      </c>
      <c r="I66" s="81">
        <f>IF(VLOOKUP(A66,Ergebnis_je_Aktie_verwässert!A3:AJ68,12,FALSE)&gt;0,IF(VLOOKUP(A66,Schlußkurse!A5:AU70,41,FALSE)&gt;0,VLOOKUP(A66,Schlußkurse!A5:AU70,41,FALSE)/VLOOKUP(A66,Ergebnis_je_Aktie_verwässert!A3:AJ68,12,FALSE),""),"")</f>
        <v>15.406628940986259</v>
      </c>
      <c r="J66" s="81">
        <f>IF(VLOOKUP(A66,Ergebnis_je_Aktie_verwässert!A3:AJ68,13,FALSE)&gt;0,IF(VLOOKUP(A66,Schlußkurse!A5:AU70,42,FALSE)&gt;0,VLOOKUP(A66,Schlußkurse!A5:AU70,42,FALSE)/VLOOKUP(A66,Ergebnis_je_Aktie_verwässert!A3:AJ68,13,FALSE),""),"")</f>
        <v>22.009478672985779</v>
      </c>
      <c r="K66" s="81">
        <f>IF(VLOOKUP(A66,Ergebnis_je_Aktie_verwässert!A3:AJ68,14,FALSE)&gt;0,IF(VLOOKUP(A66,Schlußkurse!A5:AU70,43,FALSE)&gt;0,VLOOKUP(A66,Schlußkurse!A5:AU70,43,FALSE)/VLOOKUP(A66,Ergebnis_je_Aktie_verwässert!A3:AJ68,14,FALSE),""),"")</f>
        <v>21.955810147299509</v>
      </c>
      <c r="L66" s="81">
        <f>IF(VLOOKUP(A66,Ergebnis_je_Aktie_verwässert!A3:AJ68,15,FALSE)&gt;0,IF(VLOOKUP(A66,Schlußkurse!A5:AU70,44,FALSE)&gt;0,VLOOKUP(A66,Schlußkurse!A5:AU70,44,FALSE)/VLOOKUP(A66,Ergebnis_je_Aktie_verwässert!A3:AJ68,15,FALSE),""),"")</f>
        <v>37.508650519031143</v>
      </c>
      <c r="M66" s="81">
        <f>IF(VLOOKUP(A66,Ergebnis_je_Aktie_verwässert!A3:AJ68,16,FALSE)&gt;0,IF(VLOOKUP(A66,Schlußkurse!A5:AU70,45,FALSE)&gt;0,VLOOKUP(A66,Schlußkurse!A5:AU70,45,FALSE)/VLOOKUP(A66,Ergebnis_je_Aktie_verwässert!A3:AJ68,16,FALSE),""),"")</f>
        <v>24.493569131832796</v>
      </c>
      <c r="N66" s="81">
        <f>IF(VLOOKUP(A66,Ergebnis_je_Aktie_verwässert!A3:AJ68,17,FALSE)&gt;0,IF(VLOOKUP(A66,Schlußkurse!A5:AU70,46,FALSE)&gt;0,VLOOKUP(A66,Schlußkurse!A5:AU70,46,FALSE)/VLOOKUP(A66,Ergebnis_je_Aktie_verwässert!A3:AJ68,17,FALSE),""),"")</f>
        <v>20.413988657844989</v>
      </c>
      <c r="O66" s="82">
        <f>IF(VLOOKUP(A66,Ergebnis_je_Aktie_verwässert!A3:AJ68,18,FALSE)&gt;0,IF(VLOOKUP(A66,Schlußkurse!A5:AU70,47,FALSE)&gt;0,VLOOKUP(A66,Schlußkurse!A5:AU70,47,FALSE)/VLOOKUP(A66,Ergebnis_je_Aktie_verwässert!A3:AJ68,18,FALSE),""),"")</f>
        <v>19.315000000000001</v>
      </c>
      <c r="P66" s="3">
        <f t="shared" si="1"/>
        <v>17.789054726368157</v>
      </c>
      <c r="Q66" s="3">
        <f ca="1">VLOOKUP(A66,Schlußkurse!A5:AU70,35,FALSE)/VLOOKUP(A66,Ergebnis_je_Aktie_verwässert!A3:AK68,23,FALSE)</f>
        <v>17.758068410462776</v>
      </c>
      <c r="R66" s="5">
        <f t="shared" ca="1" si="2"/>
        <v>-1.7418753487474792E-3</v>
      </c>
    </row>
    <row r="67" spans="1:18" x14ac:dyDescent="0.25">
      <c r="A67" t="s">
        <v>127</v>
      </c>
      <c r="B67" t="s">
        <v>128</v>
      </c>
      <c r="C67" s="80">
        <f>IF(VLOOKUP(A67,Ergebnis_je_Aktie_verwässert!A3:AJ68,6,FALSE)&gt;0,IF(VLOOKUP(A67,Schlußkurse!A5:AU70,35,FALSE)&gt;0,VLOOKUP(A67,Schlußkurse!A5:AU70,35,FALSE)/VLOOKUP(A67,Ergebnis_je_Aktie_verwässert!A3:AJ68,6,FALSE),""),"")</f>
        <v>16.195652173913043</v>
      </c>
      <c r="D67" s="81">
        <f>IF(VLOOKUP(A67,Ergebnis_je_Aktie_verwässert!A3:AJ68,7,FALSE)&gt;0,IF(VLOOKUP(A67,Schlußkurse!A5:AU70,36,FALSE)&gt;0,VLOOKUP(A67,Schlußkurse!A5:AU70,36,FALSE)/VLOOKUP(A67,Ergebnis_je_Aktie_verwässert!A3:AJ68,7,FALSE),""),"")</f>
        <v>17.268211920529801</v>
      </c>
      <c r="E67" s="81">
        <f>IF(VLOOKUP(A67,Ergebnis_je_Aktie_verwässert!A3:AJ68,8,FALSE)&gt;0,IF(VLOOKUP(A67,Schlußkurse!A5:AU70,37,FALSE)&gt;0,VLOOKUP(A67,Schlußkurse!A5:AU70,37,FALSE)/VLOOKUP(A67,Ergebnis_je_Aktie_verwässert!A3:AJ68,8,FALSE),""),"")</f>
        <v>20.269372693726936</v>
      </c>
      <c r="F67" s="81">
        <f>IF(VLOOKUP(A67,Ergebnis_je_Aktie_verwässert!A3:AJ68,9,FALSE)&gt;0,IF(VLOOKUP(A67,Schlußkurse!A5:AU70,38,FALSE)&gt;0,VLOOKUP(A67,Schlußkurse!A5:AU70,38,FALSE)/VLOOKUP(A67,Ergebnis_je_Aktie_verwässert!A3:AJ68,9,FALSE),""),"")</f>
        <v>16.636042402826853</v>
      </c>
      <c r="G67" s="81">
        <f>IF(VLOOKUP(A67,Ergebnis_je_Aktie_verwässert!A3:AJ68,10,FALSE)&gt;0,IF(VLOOKUP(A67,Schlußkurse!A5:AU70,39,FALSE)&gt;0,VLOOKUP(A67,Schlußkurse!A5:AU70,39,FALSE)/VLOOKUP(A67,Ergebnis_je_Aktie_verwässert!A3:AJ68,10,FALSE),""),"")</f>
        <v>13.736559139784948</v>
      </c>
      <c r="H67" s="81">
        <f>IF(VLOOKUP(A67,Ergebnis_je_Aktie_verwässert!A3:AJ68,11,FALSE)&gt;0,IF(VLOOKUP(A67,Schlußkurse!A5:AU70,40,FALSE)&gt;0,VLOOKUP(A67,Schlußkurse!A5:AU70,40,FALSE)/VLOOKUP(A67,Ergebnis_je_Aktie_verwässert!A3:AJ68,11,FALSE),""),"")</f>
        <v>16.923404255319149</v>
      </c>
      <c r="I67" s="81">
        <f>IF(VLOOKUP(A67,Ergebnis_je_Aktie_verwässert!A3:AJ68,12,FALSE)&gt;0,IF(VLOOKUP(A67,Schlußkurse!A5:AU70,41,FALSE)&gt;0,VLOOKUP(A67,Schlußkurse!A5:AU70,41,FALSE)/VLOOKUP(A67,Ergebnis_je_Aktie_verwässert!A3:AJ68,12,FALSE),""),"")</f>
        <v>13.19074074074074</v>
      </c>
      <c r="J67" s="81">
        <f>IF(VLOOKUP(A67,Ergebnis_je_Aktie_verwässert!A3:AJ68,13,FALSE)&gt;0,IF(VLOOKUP(A67,Schlußkurse!A5:AU70,42,FALSE)&gt;0,VLOOKUP(A67,Schlußkurse!A5:AU70,42,FALSE)/VLOOKUP(A67,Ergebnis_je_Aktie_verwässert!A3:AJ68,13,FALSE),""),"")</f>
        <v>11.424107142857142</v>
      </c>
      <c r="K67" s="81">
        <f>IF(VLOOKUP(A67,Ergebnis_je_Aktie_verwässert!A3:AJ68,14,FALSE)&gt;0,IF(VLOOKUP(A67,Schlußkurse!A5:AU70,43,FALSE)&gt;0,VLOOKUP(A67,Schlußkurse!A5:AU70,43,FALSE)/VLOOKUP(A67,Ergebnis_je_Aktie_verwässert!A3:AJ68,14,FALSE),""),"")</f>
        <v>16.631578947368421</v>
      </c>
      <c r="L67" s="81">
        <f>IF(VLOOKUP(A67,Ergebnis_je_Aktie_verwässert!A3:AJ68,15,FALSE)&gt;0,IF(VLOOKUP(A67,Schlußkurse!A5:AU70,44,FALSE)&gt;0,VLOOKUP(A67,Schlußkurse!A5:AU70,44,FALSE)/VLOOKUP(A67,Ergebnis_je_Aktie_verwässert!A3:AJ68,15,FALSE),""),"")</f>
        <v>16.451612903225808</v>
      </c>
      <c r="M67" s="81">
        <f>IF(VLOOKUP(A67,Ergebnis_je_Aktie_verwässert!A3:AJ68,16,FALSE)&gt;0,IF(VLOOKUP(A67,Schlußkurse!A5:AU70,45,FALSE)&gt;0,VLOOKUP(A67,Schlußkurse!A5:AU70,45,FALSE)/VLOOKUP(A67,Ergebnis_je_Aktie_verwässert!A3:AJ68,16,FALSE),""),"")</f>
        <v>16.317610062893081</v>
      </c>
      <c r="N67" s="81">
        <f>IF(VLOOKUP(A67,Ergebnis_je_Aktie_verwässert!A3:AJ68,17,FALSE)&gt;0,IF(VLOOKUP(A67,Schlußkurse!A5:AU70,46,FALSE)&gt;0,VLOOKUP(A67,Schlußkurse!A5:AU70,46,FALSE)/VLOOKUP(A67,Ergebnis_je_Aktie_verwässert!A3:AJ68,17,FALSE),""),"")</f>
        <v>17.068965517241381</v>
      </c>
      <c r="O67" s="82">
        <f>IF(VLOOKUP(A67,Ergebnis_je_Aktie_verwässert!A3:AJ68,18,FALSE)&gt;0,IF(VLOOKUP(A67,Schlußkurse!A5:AU70,47,FALSE)&gt;0,VLOOKUP(A67,Schlußkurse!A5:AU70,47,FALSE)/VLOOKUP(A67,Ergebnis_je_Aktie_verwässert!A3:AJ68,18,FALSE),""),"")</f>
        <v>14.9512987012987</v>
      </c>
      <c r="P67" s="3">
        <f t="shared" si="1"/>
        <v>16.451612903225808</v>
      </c>
      <c r="Q67" s="3">
        <f ca="1">VLOOKUP(A67,Schlußkurse!A5:AU70,35,FALSE)/VLOOKUP(A67,Ergebnis_je_Aktie_verwässert!A3:AK68,23,FALSE)</f>
        <v>17.655854720547712</v>
      </c>
      <c r="R67" s="5">
        <f t="shared" ca="1" si="2"/>
        <v>7.3199012425449128E-2</v>
      </c>
    </row>
    <row r="68" spans="1:18" x14ac:dyDescent="0.25">
      <c r="A68" t="s">
        <v>129</v>
      </c>
      <c r="B68" t="s">
        <v>130</v>
      </c>
      <c r="C68" s="80">
        <f>IF(VLOOKUP(A68,Ergebnis_je_Aktie_verwässert!A3:AJ68,6,FALSE)&gt;0,IF(VLOOKUP(A68,Schlußkurse!A5:AU70,35,FALSE)&gt;0,VLOOKUP(A68,Schlußkurse!A5:AU70,35,FALSE)/VLOOKUP(A68,Ergebnis_je_Aktie_verwässert!A3:AJ68,6,FALSE),""),"")</f>
        <v>16.004538577912253</v>
      </c>
      <c r="D68" s="81">
        <f>IF(VLOOKUP(A68,Ergebnis_je_Aktie_verwässert!A3:AJ68,7,FALSE)&gt;0,IF(VLOOKUP(A68,Schlußkurse!A5:AU70,36,FALSE)&gt;0,VLOOKUP(A68,Schlußkurse!A5:AU70,36,FALSE)/VLOOKUP(A68,Ergebnis_je_Aktie_verwässert!A3:AJ68,7,FALSE),""),"")</f>
        <v>17.118122977346282</v>
      </c>
      <c r="E68" s="81">
        <f>IF(VLOOKUP(A68,Ergebnis_je_Aktie_verwässert!A3:AJ68,8,FALSE)&gt;0,IF(VLOOKUP(A68,Schlußkurse!A5:AU70,37,FALSE)&gt;0,VLOOKUP(A68,Schlußkurse!A5:AU70,37,FALSE)/VLOOKUP(A68,Ergebnis_je_Aktie_verwässert!A3:AJ68,8,FALSE),""),"")</f>
        <v>20.270175438596493</v>
      </c>
      <c r="F68" s="81">
        <f>IF(VLOOKUP(A68,Ergebnis_je_Aktie_verwässert!A3:AJ68,9,FALSE)&gt;0,IF(VLOOKUP(A68,Schlußkurse!A5:AU70,38,FALSE)&gt;0,VLOOKUP(A68,Schlußkurse!A5:AU70,38,FALSE)/VLOOKUP(A68,Ergebnis_je_Aktie_verwässert!A3:AJ68,9,FALSE),""),"")</f>
        <v>18.958257713248639</v>
      </c>
      <c r="G68" s="81">
        <f>IF(VLOOKUP(A68,Ergebnis_je_Aktie_verwässert!A3:AJ68,10,FALSE)&gt;0,IF(VLOOKUP(A68,Schlußkurse!A5:AU70,39,FALSE)&gt;0,VLOOKUP(A68,Schlußkurse!A5:AU70,39,FALSE)/VLOOKUP(A68,Ergebnis_je_Aktie_verwässert!A3:AJ68,10,FALSE),""),"")</f>
        <v>15.267631103074141</v>
      </c>
      <c r="H68" s="81">
        <f>IF(VLOOKUP(A68,Ergebnis_je_Aktie_verwässert!A3:AJ68,11,FALSE)&gt;0,IF(VLOOKUP(A68,Schlußkurse!A5:AU70,40,FALSE)&gt;0,VLOOKUP(A68,Schlußkurse!A5:AU70,40,FALSE)/VLOOKUP(A68,Ergebnis_je_Aktie_verwässert!A3:AJ68,11,FALSE),""),"")</f>
        <v>16.642533936651585</v>
      </c>
      <c r="I68" s="81">
        <f>IF(VLOOKUP(A68,Ergebnis_je_Aktie_verwässert!A3:AJ68,12,FALSE)&gt;0,IF(VLOOKUP(A68,Schlußkurse!A5:AU70,41,FALSE)&gt;0,VLOOKUP(A68,Schlußkurse!A5:AU70,41,FALSE)/VLOOKUP(A68,Ergebnis_je_Aktie_verwässert!A3:AJ68,12,FALSE),""),"")</f>
        <v>15.799498746867167</v>
      </c>
      <c r="J68" s="81">
        <f>IF(VLOOKUP(A68,Ergebnis_je_Aktie_verwässert!A3:AJ68,13,FALSE)&gt;0,IF(VLOOKUP(A68,Schlußkurse!A5:AU70,42,FALSE)&gt;0,VLOOKUP(A68,Schlußkurse!A5:AU70,42,FALSE)/VLOOKUP(A68,Ergebnis_je_Aktie_verwässert!A3:AJ68,13,FALSE),""),"")</f>
        <v>14.316853932584269</v>
      </c>
      <c r="K68" s="81">
        <f>IF(VLOOKUP(A68,Ergebnis_je_Aktie_verwässert!A3:AJ68,14,FALSE)&gt;0,IF(VLOOKUP(A68,Schlußkurse!A5:AU70,43,FALSE)&gt;0,VLOOKUP(A68,Schlußkurse!A5:AU70,43,FALSE)/VLOOKUP(A68,Ergebnis_je_Aktie_verwässert!A3:AJ68,14,FALSE),""),"")</f>
        <v>11.668141592920355</v>
      </c>
      <c r="L68" s="81">
        <f>IF(VLOOKUP(A68,Ergebnis_je_Aktie_verwässert!A3:AJ68,15,FALSE)&gt;0,IF(VLOOKUP(A68,Schlußkurse!A5:AU70,44,FALSE)&gt;0,VLOOKUP(A68,Schlußkurse!A5:AU70,44,FALSE)/VLOOKUP(A68,Ergebnis_je_Aktie_verwässert!A3:AJ68,15,FALSE),""),"")</f>
        <v>17.163366336633665</v>
      </c>
      <c r="M68" s="81">
        <f>IF(VLOOKUP(A68,Ergebnis_je_Aktie_verwässert!A3:AJ68,16,FALSE)&gt;0,IF(VLOOKUP(A68,Schlußkurse!A5:AU70,45,FALSE)&gt;0,VLOOKUP(A68,Schlußkurse!A5:AU70,45,FALSE)/VLOOKUP(A68,Ergebnis_je_Aktie_verwässert!A3:AJ68,16,FALSE),""),"")</f>
        <v>16.613691931540345</v>
      </c>
      <c r="N68" s="81">
        <f>IF(VLOOKUP(A68,Ergebnis_je_Aktie_verwässert!A3:AJ68,17,FALSE)&gt;0,IF(VLOOKUP(A68,Schlußkurse!A5:AU70,46,FALSE)&gt;0,VLOOKUP(A68,Schlußkurse!A5:AU70,46,FALSE)/VLOOKUP(A68,Ergebnis_je_Aktie_verwässert!A3:AJ68,17,FALSE),""),"")</f>
        <v>18.661538461538463</v>
      </c>
      <c r="O68" s="82">
        <f>IF(VLOOKUP(A68,Ergebnis_je_Aktie_verwässert!A3:AJ68,18,FALSE)&gt;0,IF(VLOOKUP(A68,Schlußkurse!A5:AU70,47,FALSE)&gt;0,VLOOKUP(A68,Schlußkurse!A5:AU70,47,FALSE)/VLOOKUP(A68,Ergebnis_je_Aktie_verwässert!A3:AJ68,18,FALSE),""),"")</f>
        <v>20.064024390243905</v>
      </c>
      <c r="P68" s="3">
        <f t="shared" si="1"/>
        <v>16.642533936651585</v>
      </c>
      <c r="Q68" s="3">
        <f ca="1">VLOOKUP(A68,Schlußkurse!A5:AU70,35,FALSE)/VLOOKUP(A68,Ergebnis_je_Aktie_verwässert!A3:AK68,23,FALSE)</f>
        <v>18.248045078196871</v>
      </c>
      <c r="R68" s="5">
        <f t="shared" ref="R68" ca="1" si="3">(Q68/P68)-1</f>
        <v>9.6470354073275644E-2</v>
      </c>
    </row>
  </sheetData>
  <autoFilter ref="A3:R3">
    <sortState ref="A4:S68">
      <sortCondition ref="B3"/>
    </sortState>
  </autoFilter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60" zoomScaleNormal="60" workbookViewId="0"/>
  </sheetViews>
  <sheetFormatPr baseColWidth="10" defaultRowHeight="15" x14ac:dyDescent="0.25"/>
  <cols>
    <col min="1" max="1" width="28" customWidth="1"/>
    <col min="2" max="2" width="20.85546875" customWidth="1"/>
    <col min="3" max="3" width="15.140625" customWidth="1"/>
    <col min="4" max="4" width="14.7109375" bestFit="1" customWidth="1"/>
    <col min="5" max="5" width="15.140625" customWidth="1"/>
    <col min="6" max="6" width="14.42578125" customWidth="1"/>
    <col min="7" max="14" width="14.85546875" customWidth="1"/>
    <col min="15" max="15" width="15.85546875" customWidth="1"/>
    <col min="16" max="16" width="18" customWidth="1"/>
    <col min="17" max="17" width="16.5703125" customWidth="1"/>
    <col min="18" max="18" width="33.42578125" customWidth="1"/>
  </cols>
  <sheetData>
    <row r="1" spans="1:18" x14ac:dyDescent="0.25">
      <c r="A1" s="1"/>
      <c r="B1" s="1"/>
      <c r="C1" s="100" t="s">
        <v>236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101"/>
      <c r="P1" s="1"/>
      <c r="Q1" s="1"/>
      <c r="R1" s="1"/>
    </row>
    <row r="2" spans="1:18" x14ac:dyDescent="0.25">
      <c r="A2" s="1"/>
      <c r="B2" s="1"/>
      <c r="C2" s="59">
        <v>2017</v>
      </c>
      <c r="D2" s="38">
        <v>2016</v>
      </c>
      <c r="E2" s="38">
        <v>2015</v>
      </c>
      <c r="F2" s="38">
        <v>2014</v>
      </c>
      <c r="G2" s="38">
        <v>2013</v>
      </c>
      <c r="H2" s="38">
        <v>2012</v>
      </c>
      <c r="I2" s="38">
        <v>2011</v>
      </c>
      <c r="J2" s="38">
        <v>2010</v>
      </c>
      <c r="K2" s="38">
        <v>2009</v>
      </c>
      <c r="L2" s="38">
        <v>2008</v>
      </c>
      <c r="M2" s="38">
        <v>2007</v>
      </c>
      <c r="N2" s="38">
        <v>2006</v>
      </c>
      <c r="O2" s="60">
        <v>2005</v>
      </c>
      <c r="P2" s="1"/>
      <c r="Q2" s="1"/>
      <c r="R2" s="1"/>
    </row>
    <row r="3" spans="1:18" x14ac:dyDescent="0.25">
      <c r="A3" s="1" t="s">
        <v>0</v>
      </c>
      <c r="B3" s="1" t="s">
        <v>1</v>
      </c>
      <c r="C3" s="59" t="s">
        <v>201</v>
      </c>
      <c r="D3" s="38" t="s">
        <v>141</v>
      </c>
      <c r="E3" s="38" t="s">
        <v>142</v>
      </c>
      <c r="F3" s="38" t="s">
        <v>131</v>
      </c>
      <c r="G3" s="38" t="s">
        <v>132</v>
      </c>
      <c r="H3" s="38" t="s">
        <v>133</v>
      </c>
      <c r="I3" s="38" t="s">
        <v>134</v>
      </c>
      <c r="J3" s="38" t="s">
        <v>135</v>
      </c>
      <c r="K3" s="38" t="s">
        <v>136</v>
      </c>
      <c r="L3" s="38" t="s">
        <v>137</v>
      </c>
      <c r="M3" s="38" t="s">
        <v>138</v>
      </c>
      <c r="N3" s="38" t="s">
        <v>139</v>
      </c>
      <c r="O3" s="60" t="s">
        <v>140</v>
      </c>
      <c r="P3" s="1" t="s">
        <v>150</v>
      </c>
      <c r="Q3" s="1" t="s">
        <v>156</v>
      </c>
      <c r="R3" s="1" t="s">
        <v>151</v>
      </c>
    </row>
    <row r="4" spans="1:18" x14ac:dyDescent="0.25">
      <c r="A4" t="s">
        <v>106</v>
      </c>
      <c r="B4" t="s">
        <v>197</v>
      </c>
      <c r="C4" s="83">
        <f>IF(VLOOKUP(A4,Schlußkurse!A5:AU70,35,FALSE)&gt;0,VLOOKUP(A4,Dividende_je_Aktie!A3:AM68,7,FALSE)/VLOOKUP(A4,Schlußkurse!A5:AU70,35,FALSE),"")</f>
        <v>3.7971390596279277E-2</v>
      </c>
      <c r="D4" s="84">
        <f>IF(VLOOKUP(A4,Schlußkurse!A5:AU70,36,FALSE)&gt;0,VLOOKUP(A4,Dividende_je_Aktie!A3:AM68,8,FALSE)/VLOOKUP(A4,Schlußkurse!A5:AU70,36,FALSE),"")</f>
        <v>3.5878479303570972E-2</v>
      </c>
      <c r="E4" s="84">
        <f>IF(VLOOKUP(A4,Schlußkurse!A5:AU70,37,FALSE)&gt;0,VLOOKUP(A4,Dividende_je_Aktie!A3:AM68,9,FALSE)/VLOOKUP(A4,Schlußkurse!A5:AU70,37,FALSE),"")</f>
        <v>3.4535877559133371E-2</v>
      </c>
      <c r="F4" s="84">
        <f>IF(VLOOKUP(A4,Schlußkurse!A5:AU70,38,FALSE)&gt;0,VLOOKUP(A4,Dividende_je_Aktie!A3:AM68,10,FALSE)/VLOOKUP(A4,Schlußkurse!A5:AU70,38,FALSE),"")</f>
        <v>2.8203292339534551E-2</v>
      </c>
      <c r="G4" s="84">
        <f>IF(VLOOKUP(A4,Schlußkurse!A5:AU70,39,FALSE)&gt;0,VLOOKUP(A4,Dividende_je_Aktie!A3:AM68,11,FALSE)/VLOOKUP(A4,Schlußkurse!A5:AU70,39,FALSE),"")</f>
        <v>2.5924042256488578E-2</v>
      </c>
      <c r="H4" s="84">
        <f>IF(VLOOKUP(A4,Schlußkurse!A5:AU70,40,FALSE)&gt;0,VLOOKUP(A4,Dividende_je_Aktie!A3:AM68,12,FALSE)/VLOOKUP(A4,Schlußkurse!A5:AU70,40,FALSE),"")</f>
        <v>3.0112409419516737E-2</v>
      </c>
      <c r="I4" s="84">
        <f>IF(VLOOKUP(A4,Schlußkurse!A5:AU70,41,FALSE)&gt;0,VLOOKUP(A4,Dividende_je_Aktie!A3:AM68,13,FALSE)/VLOOKUP(A4,Schlußkurse!A5:AU70,41,FALSE),"")</f>
        <v>2.6099398740225748E-2</v>
      </c>
      <c r="J4" s="84">
        <f>IF(VLOOKUP(A4,Schlußkurse!A5:AU70,42,FALSE)&gt;0,VLOOKUP(A4,Dividende_je_Aktie!A3:AM68,14,FALSE)/VLOOKUP(A4,Schlußkurse!A5:AU70,42,FALSE),"")</f>
        <v>1.9994038141354219E-2</v>
      </c>
      <c r="K4" s="84">
        <f>IF(VLOOKUP(A4,Schlußkurse!A5:AU70,43,FALSE)&gt;0,VLOOKUP(A4,Dividende_je_Aktie!A3:AM68,15,FALSE)/VLOOKUP(A4,Schlußkurse!A5:AU70,43,FALSE),"")</f>
        <v>2.8173778861817822E-2</v>
      </c>
      <c r="L4" s="84">
        <f>IF(VLOOKUP(A4,Schlußkurse!A5:AU70,44,FALSE)&gt;0,VLOOKUP(A4,Dividende_je_Aktie!A3:AM68,16,FALSE)/VLOOKUP(A4,Schlußkurse!A5:AU70,44,FALSE),"")</f>
        <v>1.8700139917118309E-2</v>
      </c>
      <c r="M4" s="84">
        <f>IF(VLOOKUP(A4,Schlußkurse!A5:AU70,45,FALSE)&gt;0,VLOOKUP(A4,Dividende_je_Aktie!A3:AM68,17,FALSE)/VLOOKUP(A4,Schlußkurse!A5:AU70,45,FALSE),"")</f>
        <v>1.4189528783486014E-2</v>
      </c>
      <c r="N4" s="84">
        <f>IF(VLOOKUP(A4,Schlußkurse!A5:AU70,46,FALSE)&gt;0,VLOOKUP(A4,Dividende_je_Aktie!A3:AM68,18,FALSE)/VLOOKUP(A4,Schlußkurse!A5:AU70,46,FALSE),"")</f>
        <v>0</v>
      </c>
      <c r="O4" s="85">
        <f>IF(VLOOKUP(A4,Schlußkurse!A5:AU70,47,FALSE)&gt;0,VLOOKUP(A4,Dividende_je_Aktie!A3:AM68,19,FALSE)/VLOOKUP(A4,Schlußkurse!A5:AU70,47,FALSE),"")</f>
        <v>0</v>
      </c>
      <c r="P4" s="5">
        <f t="shared" ref="P4:P35" si="0">AVERAGE(C4:O4)</f>
        <v>2.3060182762963507E-2</v>
      </c>
      <c r="Q4" s="5">
        <f ca="1">VLOOKUP(A4,Dividende_je_Aktie!A3:AM68,24,FALSE)/VLOOKUP(A4,Schlußkurse!A5:AU70,35,FALSE)</f>
        <v>3.6302875204592376E-2</v>
      </c>
      <c r="R4" s="5">
        <f t="shared" ref="R4:R67" ca="1" si="1">(Q4/P4)-1</f>
        <v>0.57426658659868424</v>
      </c>
    </row>
    <row r="5" spans="1:18" x14ac:dyDescent="0.25">
      <c r="A5" t="s">
        <v>2</v>
      </c>
      <c r="B5" t="s">
        <v>3</v>
      </c>
      <c r="C5" s="83">
        <f>IF(VLOOKUP(A5,Schlußkurse!A5:AU70,35,FALSE)&gt;0,VLOOKUP(A5,Dividende_je_Aktie!A3:AM68,7,FALSE)/VLOOKUP(A5,Schlußkurse!A5:AU70,35,FALSE),"")</f>
        <v>3.1162512023967259E-2</v>
      </c>
      <c r="D5" s="84">
        <f>IF(VLOOKUP(A5,Schlußkurse!A5:AU70,36,FALSE)&gt;0,VLOOKUP(A5,Dividende_je_Aktie!A3:AM68,8,FALSE)/VLOOKUP(A5,Schlußkurse!A5:AU70,36,FALSE),"")</f>
        <v>2.9195443158667001E-2</v>
      </c>
      <c r="E5" s="84">
        <f>IF(VLOOKUP(A5,Schlußkurse!A5:AU70,37,FALSE)&gt;0,VLOOKUP(A5,Dividende_je_Aktie!A3:AM68,9,FALSE)/VLOOKUP(A5,Schlußkurse!A5:AU70,37,FALSE),"")</f>
        <v>2.8303134534483926E-2</v>
      </c>
      <c r="F5" s="84">
        <f>IF(VLOOKUP(A5,Schlußkurse!A5:AU70,38,FALSE)&gt;0,VLOOKUP(A5,Dividende_je_Aktie!A3:AM68,10,FALSE)/VLOOKUP(A5,Schlußkurse!A5:AU70,38,FALSE),"")</f>
        <v>3.46433609813201E-2</v>
      </c>
      <c r="G5" s="84">
        <f>IF(VLOOKUP(A5,Schlußkurse!A5:AU70,39,FALSE)&gt;0,VLOOKUP(A5,Dividende_je_Aktie!A3:AM68,11,FALSE)/VLOOKUP(A5,Schlußkurse!A5:AU70,39,FALSE),"")</f>
        <v>3.9364500774460694E-2</v>
      </c>
      <c r="H5" s="84">
        <f>IF(VLOOKUP(A5,Schlußkurse!A5:AU70,40,FALSE)&gt;0,VLOOKUP(A5,Dividende_je_Aktie!A3:AM68,12,FALSE)/VLOOKUP(A5,Schlußkurse!A5:AU70,40,FALSE),"")</f>
        <v>4.2310747261996365E-2</v>
      </c>
      <c r="I5" s="84">
        <f>IF(VLOOKUP(A5,Schlußkurse!A5:AU70,41,FALSE)&gt;0,VLOOKUP(A5,Dividende_je_Aktie!A3:AM68,13,FALSE)/VLOOKUP(A5,Schlußkurse!A5:AU70,41,FALSE),"")</f>
        <v>3.9787132042354248E-2</v>
      </c>
      <c r="J5" s="84">
        <f>IF(VLOOKUP(A5,Schlußkurse!A5:AU70,42,FALSE)&gt;0,VLOOKUP(A5,Dividende_je_Aktie!A3:AM68,14,FALSE)/VLOOKUP(A5,Schlußkurse!A5:AU70,42,FALSE),"")</f>
        <v>3.7041247813282774E-2</v>
      </c>
      <c r="K5" s="84">
        <f>IF(VLOOKUP(A5,Schlußkurse!A5:AU70,43,FALSE)&gt;0,VLOOKUP(A5,Dividende_je_Aktie!A3:AM68,15,FALSE)/VLOOKUP(A5,Schlußkurse!A5:AU70,43,FALSE),"")</f>
        <v>3.8422302988116726E-2</v>
      </c>
      <c r="L5" s="84">
        <f>IF(VLOOKUP(A5,Schlußkurse!A5:AU70,44,FALSE)&gt;0,VLOOKUP(A5,Dividende_je_Aktie!A3:AM68,16,FALSE)/VLOOKUP(A5,Schlußkurse!A5:AU70,44,FALSE),"")</f>
        <v>2.5916745557605168E-2</v>
      </c>
      <c r="M5" s="84">
        <f>IF(VLOOKUP(A5,Schlußkurse!A5:AU70,45,FALSE)&gt;0,VLOOKUP(A5,Dividende_je_Aktie!A3:AM68,17,FALSE)/VLOOKUP(A5,Schlußkurse!A5:AU70,45,FALSE),"")</f>
        <v>1.9252725409738325E-2</v>
      </c>
      <c r="N5" s="84">
        <f>IF(VLOOKUP(A5,Schlußkurse!A5:AU70,46,FALSE)&gt;0,VLOOKUP(A5,Dividende_je_Aktie!A3:AM68,18,FALSE)/VLOOKUP(A5,Schlußkurse!A5:AU70,46,FALSE),"")</f>
        <v>1.6746896352887557E-2</v>
      </c>
      <c r="O5" s="85">
        <f>IF(VLOOKUP(A5,Schlußkurse!A5:AU70,47,FALSE)&gt;0,VLOOKUP(A5,Dividende_je_Aktie!A3:AM68,19,FALSE)/VLOOKUP(A5,Schlußkurse!A5:AU70,47,FALSE),"")</f>
        <v>1.8307692613841017E-2</v>
      </c>
      <c r="P5" s="5">
        <f t="shared" si="0"/>
        <v>3.0804187808670856E-2</v>
      </c>
      <c r="Q5" s="5">
        <f ca="1">VLOOKUP(A5,Dividende_je_Aktie!A3:AM68,24,FALSE)/VLOOKUP(A5,Schlußkurse!A5:AU70,35,FALSE)</f>
        <v>2.9594321011908446E-2</v>
      </c>
      <c r="R5" s="5">
        <f t="shared" ca="1" si="1"/>
        <v>-3.9276049226717569E-2</v>
      </c>
    </row>
    <row r="6" spans="1:18" x14ac:dyDescent="0.25">
      <c r="A6" t="s">
        <v>4</v>
      </c>
      <c r="B6" t="s">
        <v>5</v>
      </c>
      <c r="C6" s="83">
        <f>IF(VLOOKUP(A6,Schlußkurse!A5:AU70,35,FALSE)&gt;0,VLOOKUP(A6,Dividende_je_Aktie!A3:AM68,7,FALSE)/VLOOKUP(A6,Schlußkurse!A5:AU70,35,FALSE),"")</f>
        <v>3.3295497540673478E-2</v>
      </c>
      <c r="D6" s="84">
        <f>IF(VLOOKUP(A6,Schlußkurse!A5:AU70,36,FALSE)&gt;0,VLOOKUP(A6,Dividende_je_Aktie!A3:AM68,8,FALSE)/VLOOKUP(A6,Schlußkurse!A5:AU70,36,FALSE),"")</f>
        <v>3.1138857359061672E-2</v>
      </c>
      <c r="E6" s="84">
        <f>IF(VLOOKUP(A6,Schlußkurse!A5:AU70,37,FALSE)&gt;0,VLOOKUP(A6,Dividende_je_Aktie!A3:AM68,9,FALSE)/VLOOKUP(A6,Schlußkurse!A5:AU70,37,FALSE),"")</f>
        <v>2.9640607632456469E-2</v>
      </c>
      <c r="F6" s="84">
        <f>IF(VLOOKUP(A6,Schlußkurse!A5:AU70,38,FALSE)&gt;0,VLOOKUP(A6,Dividende_je_Aktie!A3:AM68,10,FALSE)/VLOOKUP(A6,Schlußkurse!A5:AU70,38,FALSE),"")</f>
        <v>3.1300160513643663E-2</v>
      </c>
      <c r="G6" s="84">
        <f>IF(VLOOKUP(A6,Schlußkurse!A5:AU70,39,FALSE)&gt;0,VLOOKUP(A6,Dividende_je_Aktie!A3:AM68,11,FALSE)/VLOOKUP(A6,Schlußkurse!A5:AU70,39,FALSE),"")</f>
        <v>3.9945652173913042E-2</v>
      </c>
      <c r="H6" s="84">
        <f>IF(VLOOKUP(A6,Schlußkurse!A5:AU70,40,FALSE)&gt;0,VLOOKUP(A6,Dividende_je_Aktie!A3:AM68,12,FALSE)/VLOOKUP(A6,Schlußkurse!A5:AU70,40,FALSE),"")</f>
        <v>4.2713567839195984E-2</v>
      </c>
      <c r="I6" s="84">
        <f>IF(VLOOKUP(A6,Schlußkurse!A5:AU70,41,FALSE)&gt;0,VLOOKUP(A6,Dividende_je_Aktie!A3:AM68,13,FALSE)/VLOOKUP(A6,Schlußkurse!A5:AU70,41,FALSE),"")</f>
        <v>4.8175182481751823E-2</v>
      </c>
      <c r="J6" s="84">
        <f>IF(VLOOKUP(A6,Schlußkurse!A5:AU70,42,FALSE)&gt;0,VLOOKUP(A6,Dividende_je_Aktie!A3:AM68,14,FALSE)/VLOOKUP(A6,Schlußkurse!A5:AU70,42,FALSE),"")</f>
        <v>3.4129692832764506E-2</v>
      </c>
      <c r="K6" s="84">
        <f>IF(VLOOKUP(A6,Schlußkurse!A5:AU70,43,FALSE)&gt;0,VLOOKUP(A6,Dividende_je_Aktie!A3:AM68,15,FALSE)/VLOOKUP(A6,Schlußkurse!A5:AU70,43,FALSE),"")</f>
        <v>3.0769230769230771E-2</v>
      </c>
      <c r="L6" s="84">
        <f>IF(VLOOKUP(A6,Schlußkurse!A5:AU70,44,FALSE)&gt;0,VLOOKUP(A6,Dividende_je_Aktie!A3:AM68,16,FALSE)/VLOOKUP(A6,Schlußkurse!A5:AU70,44,FALSE),"")</f>
        <v>2.3517382413087932E-2</v>
      </c>
      <c r="M6" s="84">
        <f>IF(VLOOKUP(A6,Schlußkurse!A5:AU70,45,FALSE)&gt;0,VLOOKUP(A6,Dividende_je_Aktie!A3:AM68,17,FALSE)/VLOOKUP(A6,Schlußkurse!A5:AU70,45,FALSE),"")</f>
        <v>1.5560640732265445E-2</v>
      </c>
      <c r="N6" s="84">
        <f>IF(VLOOKUP(A6,Schlußkurse!A5:AU70,46,FALSE)&gt;0,VLOOKUP(A6,Dividende_je_Aktie!A3:AM68,18,FALSE)/VLOOKUP(A6,Schlußkurse!A5:AU70,46,FALSE),"")</f>
        <v>1.2671059300557525E-2</v>
      </c>
      <c r="O6" s="85">
        <f>IF(VLOOKUP(A6,Schlußkurse!A5:AU70,47,FALSE)&gt;0,VLOOKUP(A6,Dividende_je_Aktie!A3:AM68,19,FALSE)/VLOOKUP(A6,Schlußkurse!A5:AU70,47,FALSE),"")</f>
        <v>1.5278838808250572E-2</v>
      </c>
      <c r="P6" s="5">
        <f t="shared" si="0"/>
        <v>2.985664387668099E-2</v>
      </c>
      <c r="Q6" s="5">
        <f ca="1">VLOOKUP(A6,Dividende_je_Aktie!A3:AM68,24,FALSE)/VLOOKUP(A6,Schlußkurse!A5:AU70,35,FALSE)</f>
        <v>3.1576176062555181E-2</v>
      </c>
      <c r="R6" s="5">
        <f t="shared" ca="1" si="1"/>
        <v>5.7592949595289378E-2</v>
      </c>
    </row>
    <row r="7" spans="1:18" x14ac:dyDescent="0.25">
      <c r="A7" t="s">
        <v>6</v>
      </c>
      <c r="B7" t="s">
        <v>7</v>
      </c>
      <c r="C7" s="83">
        <f>IF(VLOOKUP(A7,Schlußkurse!A5:AU70,35,FALSE)&gt;0,VLOOKUP(A7,Dividende_je_Aktie!A3:AM68,7,FALSE)/VLOOKUP(A7,Schlußkurse!A5:AU70,35,FALSE),"")</f>
        <v>3.1299734748010608E-2</v>
      </c>
      <c r="D7" s="84">
        <f>IF(VLOOKUP(A7,Schlußkurse!A5:AU70,36,FALSE)&gt;0,VLOOKUP(A7,Dividende_je_Aktie!A3:AM68,8,FALSE)/VLOOKUP(A7,Schlußkurse!A5:AU70,36,FALSE),"")</f>
        <v>3.0106100795755965E-2</v>
      </c>
      <c r="E7" s="84">
        <f>IF(VLOOKUP(A7,Schlußkurse!A5:AU70,37,FALSE)&gt;0,VLOOKUP(A7,Dividende_je_Aktie!A3:AM68,9,FALSE)/VLOOKUP(A7,Schlußkurse!A5:AU70,37,FALSE),"")</f>
        <v>3.015764222069911E-2</v>
      </c>
      <c r="F7" s="84">
        <f>IF(VLOOKUP(A7,Schlußkurse!A5:AU70,38,FALSE)&gt;0,VLOOKUP(A7,Dividende_je_Aktie!A3:AM68,10,FALSE)/VLOOKUP(A7,Schlußkurse!A5:AU70,38,FALSE),"")</f>
        <v>3.2924961715160794E-2</v>
      </c>
      <c r="G7" s="84">
        <f>IF(VLOOKUP(A7,Schlußkurse!A5:AU70,39,FALSE)&gt;0,VLOOKUP(A7,Dividende_je_Aktie!A3:AM68,11,FALSE)/VLOOKUP(A7,Schlußkurse!A5:AU70,39,FALSE),"")</f>
        <v>3.4395973154362415E-2</v>
      </c>
      <c r="H7" s="84">
        <f>IF(VLOOKUP(A7,Schlußkurse!A5:AU70,40,FALSE)&gt;0,VLOOKUP(A7,Dividende_je_Aktie!A3:AM68,12,FALSE)/VLOOKUP(A7,Schlußkurse!A5:AU70,40,FALSE),"")</f>
        <v>3.6111111111111108E-2</v>
      </c>
      <c r="I7" s="84">
        <f>IF(VLOOKUP(A7,Schlußkurse!A5:AU70,41,FALSE)&gt;0,VLOOKUP(A7,Dividende_je_Aktie!A3:AM68,13,FALSE)/VLOOKUP(A7,Schlußkurse!A5:AU70,41,FALSE),"")</f>
        <v>3.3789954337899546E-2</v>
      </c>
      <c r="J7" s="84">
        <f>IF(VLOOKUP(A7,Schlußkurse!A5:AU70,42,FALSE)&gt;0,VLOOKUP(A7,Dividende_je_Aktie!A3:AM68,14,FALSE)/VLOOKUP(A7,Schlußkurse!A5:AU70,42,FALSE),"")</f>
        <v>3.1872509960159362E-2</v>
      </c>
      <c r="K7" s="84">
        <f>IF(VLOOKUP(A7,Schlußkurse!A5:AU70,43,FALSE)&gt;0,VLOOKUP(A7,Dividende_je_Aktie!A3:AM68,15,FALSE)/VLOOKUP(A7,Schlußkurse!A5:AU70,43,FALSE),"")</f>
        <v>3.3653846153846152E-2</v>
      </c>
      <c r="L7" s="84">
        <f>IF(VLOOKUP(A7,Schlußkurse!A5:AU70,44,FALSE)&gt;0,VLOOKUP(A7,Dividende_je_Aktie!A3:AM68,16,FALSE)/VLOOKUP(A7,Schlußkurse!A5:AU70,44,FALSE),"")</f>
        <v>2.3461538461538461E-2</v>
      </c>
      <c r="M7" s="84">
        <f>IF(VLOOKUP(A7,Schlußkurse!A5:AU70,45,FALSE)&gt;0,VLOOKUP(A7,Dividende_je_Aktie!A3:AM68,17,FALSE)/VLOOKUP(A7,Schlußkurse!A5:AU70,45,FALSE),"")</f>
        <v>2.4018475750577369E-2</v>
      </c>
      <c r="N7" s="84">
        <f>IF(VLOOKUP(A7,Schlußkurse!A5:AU70,46,FALSE)&gt;0,VLOOKUP(A7,Dividende_je_Aktie!A3:AM68,18,FALSE)/VLOOKUP(A7,Schlußkurse!A5:AU70,46,FALSE),"")</f>
        <v>2.2900763358778629E-2</v>
      </c>
      <c r="O7" s="85">
        <f>IF(VLOOKUP(A7,Schlußkurse!A5:AU70,47,FALSE)&gt;0,VLOOKUP(A7,Dividende_je_Aktie!A3:AM68,19,FALSE)/VLOOKUP(A7,Schlußkurse!A5:AU70,47,FALSE),"")</f>
        <v>2.689075630252101E-2</v>
      </c>
      <c r="P7" s="5">
        <f t="shared" si="0"/>
        <v>3.01217975438785E-2</v>
      </c>
      <c r="Q7" s="5">
        <f ca="1">VLOOKUP(A7,Dividende_je_Aktie!A3:AM68,24,FALSE)/VLOOKUP(A7,Schlußkurse!A5:AU70,35,FALSE)</f>
        <v>3.0348143236074269E-2</v>
      </c>
      <c r="R7" s="5">
        <f t="shared" ca="1" si="1"/>
        <v>7.5143487657418628E-3</v>
      </c>
    </row>
    <row r="8" spans="1:18" x14ac:dyDescent="0.25">
      <c r="A8" t="s">
        <v>8</v>
      </c>
      <c r="B8" t="s">
        <v>9</v>
      </c>
      <c r="C8" s="83">
        <f>IF(VLOOKUP(A8,Schlußkurse!A5:AU70,35,FALSE)&gt;0,VLOOKUP(A8,Dividende_je_Aktie!A3:AM68,7,FALSE)/VLOOKUP(A8,Schlußkurse!A5:AU70,35,FALSE),"")</f>
        <v>3.5186721991701246E-2</v>
      </c>
      <c r="D8" s="84">
        <f>IF(VLOOKUP(A8,Schlußkurse!A5:AU70,36,FALSE)&gt;0,VLOOKUP(A8,Dividende_je_Aktie!A3:AM68,8,FALSE)/VLOOKUP(A8,Schlußkurse!A5:AU70,36,FALSE),"")</f>
        <v>2.7219917012448133E-2</v>
      </c>
      <c r="E8" s="84">
        <f>IF(VLOOKUP(A8,Schlußkurse!A5:AU70,37,FALSE)&gt;0,VLOOKUP(A8,Dividende_je_Aktie!A3:AM68,9,FALSE)/VLOOKUP(A8,Schlußkurse!A5:AU70,37,FALSE),"")</f>
        <v>3.0018010806483891E-2</v>
      </c>
      <c r="F8" s="84">
        <f>IF(VLOOKUP(A8,Schlußkurse!A5:AU70,38,FALSE)&gt;0,VLOOKUP(A8,Dividende_je_Aktie!A3:AM68,10,FALSE)/VLOOKUP(A8,Schlußkurse!A5:AU70,38,FALSE),"")</f>
        <v>2.1629416005767847E-2</v>
      </c>
      <c r="G8" s="84">
        <f>IF(VLOOKUP(A8,Schlußkurse!A5:AU70,39,FALSE)&gt;0,VLOOKUP(A8,Dividende_je_Aktie!A3:AM68,11,FALSE)/VLOOKUP(A8,Schlußkurse!A5:AU70,39,FALSE),"")</f>
        <v>2.2761760242792108E-2</v>
      </c>
      <c r="H8" s="84">
        <f>IF(VLOOKUP(A8,Schlußkurse!A5:AU70,40,FALSE)&gt;0,VLOOKUP(A8,Dividende_je_Aktie!A3:AM68,12,FALSE)/VLOOKUP(A8,Schlußkurse!A5:AU70,40,FALSE),"")</f>
        <v>2.5479870901987431E-2</v>
      </c>
      <c r="I8" s="84">
        <f>IF(VLOOKUP(A8,Schlußkurse!A5:AU70,41,FALSE)&gt;0,VLOOKUP(A8,Dividende_je_Aktie!A3:AM68,13,FALSE)/VLOOKUP(A8,Schlußkurse!A5:AU70,41,FALSE),"")</f>
        <v>1.9181585677749361E-2</v>
      </c>
      <c r="J8" s="84">
        <f>IF(VLOOKUP(A8,Schlußkurse!A5:AU70,42,FALSE)&gt;0,VLOOKUP(A8,Dividende_je_Aktie!A3:AM68,14,FALSE)/VLOOKUP(A8,Schlußkurse!A5:AU70,42,FALSE),"")</f>
        <v>1.5176042088223391E-2</v>
      </c>
      <c r="K8" s="84">
        <f>IF(VLOOKUP(A8,Schlußkurse!A5:AU70,43,FALSE)&gt;0,VLOOKUP(A8,Dividende_je_Aktie!A3:AM68,15,FALSE)/VLOOKUP(A8,Schlußkurse!A5:AU70,43,FALSE),"")</f>
        <v>1.7966223499820338E-2</v>
      </c>
      <c r="L8" s="84">
        <f>IF(VLOOKUP(A8,Schlußkurse!A5:AU70,44,FALSE)&gt;0,VLOOKUP(A8,Dividende_je_Aktie!A3:AM68,16,FALSE)/VLOOKUP(A8,Schlußkurse!A5:AU70,44,FALSE),"")</f>
        <v>5.0335570469798654E-2</v>
      </c>
      <c r="M8" s="84">
        <f>IF(VLOOKUP(A8,Schlußkurse!A5:AU70,45,FALSE)&gt;0,VLOOKUP(A8,Dividende_je_Aktie!A3:AM68,17,FALSE)/VLOOKUP(A8,Schlußkurse!A5:AU70,45,FALSE),"")</f>
        <v>3.9471087428458652E-2</v>
      </c>
      <c r="N8" s="84">
        <f>IF(VLOOKUP(A8,Schlußkurse!A5:AU70,46,FALSE)&gt;0,VLOOKUP(A8,Dividende_je_Aktie!A3:AM68,18,FALSE)/VLOOKUP(A8,Schlußkurse!A5:AU70,46,FALSE),"")</f>
        <v>3.0525030525030524E-2</v>
      </c>
      <c r="O8" s="85">
        <f>IF(VLOOKUP(A8,Schlußkurse!A5:AU70,47,FALSE)&gt;0,VLOOKUP(A8,Dividende_je_Aktie!A3:AM68,19,FALSE)/VLOOKUP(A8,Schlußkurse!A5:AU70,47,FALSE),"")</f>
        <v>2.6025719534598899E-2</v>
      </c>
      <c r="P8" s="5">
        <f t="shared" si="0"/>
        <v>2.7767458168066191E-2</v>
      </c>
      <c r="Q8" s="5">
        <f ca="1">VLOOKUP(A8,Dividende_je_Aktie!A3:AM68,24,FALSE)/VLOOKUP(A8,Schlußkurse!A5:AU70,35,FALSE)</f>
        <v>2.8835408022130006E-2</v>
      </c>
      <c r="R8" s="5">
        <f t="shared" ca="1" si="1"/>
        <v>3.8460483044573612E-2</v>
      </c>
    </row>
    <row r="9" spans="1:18" x14ac:dyDescent="0.25">
      <c r="A9" t="s">
        <v>10</v>
      </c>
      <c r="B9" t="s">
        <v>11</v>
      </c>
      <c r="C9" s="83">
        <f>IF(VLOOKUP(A9,Schlußkurse!A5:AU70,35,FALSE)&gt;0,VLOOKUP(A9,Dividende_je_Aktie!A3:AM68,7,FALSE)/VLOOKUP(A9,Schlußkurse!A5:AU70,35,FALSE),"")</f>
        <v>1.0044642857142858E-2</v>
      </c>
      <c r="D9" s="84">
        <f>IF(VLOOKUP(A9,Schlußkurse!A5:AU70,36,FALSE)&gt;0,VLOOKUP(A9,Dividende_je_Aktie!A3:AM68,8,FALSE)/VLOOKUP(A9,Schlußkurse!A5:AU70,36,FALSE),"")</f>
        <v>9.4246031746031741E-3</v>
      </c>
      <c r="E9" s="84">
        <f>IF(VLOOKUP(A9,Schlußkurse!A5:AU70,37,FALSE)&gt;0,VLOOKUP(A9,Dividende_je_Aktie!A3:AM68,9,FALSE)/VLOOKUP(A9,Schlußkurse!A5:AU70,37,FALSE),"")</f>
        <v>1.0382675763868287E-2</v>
      </c>
      <c r="F9" s="84">
        <f>IF(VLOOKUP(A9,Schlußkurse!A5:AU70,38,FALSE)&gt;0,VLOOKUP(A9,Dividende_je_Aktie!A3:AM68,10,FALSE)/VLOOKUP(A9,Schlußkurse!A5:AU70,38,FALSE),"")</f>
        <v>9.5057034220532317E-3</v>
      </c>
      <c r="G9" s="84">
        <f>IF(VLOOKUP(A9,Schlußkurse!A5:AU70,39,FALSE)&gt;0,VLOOKUP(A9,Dividende_je_Aktie!A3:AM68,11,FALSE)/VLOOKUP(A9,Schlußkurse!A5:AU70,39,FALSE),"")</f>
        <v>1.1312217194570134E-2</v>
      </c>
      <c r="H9" s="84">
        <f>IF(VLOOKUP(A9,Schlußkurse!A5:AU70,40,FALSE)&gt;0,VLOOKUP(A9,Dividende_je_Aktie!A3:AM68,12,FALSE)/VLOOKUP(A9,Schlußkurse!A5:AU70,40,FALSE),"")</f>
        <v>1.5974440894568689E-2</v>
      </c>
      <c r="I9" s="84">
        <f>IF(VLOOKUP(A9,Schlußkurse!A5:AU70,41,FALSE)&gt;0,VLOOKUP(A9,Dividende_je_Aktie!A3:AM68,13,FALSE)/VLOOKUP(A9,Schlußkurse!A5:AU70,41,FALSE),"")</f>
        <v>1.6857314870559904E-2</v>
      </c>
      <c r="J9" s="84">
        <f>IF(VLOOKUP(A9,Schlußkurse!A5:AU70,42,FALSE)&gt;0,VLOOKUP(A9,Dividende_je_Aktie!A3:AM68,14,FALSE)/VLOOKUP(A9,Schlußkurse!A5:AU70,42,FALSE),"")</f>
        <v>1.5240583496625298E-2</v>
      </c>
      <c r="K9" s="84">
        <f>IF(VLOOKUP(A9,Schlußkurse!A5:AU70,43,FALSE)&gt;0,VLOOKUP(A9,Dividende_je_Aktie!A3:AM68,15,FALSE)/VLOOKUP(A9,Schlußkurse!A5:AU70,43,FALSE),"")</f>
        <v>2.1428571428571429E-2</v>
      </c>
      <c r="L9" s="84">
        <f>IF(VLOOKUP(A9,Schlußkurse!A5:AU70,44,FALSE)&gt;0,VLOOKUP(A9,Dividende_je_Aktie!A3:AM68,16,FALSE)/VLOOKUP(A9,Schlußkurse!A5:AU70,44,FALSE),"")</f>
        <v>1.320754716981132E-2</v>
      </c>
      <c r="M9" s="84">
        <f>IF(VLOOKUP(A9,Schlußkurse!A5:AU70,45,FALSE)&gt;0,VLOOKUP(A9,Dividende_je_Aktie!A3:AM68,17,FALSE)/VLOOKUP(A9,Schlußkurse!A5:AU70,45,FALSE),"")</f>
        <v>1.2214983713355049E-2</v>
      </c>
      <c r="N9" s="84">
        <f>IF(VLOOKUP(A9,Schlußkurse!A5:AU70,46,FALSE)&gt;0,VLOOKUP(A9,Dividende_je_Aktie!A3:AM68,18,FALSE)/VLOOKUP(A9,Schlußkurse!A5:AU70,46,FALSE),"")</f>
        <v>1.6442291882411652E-2</v>
      </c>
      <c r="O9" s="85">
        <f>IF(VLOOKUP(A9,Schlußkurse!A5:AU70,47,FALSE)&gt;0,VLOOKUP(A9,Dividende_je_Aktie!A3:AM68,19,FALSE)/VLOOKUP(A9,Schlußkurse!A5:AU70,47,FALSE),"")</f>
        <v>1.8574788054658942E-2</v>
      </c>
      <c r="P9" s="5">
        <f t="shared" si="0"/>
        <v>1.3893104917138459E-2</v>
      </c>
      <c r="Q9" s="5">
        <f ca="1">VLOOKUP(A9,Dividende_je_Aktie!A3:AM68,24,FALSE)/VLOOKUP(A9,Schlußkurse!A5:AU70,35,FALSE)</f>
        <v>9.5503334435626114E-3</v>
      </c>
      <c r="R9" s="5">
        <f t="shared" ca="1" si="1"/>
        <v>-0.31258465976303307</v>
      </c>
    </row>
    <row r="10" spans="1:18" x14ac:dyDescent="0.25">
      <c r="A10" t="s">
        <v>12</v>
      </c>
      <c r="B10" t="s">
        <v>13</v>
      </c>
      <c r="C10" s="83">
        <f>IF(VLOOKUP(A10,Schlußkurse!A5:AU70,35,FALSE)&gt;0,VLOOKUP(A10,Dividende_je_Aktie!A3:AM68,7,FALSE)/VLOOKUP(A10,Schlußkurse!A5:AU70,35,FALSE),"")</f>
        <v>3.6426116838487975E-2</v>
      </c>
      <c r="D10" s="84">
        <f>IF(VLOOKUP(A10,Schlußkurse!A5:AU70,36,FALSE)&gt;0,VLOOKUP(A10,Dividende_je_Aktie!A3:AM68,8,FALSE)/VLOOKUP(A10,Schlußkurse!A5:AU70,36,FALSE),"")</f>
        <v>3.2646048109965631E-2</v>
      </c>
      <c r="E10" s="84">
        <f>IF(VLOOKUP(A10,Schlußkurse!A5:AU70,37,FALSE)&gt;0,VLOOKUP(A10,Dividende_je_Aktie!A3:AM68,9,FALSE)/VLOOKUP(A10,Schlußkurse!A5:AU70,37,FALSE),"")</f>
        <v>3.142909964873359E-2</v>
      </c>
      <c r="F10" s="84">
        <f>IF(VLOOKUP(A10,Schlußkurse!A5:AU70,38,FALSE)&gt;0,VLOOKUP(A10,Dividende_je_Aktie!A3:AM68,10,FALSE)/VLOOKUP(A10,Schlußkurse!A5:AU70,38,FALSE),"")</f>
        <v>3.0188679245283019E-2</v>
      </c>
      <c r="G10" s="84">
        <f>IF(VLOOKUP(A10,Schlußkurse!A5:AU70,39,FALSE)&gt;0,VLOOKUP(A10,Dividende_je_Aktie!A3:AM68,11,FALSE)/VLOOKUP(A10,Schlußkurse!A5:AU70,39,FALSE),"")</f>
        <v>4.2168674698795178E-2</v>
      </c>
      <c r="H10" s="84">
        <f>IF(VLOOKUP(A10,Schlußkurse!A5:AU70,40,FALSE)&gt;0,VLOOKUP(A10,Dividende_je_Aktie!A3:AM68,12,FALSE)/VLOOKUP(A10,Schlußkurse!A5:AU70,40,FALSE),"")</f>
        <v>5.8922558922558918E-2</v>
      </c>
      <c r="I10" s="84">
        <f>IF(VLOOKUP(A10,Schlußkurse!A5:AU70,41,FALSE)&gt;0,VLOOKUP(A10,Dividende_je_Aktie!A3:AM68,13,FALSE)/VLOOKUP(A10,Schlußkurse!A5:AU70,41,FALSE),"")</f>
        <v>5.1181102362204731E-2</v>
      </c>
      <c r="J10" s="84">
        <f>IF(VLOOKUP(A10,Schlußkurse!A5:AU70,42,FALSE)&gt;0,VLOOKUP(A10,Dividende_je_Aktie!A3:AM68,14,FALSE)/VLOOKUP(A10,Schlußkurse!A5:AU70,42,FALSE),"")</f>
        <v>4.449388209121246E-2</v>
      </c>
      <c r="K10" s="84">
        <f>IF(VLOOKUP(A10,Schlußkurse!A5:AU70,43,FALSE)&gt;0,VLOOKUP(A10,Dividende_je_Aktie!A3:AM68,15,FALSE)/VLOOKUP(A10,Schlußkurse!A5:AU70,43,FALSE),"")</f>
        <v>5.037783375314861E-2</v>
      </c>
      <c r="L10" s="84">
        <f>IF(VLOOKUP(A10,Schlußkurse!A5:AU70,44,FALSE)&gt;0,VLOOKUP(A10,Dividende_je_Aktie!A3:AM68,16,FALSE)/VLOOKUP(A10,Schlußkurse!A5:AU70,44,FALSE),"")</f>
        <v>3.8281582305401955E-2</v>
      </c>
      <c r="M10" s="84">
        <f>IF(VLOOKUP(A10,Schlußkurse!A5:AU70,45,FALSE)&gt;0,VLOOKUP(A10,Dividende_je_Aktie!A3:AM68,17,FALSE)/VLOOKUP(A10,Schlußkurse!A5:AU70,45,FALSE),"")</f>
        <v>3.2837127845884412E-2</v>
      </c>
      <c r="N10" s="84">
        <f>IF(VLOOKUP(A10,Schlußkurse!A5:AU70,46,FALSE)&gt;0,VLOOKUP(A10,Dividende_je_Aktie!A3:AM68,18,FALSE)/VLOOKUP(A10,Schlußkurse!A5:AU70,46,FALSE),"")</f>
        <v>3.41796875E-2</v>
      </c>
      <c r="O10" s="85">
        <f>IF(VLOOKUP(A10,Schlußkurse!A5:AU70,47,FALSE)&gt;0,VLOOKUP(A10,Dividende_je_Aktie!A3:AM68,19,FALSE)/VLOOKUP(A10,Schlußkurse!A5:AU70,47,FALSE),"")</f>
        <v>2.9585798816568049E-2</v>
      </c>
      <c r="P10" s="5">
        <f t="shared" si="0"/>
        <v>3.9439860933711116E-2</v>
      </c>
      <c r="Q10" s="5">
        <f ca="1">VLOOKUP(A10,Dividende_je_Aktie!A3:AM68,24,FALSE)/VLOOKUP(A10,Schlußkurse!A5:AU70,35,FALSE)</f>
        <v>3.3412562046582661E-2</v>
      </c>
      <c r="R10" s="5">
        <f t="shared" ca="1" si="1"/>
        <v>-0.1528225187522565</v>
      </c>
    </row>
    <row r="11" spans="1:18" x14ac:dyDescent="0.25">
      <c r="A11" t="s">
        <v>14</v>
      </c>
      <c r="B11" t="s">
        <v>15</v>
      </c>
      <c r="C11" s="83">
        <f>IF(VLOOKUP(A11,Schlußkurse!A5:AU70,35,FALSE)&gt;0,VLOOKUP(A11,Dividende_je_Aktie!A3:AM68,7,FALSE)/VLOOKUP(A11,Schlußkurse!A5:AU70,35,FALSE),"")</f>
        <v>3.3819241982507291E-2</v>
      </c>
      <c r="D11" s="84">
        <f>IF(VLOOKUP(A11,Schlußkurse!A5:AU70,36,FALSE)&gt;0,VLOOKUP(A11,Dividende_je_Aktie!A3:AM68,8,FALSE)/VLOOKUP(A11,Schlußkurse!A5:AU70,36,FALSE),"")</f>
        <v>3.0903790087463561E-2</v>
      </c>
      <c r="E11" s="84">
        <f>IF(VLOOKUP(A11,Schlußkurse!A5:AU70,37,FALSE)&gt;0,VLOOKUP(A11,Dividende_je_Aktie!A3:AM68,9,FALSE)/VLOOKUP(A11,Schlußkurse!A5:AU70,37,FALSE),"")</f>
        <v>3.7735849056603772E-2</v>
      </c>
      <c r="F11" s="84">
        <f>IF(VLOOKUP(A11,Schlußkurse!A5:AU70,38,FALSE)&gt;0,VLOOKUP(A11,Dividende_je_Aktie!A3:AM68,10,FALSE)/VLOOKUP(A11,Schlußkurse!A5:AU70,38,FALSE),"")</f>
        <v>4.0225261464199517E-2</v>
      </c>
      <c r="G11" s="84">
        <f>IF(VLOOKUP(A11,Schlußkurse!A5:AU70,39,FALSE)&gt;0,VLOOKUP(A11,Dividende_je_Aktie!A3:AM68,11,FALSE)/VLOOKUP(A11,Schlußkurse!A5:AU70,39,FALSE),"")</f>
        <v>8.144269924374635E-2</v>
      </c>
      <c r="H11" s="84">
        <f>IF(VLOOKUP(A11,Schlußkurse!A5:AU70,40,FALSE)&gt;0,VLOOKUP(A11,Dividende_je_Aktie!A3:AM68,12,FALSE)/VLOOKUP(A11,Schlußkurse!A5:AU70,40,FALSE),"")</f>
        <v>7.8962210941906363E-2</v>
      </c>
      <c r="I11" s="84">
        <f>IF(VLOOKUP(A11,Schlußkurse!A5:AU70,41,FALSE)&gt;0,VLOOKUP(A11,Dividende_je_Aktie!A3:AM68,13,FALSE)/VLOOKUP(A11,Schlußkurse!A5:AU70,41,FALSE),"")</f>
        <v>7.2501294665976185E-2</v>
      </c>
      <c r="J11" s="84">
        <f>IF(VLOOKUP(A11,Schlußkurse!A5:AU70,42,FALSE)&gt;0,VLOOKUP(A11,Dividende_je_Aktie!A3:AM68,14,FALSE)/VLOOKUP(A11,Schlußkurse!A5:AU70,42,FALSE),"")</f>
        <v>7.5801749271137031E-2</v>
      </c>
      <c r="K11" s="84">
        <f>IF(VLOOKUP(A11,Schlußkurse!A5:AU70,43,FALSE)&gt;0,VLOOKUP(A11,Dividende_je_Aktie!A3:AM68,15,FALSE)/VLOOKUP(A11,Schlußkurse!A5:AU70,43,FALSE),"")</f>
        <v>7.2558139534883728E-2</v>
      </c>
      <c r="L11" s="84">
        <f>IF(VLOOKUP(A11,Schlußkurse!A5:AU70,44,FALSE)&gt;0,VLOOKUP(A11,Dividende_je_Aktie!A3:AM68,16,FALSE)/VLOOKUP(A11,Schlußkurse!A5:AU70,44,FALSE),"")</f>
        <v>5.1930758988015982E-2</v>
      </c>
      <c r="M11" s="84">
        <f>IF(VLOOKUP(A11,Schlußkurse!A5:AU70,45,FALSE)&gt;0,VLOOKUP(A11,Dividende_je_Aktie!A3:AM68,17,FALSE)/VLOOKUP(A11,Schlußkurse!A5:AU70,45,FALSE),"")</f>
        <v>5.2023121387283239E-2</v>
      </c>
      <c r="N11" s="84">
        <f>IF(VLOOKUP(A11,Schlußkurse!A5:AU70,46,FALSE)&gt;0,VLOOKUP(A11,Dividende_je_Aktie!A3:AM68,18,FALSE)/VLOOKUP(A11,Schlußkurse!A5:AU70,46,FALSE),"")</f>
        <v>5.1136363636363633E-2</v>
      </c>
      <c r="O11" s="85">
        <f>IF(VLOOKUP(A11,Schlußkurse!A5:AU70,47,FALSE)&gt;0,VLOOKUP(A11,Dividende_je_Aktie!A3:AM68,19,FALSE)/VLOOKUP(A11,Schlußkurse!A5:AU70,47,FALSE),"")</f>
        <v>3.7237237237237243E-2</v>
      </c>
      <c r="P11" s="5">
        <f t="shared" si="0"/>
        <v>5.5098285961332621E-2</v>
      </c>
      <c r="Q11" s="5">
        <f ca="1">VLOOKUP(A11,Dividende_je_Aktie!A3:AM68,24,FALSE)/VLOOKUP(A11,Schlußkurse!A5:AU70,35,FALSE)</f>
        <v>3.1494978943958536E-2</v>
      </c>
      <c r="R11" s="5">
        <f t="shared" ca="1" si="1"/>
        <v>-0.42838550429569855</v>
      </c>
    </row>
    <row r="12" spans="1:18" x14ac:dyDescent="0.25">
      <c r="A12" t="s">
        <v>16</v>
      </c>
      <c r="B12" t="s">
        <v>17</v>
      </c>
      <c r="C12" s="83">
        <f>IF(VLOOKUP(A12,Schlußkurse!A5:AU70,35,FALSE)&gt;0,VLOOKUP(A12,Dividende_je_Aktie!A3:AM68,7,FALSE)/VLOOKUP(A12,Schlußkurse!A5:AU70,35,FALSE),"")</f>
        <v>1.8392581143740337E-2</v>
      </c>
      <c r="D12" s="84">
        <f>IF(VLOOKUP(A12,Schlußkurse!A5:AU70,36,FALSE)&gt;0,VLOOKUP(A12,Dividende_je_Aktie!A3:AM68,8,FALSE)/VLOOKUP(A12,Schlußkurse!A5:AU70,36,FALSE),"")</f>
        <v>1.7001545595054096E-2</v>
      </c>
      <c r="E12" s="84">
        <f>IF(VLOOKUP(A12,Schlußkurse!A5:AU70,37,FALSE)&gt;0,VLOOKUP(A12,Dividende_je_Aktie!A3:AM68,9,FALSE)/VLOOKUP(A12,Schlußkurse!A5:AU70,37,FALSE),"")</f>
        <v>1.7507723995880537E-2</v>
      </c>
      <c r="F12" s="84">
        <f>IF(VLOOKUP(A12,Schlußkurse!A5:AU70,38,FALSE)&gt;0,VLOOKUP(A12,Dividende_je_Aktie!A3:AM68,10,FALSE)/VLOOKUP(A12,Schlußkurse!A5:AU70,38,FALSE),"")</f>
        <v>1.6048788316482106E-2</v>
      </c>
      <c r="G12" s="84">
        <f>IF(VLOOKUP(A12,Schlußkurse!A5:AU70,39,FALSE)&gt;0,VLOOKUP(A12,Dividende_je_Aktie!A3:AM68,11,FALSE)/VLOOKUP(A12,Schlußkurse!A5:AU70,39,FALSE),"")</f>
        <v>1.4005602240896359E-2</v>
      </c>
      <c r="H12" s="84">
        <f>IF(VLOOKUP(A12,Schlußkurse!A5:AU70,40,FALSE)&gt;0,VLOOKUP(A12,Dividende_je_Aktie!A3:AM68,12,FALSE)/VLOOKUP(A12,Schlußkurse!A5:AU70,40,FALSE),"")</f>
        <v>2.6927784577723379E-2</v>
      </c>
      <c r="I12" s="84">
        <f>IF(VLOOKUP(A12,Schlußkurse!A5:AU70,41,FALSE)&gt;0,VLOOKUP(A12,Dividende_je_Aktie!A3:AM68,13,FALSE)/VLOOKUP(A12,Schlußkurse!A5:AU70,41,FALSE),"")</f>
        <v>1.5748031496062992E-2</v>
      </c>
      <c r="J12" s="84">
        <f>IF(VLOOKUP(A12,Schlußkurse!A5:AU70,42,FALSE)&gt;0,VLOOKUP(A12,Dividende_je_Aktie!A3:AM68,14,FALSE)/VLOOKUP(A12,Schlußkurse!A5:AU70,42,FALSE),"")</f>
        <v>1.5151515151515152E-2</v>
      </c>
      <c r="K12" s="84">
        <f>IF(VLOOKUP(A12,Schlußkurse!A5:AU70,43,FALSE)&gt;0,VLOOKUP(A12,Dividende_je_Aktie!A3:AM68,15,FALSE)/VLOOKUP(A12,Schlußkurse!A5:AU70,43,FALSE),"")</f>
        <v>1.9809825673534075E-2</v>
      </c>
      <c r="L12" s="84">
        <f>IF(VLOOKUP(A12,Schlußkurse!A5:AU70,44,FALSE)&gt;0,VLOOKUP(A12,Dividende_je_Aktie!A3:AM68,16,FALSE)/VLOOKUP(A12,Schlußkurse!A5:AU70,44,FALSE),"")</f>
        <v>1.4072614691809739E-2</v>
      </c>
      <c r="M12" s="84">
        <f>IF(VLOOKUP(A12,Schlußkurse!A5:AU70,45,FALSE)&gt;0,VLOOKUP(A12,Dividende_je_Aktie!A3:AM68,17,FALSE)/VLOOKUP(A12,Schlußkurse!A5:AU70,45,FALSE),"")</f>
        <v>1.1425732737208148E-2</v>
      </c>
      <c r="N12" s="84">
        <f>IF(VLOOKUP(A12,Schlußkurse!A5:AU70,46,FALSE)&gt;0,VLOOKUP(A12,Dividende_je_Aktie!A3:AM68,18,FALSE)/VLOOKUP(A12,Schlußkurse!A5:AU70,46,FALSE),"")</f>
        <v>9.4019326194828938E-3</v>
      </c>
      <c r="O12" s="85">
        <f>IF(VLOOKUP(A12,Schlußkurse!A5:AU70,47,FALSE)&gt;0,VLOOKUP(A12,Dividende_je_Aktie!A3:AM68,19,FALSE)/VLOOKUP(A12,Schlußkurse!A5:AU70,47,FALSE),"")</f>
        <v>8.5235920852359207E-3</v>
      </c>
      <c r="P12" s="5">
        <f t="shared" si="0"/>
        <v>1.5693636178817364E-2</v>
      </c>
      <c r="Q12" s="5">
        <f ca="1">VLOOKUP(A12,Dividende_je_Aktie!A3:AM68,24,FALSE)/VLOOKUP(A12,Schlußkurse!A5:AU70,35,FALSE)</f>
        <v>1.7283616692426586E-2</v>
      </c>
      <c r="R12" s="5">
        <f t="shared" ca="1" si="1"/>
        <v>0.10131371056984961</v>
      </c>
    </row>
    <row r="13" spans="1:18" x14ac:dyDescent="0.25">
      <c r="A13" t="s">
        <v>18</v>
      </c>
      <c r="B13" t="s">
        <v>19</v>
      </c>
      <c r="C13" s="83">
        <f>IF(VLOOKUP(A13,Schlußkurse!A5:AU70,35,FALSE)&gt;0,VLOOKUP(A13,Dividende_je_Aktie!A3:AM68,7,FALSE)/VLOOKUP(A13,Schlußkurse!A5:AU70,35,FALSE),"")</f>
        <v>3.5686653771760155E-2</v>
      </c>
      <c r="D13" s="84">
        <f>IF(VLOOKUP(A13,Schlußkurse!A5:AU70,36,FALSE)&gt;0,VLOOKUP(A13,Dividende_je_Aktie!A3:AM68,8,FALSE)/VLOOKUP(A13,Schlußkurse!A5:AU70,36,FALSE),"")</f>
        <v>3.3945841392649896E-2</v>
      </c>
      <c r="E13" s="84">
        <f>IF(VLOOKUP(A13,Schlußkurse!A5:AU70,37,FALSE)&gt;0,VLOOKUP(A13,Dividende_je_Aktie!A3:AM68,9,FALSE)/VLOOKUP(A13,Schlußkurse!A5:AU70,37,FALSE),"")</f>
        <v>3.496874006569884E-2</v>
      </c>
      <c r="F13" s="84">
        <f>IF(VLOOKUP(A13,Schlußkurse!A5:AU70,38,FALSE)&gt;0,VLOOKUP(A13,Dividende_je_Aktie!A3:AM68,10,FALSE)/VLOOKUP(A13,Schlußkurse!A5:AU70,38,FALSE),"")</f>
        <v>3.368515607455648E-2</v>
      </c>
      <c r="G13" s="84">
        <f>IF(VLOOKUP(A13,Schlußkurse!A5:AU70,39,FALSE)&gt;0,VLOOKUP(A13,Dividende_je_Aktie!A3:AM68,11,FALSE)/VLOOKUP(A13,Schlußkurse!A5:AU70,39,FALSE),"")</f>
        <v>3.8654812524159261E-2</v>
      </c>
      <c r="H13" s="84">
        <f>IF(VLOOKUP(A13,Schlußkurse!A5:AU70,40,FALSE)&gt;0,VLOOKUP(A13,Dividende_je_Aktie!A3:AM68,12,FALSE)/VLOOKUP(A13,Schlußkurse!A5:AU70,40,FALSE),"")</f>
        <v>4.4039929536112736E-2</v>
      </c>
      <c r="I13" s="84">
        <f>IF(VLOOKUP(A13,Schlußkurse!A5:AU70,41,FALSE)&gt;0,VLOOKUP(A13,Dividende_je_Aktie!A3:AM68,13,FALSE)/VLOOKUP(A13,Schlußkurse!A5:AU70,41,FALSE),"")</f>
        <v>3.487020534676482E-2</v>
      </c>
      <c r="J13" s="84">
        <f>IF(VLOOKUP(A13,Schlußkurse!A5:AU70,42,FALSE)&gt;0,VLOOKUP(A13,Dividende_je_Aktie!A3:AM68,14,FALSE)/VLOOKUP(A13,Schlußkurse!A5:AU70,42,FALSE),"")</f>
        <v>2.5284450063211127E-2</v>
      </c>
      <c r="K13" s="84">
        <f>IF(VLOOKUP(A13,Schlußkurse!A5:AU70,43,FALSE)&gt;0,VLOOKUP(A13,Dividende_je_Aktie!A3:AM68,15,FALSE)/VLOOKUP(A13,Schlußkurse!A5:AU70,43,FALSE),"")</f>
        <v>2.4334600760456276E-2</v>
      </c>
      <c r="L13" s="84">
        <f>IF(VLOOKUP(A13,Schlußkurse!A5:AU70,44,FALSE)&gt;0,VLOOKUP(A13,Dividende_je_Aktie!A3:AM68,16,FALSE)/VLOOKUP(A13,Schlußkurse!A5:AU70,44,FALSE),"")</f>
        <v>1.6594067620825555E-2</v>
      </c>
      <c r="M13" s="84">
        <f>IF(VLOOKUP(A13,Schlußkurse!A5:AU70,45,FALSE)&gt;0,VLOOKUP(A13,Dividende_je_Aktie!A3:AM68,17,FALSE)/VLOOKUP(A13,Schlußkurse!A5:AU70,45,FALSE),"")</f>
        <v>2.1075581395348836E-2</v>
      </c>
      <c r="N13" s="84">
        <f>IF(VLOOKUP(A13,Schlußkurse!A5:AU70,46,FALSE)&gt;0,VLOOKUP(A13,Dividende_je_Aktie!A3:AM68,18,FALSE)/VLOOKUP(A13,Schlußkurse!A5:AU70,46,FALSE),"")</f>
        <v>2.1060842433697352E-2</v>
      </c>
      <c r="O13" s="85">
        <f>IF(VLOOKUP(A13,Schlußkurse!A5:AU70,47,FALSE)&gt;0,VLOOKUP(A13,Dividende_je_Aktie!A3:AM68,19,FALSE)/VLOOKUP(A13,Schlußkurse!A5:AU70,47,FALSE),"")</f>
        <v>2.1111298767100151E-2</v>
      </c>
      <c r="P13" s="5">
        <f t="shared" si="0"/>
        <v>2.9639398442487804E-2</v>
      </c>
      <c r="Q13" s="5">
        <f ca="1">VLOOKUP(A13,Dividende_je_Aktie!A3:AM68,24,FALSE)/VLOOKUP(A13,Schlußkurse!A5:AU70,35,FALSE)</f>
        <v>3.4738878143133464E-2</v>
      </c>
      <c r="R13" s="5">
        <f t="shared" ca="1" si="1"/>
        <v>0.17205071521747217</v>
      </c>
    </row>
    <row r="14" spans="1:18" x14ac:dyDescent="0.25">
      <c r="A14" t="s">
        <v>20</v>
      </c>
      <c r="B14" t="s">
        <v>21</v>
      </c>
      <c r="C14" s="83">
        <f>IF(VLOOKUP(A14,Schlußkurse!A5:AU70,35,FALSE)&gt;0,VLOOKUP(A14,Dividende_je_Aktie!A3:AM68,7,FALSE)/VLOOKUP(A14,Schlußkurse!A5:AU70,35,FALSE),"")</f>
        <v>4.5209003215434085E-2</v>
      </c>
      <c r="D14" s="84">
        <f>IF(VLOOKUP(A14,Schlußkurse!A5:AU70,36,FALSE)&gt;0,VLOOKUP(A14,Dividende_je_Aktie!A3:AM68,8,FALSE)/VLOOKUP(A14,Schlußkurse!A5:AU70,36,FALSE),"")</f>
        <v>4.4951768488745984E-2</v>
      </c>
      <c r="E14" s="84">
        <f>IF(VLOOKUP(A14,Schlußkurse!A5:AU70,37,FALSE)&gt;0,VLOOKUP(A14,Dividende_je_Aktie!A3:AM68,9,FALSE)/VLOOKUP(A14,Schlußkurse!A5:AU70,37,FALSE),"")</f>
        <v>4.9872588278121584E-2</v>
      </c>
      <c r="F14" s="84">
        <f>IF(VLOOKUP(A14,Schlußkurse!A5:AU70,38,FALSE)&gt;0,VLOOKUP(A14,Dividende_je_Aktie!A3:AM68,10,FALSE)/VLOOKUP(A14,Schlußkurse!A5:AU70,38,FALSE),"")</f>
        <v>4.0659762178749524E-2</v>
      </c>
      <c r="G14" s="84">
        <f>IF(VLOOKUP(A14,Schlußkurse!A5:AU70,39,FALSE)&gt;0,VLOOKUP(A14,Dividende_je_Aktie!A3:AM68,11,FALSE)/VLOOKUP(A14,Schlußkurse!A5:AU70,39,FALSE),"")</f>
        <v>4.2938931297709926E-2</v>
      </c>
      <c r="H14" s="84">
        <f>IF(VLOOKUP(A14,Schlußkurse!A5:AU70,40,FALSE)&gt;0,VLOOKUP(A14,Dividende_je_Aktie!A3:AM68,12,FALSE)/VLOOKUP(A14,Schlußkurse!A5:AU70,40,FALSE),"")</f>
        <v>6.0884859964822083E-2</v>
      </c>
      <c r="I14" s="84">
        <f>IF(VLOOKUP(A14,Schlußkurse!A5:AU70,41,FALSE)&gt;0,VLOOKUP(A14,Dividende_je_Aktie!A3:AM68,13,FALSE)/VLOOKUP(A14,Schlußkurse!A5:AU70,41,FALSE),"")</f>
        <v>5.0601596761497801E-2</v>
      </c>
      <c r="J14" s="84">
        <f>IF(VLOOKUP(A14,Schlußkurse!A5:AU70,42,FALSE)&gt;0,VLOOKUP(A14,Dividende_je_Aktie!A3:AM68,14,FALSE)/VLOOKUP(A14,Schlußkurse!A5:AU70,42,FALSE),"")</f>
        <v>4.7045324153757881E-2</v>
      </c>
      <c r="K14" s="84">
        <f>IF(VLOOKUP(A14,Schlußkurse!A5:AU70,43,FALSE)&gt;0,VLOOKUP(A14,Dividende_je_Aktie!A3:AM68,15,FALSE)/VLOOKUP(A14,Schlußkurse!A5:AU70,43,FALSE),"")</f>
        <v>4.6666666666666669E-2</v>
      </c>
      <c r="L14" s="84">
        <f>IF(VLOOKUP(A14,Schlußkurse!A5:AU70,44,FALSE)&gt;0,VLOOKUP(A14,Dividende_je_Aktie!A3:AM68,16,FALSE)/VLOOKUP(A14,Schlußkurse!A5:AU70,44,FALSE),"")</f>
        <v>3.717472118959108E-2</v>
      </c>
      <c r="M14" s="84">
        <f>IF(VLOOKUP(A14,Schlußkurse!A5:AU70,45,FALSE)&gt;0,VLOOKUP(A14,Dividende_je_Aktie!A3:AM68,17,FALSE)/VLOOKUP(A14,Schlußkurse!A5:AU70,45,FALSE),"")</f>
        <v>2.4554148358749032E-2</v>
      </c>
      <c r="N14" s="84">
        <f>IF(VLOOKUP(A14,Schlußkurse!A5:AU70,46,FALSE)&gt;0,VLOOKUP(A14,Dividende_je_Aktie!A3:AM68,18,FALSE)/VLOOKUP(A14,Schlußkurse!A5:AU70,46,FALSE),"")</f>
        <v>1.5632327653587619E-2</v>
      </c>
      <c r="O14" s="85">
        <f>IF(VLOOKUP(A14,Schlußkurse!A5:AU70,47,FALSE)&gt;0,VLOOKUP(A14,Dividende_je_Aktie!A3:AM68,19,FALSE)/VLOOKUP(A14,Schlußkurse!A5:AU70,47,FALSE),"")</f>
        <v>1.7930327868852462E-2</v>
      </c>
      <c r="P14" s="5">
        <f t="shared" si="0"/>
        <v>4.0317078928945059E-2</v>
      </c>
      <c r="Q14" s="5">
        <f ca="1">VLOOKUP(A14,Dividende_je_Aktie!A3:AM68,24,FALSE)/VLOOKUP(A14,Schlußkurse!A5:AU70,35,FALSE)</f>
        <v>4.5003929974991072E-2</v>
      </c>
      <c r="R14" s="5">
        <f t="shared" ca="1" si="1"/>
        <v>0.11624976735805026</v>
      </c>
    </row>
    <row r="15" spans="1:18" x14ac:dyDescent="0.25">
      <c r="A15" t="s">
        <v>22</v>
      </c>
      <c r="B15" t="s">
        <v>23</v>
      </c>
      <c r="C15" s="83">
        <f>IF(VLOOKUP(A15,Schlußkurse!A5:AU70,35,FALSE)&gt;0,VLOOKUP(A15,Dividende_je_Aktie!A3:AM68,7,FALSE)/VLOOKUP(A15,Schlußkurse!A5:AU70,35,FALSE),"")</f>
        <v>4.1718106995884768E-2</v>
      </c>
      <c r="D15" s="84">
        <f>IF(VLOOKUP(A15,Schlußkurse!A5:AU70,36,FALSE)&gt;0,VLOOKUP(A15,Dividende_je_Aktie!A3:AM68,8,FALSE)/VLOOKUP(A15,Schlußkurse!A5:AU70,36,FALSE),"")</f>
        <v>4.0432098765432099E-2</v>
      </c>
      <c r="E15" s="84">
        <f>IF(VLOOKUP(A15,Schlußkurse!A5:AU70,37,FALSE)&gt;0,VLOOKUP(A15,Dividende_je_Aktie!A3:AM68,9,FALSE)/VLOOKUP(A15,Schlußkurse!A5:AU70,37,FALSE),"")</f>
        <v>4.6757164404223228E-2</v>
      </c>
      <c r="F15" s="84">
        <f>IF(VLOOKUP(A15,Schlußkurse!A5:AU70,38,FALSE)&gt;0,VLOOKUP(A15,Dividende_je_Aktie!A3:AM68,10,FALSE)/VLOOKUP(A15,Schlußkurse!A5:AU70,38,FALSE),"")</f>
        <v>4.5270059319388073E-2</v>
      </c>
      <c r="G15" s="84">
        <f>IF(VLOOKUP(A15,Schlußkurse!A5:AU70,39,FALSE)&gt;0,VLOOKUP(A15,Dividende_je_Aktie!A3:AM68,11,FALSE)/VLOOKUP(A15,Schlußkurse!A5:AU70,39,FALSE),"")</f>
        <v>5.1470588235294115E-2</v>
      </c>
      <c r="H15" s="84">
        <f>IF(VLOOKUP(A15,Schlußkurse!A5:AU70,40,FALSE)&gt;0,VLOOKUP(A15,Dividende_je_Aktie!A3:AM68,12,FALSE)/VLOOKUP(A15,Schlußkurse!A5:AU70,40,FALSE),"")</f>
        <v>6.5942181894914534E-2</v>
      </c>
      <c r="I15" s="84">
        <f>IF(VLOOKUP(A15,Schlußkurse!A5:AU70,41,FALSE)&gt;0,VLOOKUP(A15,Dividende_je_Aktie!A3:AM68,13,FALSE)/VLOOKUP(A15,Schlußkurse!A5:AU70,41,FALSE),"")</f>
        <v>5.509034817100044E-2</v>
      </c>
      <c r="J15" s="84">
        <f>IF(VLOOKUP(A15,Schlußkurse!A5:AU70,42,FALSE)&gt;0,VLOOKUP(A15,Dividende_je_Aktie!A3:AM68,14,FALSE)/VLOOKUP(A15,Schlußkurse!A5:AU70,42,FALSE),"")</f>
        <v>5.2912487347013898E-2</v>
      </c>
      <c r="K15" s="84">
        <f>IF(VLOOKUP(A15,Schlußkurse!A5:AU70,43,FALSE)&gt;0,VLOOKUP(A15,Dividende_je_Aktie!A3:AM68,15,FALSE)/VLOOKUP(A15,Schlußkurse!A5:AU70,43,FALSE),"")</f>
        <v>4.954954954954955E-2</v>
      </c>
      <c r="L15" s="84">
        <f>IF(VLOOKUP(A15,Schlußkurse!A5:AU70,44,FALSE)&gt;0,VLOOKUP(A15,Dividende_je_Aktie!A3:AM68,16,FALSE)/VLOOKUP(A15,Schlußkurse!A5:AU70,44,FALSE),"")</f>
        <v>4.137204754024372E-2</v>
      </c>
      <c r="M15" s="84">
        <f>IF(VLOOKUP(A15,Schlußkurse!A5:AU70,45,FALSE)&gt;0,VLOOKUP(A15,Dividende_je_Aktie!A3:AM68,17,FALSE)/VLOOKUP(A15,Schlußkurse!A5:AU70,45,FALSE),"")</f>
        <v>3.4503910443183565E-2</v>
      </c>
      <c r="N15" s="84">
        <f>IF(VLOOKUP(A15,Schlußkurse!A5:AU70,46,FALSE)&gt;0,VLOOKUP(A15,Dividende_je_Aktie!A3:AM68,18,FALSE)/VLOOKUP(A15,Schlußkurse!A5:AU70,46,FALSE),"")</f>
        <v>2.710264032173457E-2</v>
      </c>
      <c r="O15" s="85">
        <f>IF(VLOOKUP(A15,Schlußkurse!A5:AU70,47,FALSE)&gt;0,VLOOKUP(A15,Dividende_je_Aktie!A3:AM68,19,FALSE)/VLOOKUP(A15,Schlußkurse!A5:AU70,47,FALSE),"")</f>
        <v>2.2111663902708679E-2</v>
      </c>
      <c r="P15" s="5">
        <f t="shared" si="0"/>
        <v>4.4171757453120859E-2</v>
      </c>
      <c r="Q15" s="5">
        <f ca="1">VLOOKUP(A15,Dividende_je_Aktie!A3:AM68,24,FALSE)/VLOOKUP(A15,Schlußkurse!A5:AU70,35,FALSE)</f>
        <v>4.0692872656607225E-2</v>
      </c>
      <c r="R15" s="5">
        <f t="shared" ca="1" si="1"/>
        <v>-7.8758125035114257E-2</v>
      </c>
    </row>
    <row r="16" spans="1:18" x14ac:dyDescent="0.25">
      <c r="A16" t="s">
        <v>24</v>
      </c>
      <c r="B16" t="s">
        <v>25</v>
      </c>
      <c r="C16" s="83">
        <f>IF(VLOOKUP(A16,Schlußkurse!A5:AU70,35,FALSE)&gt;0,VLOOKUP(A16,Dividende_je_Aktie!A3:AM68,7,FALSE)/VLOOKUP(A16,Schlußkurse!A5:AU70,35,FALSE),"")</f>
        <v>3.3911410582127467E-2</v>
      </c>
      <c r="D16" s="84">
        <f>IF(VLOOKUP(A16,Schlußkurse!A5:AU70,36,FALSE)&gt;0,VLOOKUP(A16,Dividende_je_Aktie!A3:AM68,8,FALSE)/VLOOKUP(A16,Schlußkurse!A5:AU70,36,FALSE),"")</f>
        <v>3.2144040649508453E-2</v>
      </c>
      <c r="E16" s="84">
        <f>IF(VLOOKUP(A16,Schlußkurse!A5:AU70,37,FALSE)&gt;0,VLOOKUP(A16,Dividende_je_Aktie!A3:AM68,9,FALSE)/VLOOKUP(A16,Schlußkurse!A5:AU70,37,FALSE),"")</f>
        <v>4.0068689181453919E-2</v>
      </c>
      <c r="F16" s="84">
        <f>IF(VLOOKUP(A16,Schlußkurse!A5:AU70,38,FALSE)&gt;0,VLOOKUP(A16,Dividende_je_Aktie!A3:AM68,10,FALSE)/VLOOKUP(A16,Schlußkurse!A5:AU70,38,FALSE),"")</f>
        <v>3.4843205574912897E-2</v>
      </c>
      <c r="G16" s="84">
        <f>IF(VLOOKUP(A16,Schlußkurse!A5:AU70,39,FALSE)&gt;0,VLOOKUP(A16,Dividende_je_Aktie!A3:AM68,11,FALSE)/VLOOKUP(A16,Schlußkurse!A5:AU70,39,FALSE),"")</f>
        <v>3.6542515811665496E-2</v>
      </c>
      <c r="H16" s="84">
        <f>IF(VLOOKUP(A16,Schlußkurse!A5:AU70,40,FALSE)&gt;0,VLOOKUP(A16,Dividende_je_Aktie!A3:AM68,12,FALSE)/VLOOKUP(A16,Schlußkurse!A5:AU70,40,FALSE),"")</f>
        <v>4.6390796066060495E-2</v>
      </c>
      <c r="I16" s="84">
        <f>IF(VLOOKUP(A16,Schlußkurse!A5:AU70,41,FALSE)&gt;0,VLOOKUP(A16,Dividende_je_Aktie!A3:AM68,13,FALSE)/VLOOKUP(A16,Schlußkurse!A5:AU70,41,FALSE),"")</f>
        <v>3.6850921273031828E-2</v>
      </c>
      <c r="J16" s="84">
        <f>IF(VLOOKUP(A16,Schlußkurse!A5:AU70,42,FALSE)&gt;0,VLOOKUP(A16,Dividende_je_Aktie!A3:AM68,14,FALSE)/VLOOKUP(A16,Schlußkurse!A5:AU70,42,FALSE),"")</f>
        <v>3.9116428900138056E-2</v>
      </c>
      <c r="K16" s="84">
        <f>IF(VLOOKUP(A16,Schlußkurse!A5:AU70,43,FALSE)&gt;0,VLOOKUP(A16,Dividende_je_Aktie!A3:AM68,15,FALSE)/VLOOKUP(A16,Schlußkurse!A5:AU70,43,FALSE),"")</f>
        <v>7.0320952037504506E-2</v>
      </c>
      <c r="L16" s="84">
        <f>IF(VLOOKUP(A16,Schlußkurse!A5:AU70,44,FALSE)&gt;0,VLOOKUP(A16,Dividende_je_Aktie!A3:AM68,16,FALSE)/VLOOKUP(A16,Schlußkurse!A5:AU70,44,FALSE),"")</f>
        <v>3.8457745784439404E-2</v>
      </c>
      <c r="M16" s="84">
        <f>IF(VLOOKUP(A16,Schlußkurse!A5:AU70,45,FALSE)&gt;0,VLOOKUP(A16,Dividende_je_Aktie!A3:AM68,17,FALSE)/VLOOKUP(A16,Schlußkurse!A5:AU70,45,FALSE),"")</f>
        <v>4.0622884224779963E-2</v>
      </c>
      <c r="N16" s="84">
        <f>IF(VLOOKUP(A16,Schlußkurse!A5:AU70,46,FALSE)&gt;0,VLOOKUP(A16,Dividende_je_Aktie!A3:AM68,18,FALSE)/VLOOKUP(A16,Schlußkurse!A5:AU70,46,FALSE),"")</f>
        <v>3.0907124092103232E-2</v>
      </c>
      <c r="O16" s="85">
        <f>IF(VLOOKUP(A16,Schlußkurse!A5:AU70,47,FALSE)&gt;0,VLOOKUP(A16,Dividende_je_Aktie!A3:AM68,19,FALSE)/VLOOKUP(A16,Schlußkurse!A5:AU70,47,FALSE),"")</f>
        <v>3.2075471698113207E-2</v>
      </c>
      <c r="P16" s="5">
        <f t="shared" si="0"/>
        <v>3.940401429814145E-2</v>
      </c>
      <c r="Q16" s="5">
        <f ca="1">VLOOKUP(A16,Dividende_je_Aktie!A3:AM68,24,FALSE)/VLOOKUP(A16,Schlußkurse!A5:AU70,35,FALSE)</f>
        <v>3.2502423996956194E-2</v>
      </c>
      <c r="R16" s="5">
        <f t="shared" ca="1" si="1"/>
        <v>-0.17514942129920963</v>
      </c>
    </row>
    <row r="17" spans="1:18" x14ac:dyDescent="0.25">
      <c r="A17" t="s">
        <v>26</v>
      </c>
      <c r="B17" t="s">
        <v>27</v>
      </c>
      <c r="C17" s="83">
        <f>IF(VLOOKUP(A17,Schlußkurse!A5:AU70,35,FALSE)&gt;0,VLOOKUP(A17,Dividende_je_Aktie!A3:AM68,7,FALSE)/VLOOKUP(A17,Schlußkurse!A5:AU70,35,FALSE),"")</f>
        <v>1.9477769936485534E-2</v>
      </c>
      <c r="D17" s="84">
        <f>IF(VLOOKUP(A17,Schlußkurse!A5:AU70,36,FALSE)&gt;0,VLOOKUP(A17,Dividende_je_Aktie!A3:AM68,8,FALSE)/VLOOKUP(A17,Schlußkurse!A5:AU70,36,FALSE),"")</f>
        <v>1.7572335920959779E-2</v>
      </c>
      <c r="E17" s="84">
        <f>IF(VLOOKUP(A17,Schlußkurse!A5:AU70,37,FALSE)&gt;0,VLOOKUP(A17,Dividende_je_Aktie!A3:AM68,9,FALSE)/VLOOKUP(A17,Schlußkurse!A5:AU70,37,FALSE),"")</f>
        <v>1.9911504424778761E-2</v>
      </c>
      <c r="F17" s="84">
        <f>IF(VLOOKUP(A17,Schlußkurse!A5:AU70,38,FALSE)&gt;0,VLOOKUP(A17,Dividende_je_Aktie!A3:AM68,10,FALSE)/VLOOKUP(A17,Schlußkurse!A5:AU70,38,FALSE),"")</f>
        <v>2.0598332515939188E-2</v>
      </c>
      <c r="G17" s="84">
        <f>IF(VLOOKUP(A17,Schlußkurse!A5:AU70,39,FALSE)&gt;0,VLOOKUP(A17,Dividende_je_Aktie!A3:AM68,11,FALSE)/VLOOKUP(A17,Schlußkurse!A5:AU70,39,FALSE),"")</f>
        <v>2.6429266935596048E-2</v>
      </c>
      <c r="H17" s="84">
        <f>IF(VLOOKUP(A17,Schlußkurse!A5:AU70,40,FALSE)&gt;0,VLOOKUP(A17,Dividende_je_Aktie!A3:AM68,12,FALSE)/VLOOKUP(A17,Schlußkurse!A5:AU70,40,FALSE),"")</f>
        <v>3.3400809716599186E-2</v>
      </c>
      <c r="I17" s="84">
        <f>IF(VLOOKUP(A17,Schlußkurse!A5:AU70,41,FALSE)&gt;0,VLOOKUP(A17,Dividende_je_Aktie!A3:AM68,13,FALSE)/VLOOKUP(A17,Schlußkurse!A5:AU70,41,FALSE),"")</f>
        <v>2.7124773960217001E-2</v>
      </c>
      <c r="J17" s="84">
        <f>IF(VLOOKUP(A17,Schlußkurse!A5:AU70,42,FALSE)&gt;0,VLOOKUP(A17,Dividende_je_Aktie!A3:AM68,14,FALSE)/VLOOKUP(A17,Schlußkurse!A5:AU70,42,FALSE),"")</f>
        <v>2.5017869907076482E-2</v>
      </c>
      <c r="K17" s="84">
        <f>IF(VLOOKUP(A17,Schlußkurse!A5:AU70,43,FALSE)&gt;0,VLOOKUP(A17,Dividende_je_Aktie!A3:AM68,15,FALSE)/VLOOKUP(A17,Schlußkurse!A5:AU70,43,FALSE),"")</f>
        <v>3.3694344163658241E-2</v>
      </c>
      <c r="L17" s="84">
        <f>IF(VLOOKUP(A17,Schlußkurse!A5:AU70,44,FALSE)&gt;0,VLOOKUP(A17,Dividende_je_Aktie!A3:AM68,16,FALSE)/VLOOKUP(A17,Schlußkurse!A5:AU70,44,FALSE),"")</f>
        <v>2.1589636974252358E-2</v>
      </c>
      <c r="M17" s="84">
        <f>IF(VLOOKUP(A17,Schlußkurse!A5:AU70,45,FALSE)&gt;0,VLOOKUP(A17,Dividende_je_Aktie!A3:AM68,17,FALSE)/VLOOKUP(A17,Schlußkurse!A5:AU70,45,FALSE),"")</f>
        <v>2.4594195769798328E-2</v>
      </c>
      <c r="N17" s="84">
        <f>IF(VLOOKUP(A17,Schlußkurse!A5:AU70,46,FALSE)&gt;0,VLOOKUP(A17,Dividende_je_Aktie!A3:AM68,18,FALSE)/VLOOKUP(A17,Schlußkurse!A5:AU70,46,FALSE),"")</f>
        <v>2.6919807310852931E-2</v>
      </c>
      <c r="O17" s="85">
        <f>IF(VLOOKUP(A17,Schlußkurse!A5:AU70,47,FALSE)&gt;0,VLOOKUP(A17,Dividende_je_Aktie!A3:AM68,19,FALSE)/VLOOKUP(A17,Schlußkurse!A5:AU70,47,FALSE),"")</f>
        <v>2.2052927024859663E-2</v>
      </c>
      <c r="P17" s="5">
        <f t="shared" si="0"/>
        <v>2.4491044197005655E-2</v>
      </c>
      <c r="Q17" s="5">
        <f ca="1">VLOOKUP(A17,Dividende_je_Aktie!A3:AM68,24,FALSE)/VLOOKUP(A17,Schlußkurse!A5:AU70,35,FALSE)</f>
        <v>1.7958715596330277E-2</v>
      </c>
      <c r="R17" s="5">
        <f t="shared" ca="1" si="1"/>
        <v>-0.26672315594751317</v>
      </c>
    </row>
    <row r="18" spans="1:18" x14ac:dyDescent="0.25">
      <c r="A18" t="s">
        <v>28</v>
      </c>
      <c r="B18" t="s">
        <v>29</v>
      </c>
      <c r="C18" s="83">
        <f>IF(VLOOKUP(A18,Schlußkurse!A5:AU70,35,FALSE)&gt;0,VLOOKUP(A18,Dividende_je_Aktie!A3:AM68,7,FALSE)/VLOOKUP(A18,Schlußkurse!A5:AU70,35,FALSE),"")</f>
        <v>3.90625E-2</v>
      </c>
      <c r="D18" s="84">
        <f>IF(VLOOKUP(A18,Schlußkurse!A5:AU70,36,FALSE)&gt;0,VLOOKUP(A18,Dividende_je_Aktie!A3:AM68,8,FALSE)/VLOOKUP(A18,Schlußkurse!A5:AU70,36,FALSE),"")</f>
        <v>3.4374999999999996E-2</v>
      </c>
      <c r="E18" s="84">
        <f>IF(VLOOKUP(A18,Schlußkurse!A5:AU70,37,FALSE)&gt;0,VLOOKUP(A18,Dividende_je_Aktie!A3:AM68,9,FALSE)/VLOOKUP(A18,Schlußkurse!A5:AU70,37,FALSE),"")</f>
        <v>5.7175528873642079E-2</v>
      </c>
      <c r="F18" s="84">
        <f>IF(VLOOKUP(A18,Schlußkurse!A5:AU70,38,FALSE)&gt;0,VLOOKUP(A18,Dividende_je_Aktie!A3:AM68,10,FALSE)/VLOOKUP(A18,Schlußkurse!A5:AU70,38,FALSE),"")</f>
        <v>9.2222563787273282E-2</v>
      </c>
      <c r="G18" s="84">
        <f>IF(VLOOKUP(A18,Schlußkurse!A5:AU70,39,FALSE)&gt;0,VLOOKUP(A18,Dividende_je_Aktie!A3:AM68,11,FALSE)/VLOOKUP(A18,Schlußkurse!A5:AU70,39,FALSE),"")</f>
        <v>9.8360655737704916E-2</v>
      </c>
      <c r="H18" s="84">
        <f>IF(VLOOKUP(A18,Schlußkurse!A5:AU70,40,FALSE)&gt;0,VLOOKUP(A18,Dividende_je_Aktie!A3:AM68,12,FALSE)/VLOOKUP(A18,Schlußkurse!A5:AU70,40,FALSE),"")</f>
        <v>0.13287904599659284</v>
      </c>
      <c r="I18" s="84">
        <f>IF(VLOOKUP(A18,Schlußkurse!A5:AU70,41,FALSE)&gt;0,VLOOKUP(A18,Dividende_je_Aktie!A3:AM68,13,FALSE)/VLOOKUP(A18,Schlußkurse!A5:AU70,41,FALSE),"")</f>
        <v>7.7230016733170287E-2</v>
      </c>
      <c r="J18" s="84">
        <f>IF(VLOOKUP(A18,Schlußkurse!A5:AU70,42,FALSE)&gt;0,VLOOKUP(A18,Dividende_je_Aktie!A3:AM68,14,FALSE)/VLOOKUP(A18,Schlußkurse!A5:AU70,42,FALSE),"")</f>
        <v>5.3008216273522389E-2</v>
      </c>
      <c r="K18" s="84">
        <f>IF(VLOOKUP(A18,Schlußkurse!A5:AU70,43,FALSE)&gt;0,VLOOKUP(A18,Dividende_je_Aktie!A3:AM68,15,FALSE)/VLOOKUP(A18,Schlußkurse!A5:AU70,43,FALSE),"")</f>
        <v>9.8261526832955401E-2</v>
      </c>
      <c r="L18" s="84">
        <f>IF(VLOOKUP(A18,Schlußkurse!A5:AU70,44,FALSE)&gt;0,VLOOKUP(A18,Dividende_je_Aktie!A3:AM68,16,FALSE)/VLOOKUP(A18,Schlußkurse!A5:AU70,44,FALSE),"")</f>
        <v>4.8101827869459039E-2</v>
      </c>
      <c r="M18" s="84">
        <f>IF(VLOOKUP(A18,Schlußkurse!A5:AU70,45,FALSE)&gt;0,VLOOKUP(A18,Dividende_je_Aktie!A3:AM68,17,FALSE)/VLOOKUP(A18,Schlußkurse!A5:AU70,45,FALSE),"")</f>
        <v>4.025079340506231E-2</v>
      </c>
      <c r="N18" s="84">
        <f>IF(VLOOKUP(A18,Schlußkurse!A5:AU70,46,FALSE)&gt;0,VLOOKUP(A18,Dividende_je_Aktie!A3:AM68,18,FALSE)/VLOOKUP(A18,Schlußkurse!A5:AU70,46,FALSE),"")</f>
        <v>4.1229017375085893E-2</v>
      </c>
      <c r="O18" s="85">
        <f>IF(VLOOKUP(A18,Schlußkurse!A5:AU70,47,FALSE)&gt;0,VLOOKUP(A18,Dividende_je_Aktie!A3:AM68,19,FALSE)/VLOOKUP(A18,Schlußkurse!A5:AU70,47,FALSE),"")</f>
        <v>3.9558858786861661E-2</v>
      </c>
      <c r="P18" s="5">
        <f t="shared" si="0"/>
        <v>6.5516580897794635E-2</v>
      </c>
      <c r="Q18" s="5">
        <f ca="1">VLOOKUP(A18,Dividende_je_Aktie!A3:AM68,24,FALSE)/VLOOKUP(A18,Schlußkurse!A5:AU70,35,FALSE)</f>
        <v>3.5325520833333325E-2</v>
      </c>
      <c r="R18" s="5">
        <f t="shared" ca="1" si="1"/>
        <v>-0.46081556227055154</v>
      </c>
    </row>
    <row r="19" spans="1:18" x14ac:dyDescent="0.25">
      <c r="A19" t="s">
        <v>30</v>
      </c>
      <c r="B19" t="s">
        <v>31</v>
      </c>
      <c r="C19" s="83">
        <f>IF(VLOOKUP(A19,Schlußkurse!A5:AU70,35,FALSE)&gt;0,VLOOKUP(A19,Dividende_je_Aktie!A3:AM68,7,FALSE)/VLOOKUP(A19,Schlußkurse!A5:AU70,35,FALSE),"")</f>
        <v>5.211480362537764E-2</v>
      </c>
      <c r="D19" s="84">
        <f>IF(VLOOKUP(A19,Schlußkurse!A5:AU70,36,FALSE)&gt;0,VLOOKUP(A19,Dividende_je_Aktie!A3:AM68,8,FALSE)/VLOOKUP(A19,Schlußkurse!A5:AU70,36,FALSE),"")</f>
        <v>5.3625377643504529E-2</v>
      </c>
      <c r="E19" s="84">
        <f>IF(VLOOKUP(A19,Schlußkurse!A5:AU70,37,FALSE)&gt;0,VLOOKUP(A19,Dividende_je_Aktie!A3:AM68,9,FALSE)/VLOOKUP(A19,Schlußkurse!A5:AU70,37,FALSE),"")</f>
        <v>3.3557046979865772E-2</v>
      </c>
      <c r="F19" s="84">
        <f>IF(VLOOKUP(A19,Schlußkurse!A5:AU70,38,FALSE)&gt;0,VLOOKUP(A19,Dividende_je_Aktie!A3:AM68,10,FALSE)/VLOOKUP(A19,Schlußkurse!A5:AU70,38,FALSE),"")</f>
        <v>6.3371356147021538E-2</v>
      </c>
      <c r="G19" s="84">
        <f>IF(VLOOKUP(A19,Schlußkurse!A5:AU70,39,FALSE)&gt;0,VLOOKUP(A19,Dividende_je_Aktie!A3:AM68,11,FALSE)/VLOOKUP(A19,Schlußkurse!A5:AU70,39,FALSE),"")</f>
        <v>8.0471050049067711E-2</v>
      </c>
      <c r="H19" s="84">
        <f>IF(VLOOKUP(A19,Schlußkurse!A5:AU70,40,FALSE)&gt;0,VLOOKUP(A19,Dividende_je_Aktie!A3:AM68,12,FALSE)/VLOOKUP(A19,Schlußkurse!A5:AU70,40,FALSE),"")</f>
        <v>0.1135599551737019</v>
      </c>
      <c r="I19" s="84">
        <f>IF(VLOOKUP(A19,Schlußkurse!A5:AU70,41,FALSE)&gt;0,VLOOKUP(A19,Dividende_je_Aktie!A3:AM68,13,FALSE)/VLOOKUP(A19,Schlußkurse!A5:AU70,41,FALSE),"")</f>
        <v>7.6628352490421464E-2</v>
      </c>
      <c r="J19" s="84">
        <f>IF(VLOOKUP(A19,Schlußkurse!A5:AU70,42,FALSE)&gt;0,VLOOKUP(A19,Dividende_je_Aktie!A3:AM68,14,FALSE)/VLOOKUP(A19,Schlußkurse!A5:AU70,42,FALSE),"")</f>
        <v>5.1229508196721313E-2</v>
      </c>
      <c r="K19" s="84">
        <f>IF(VLOOKUP(A19,Schlußkurse!A5:AU70,43,FALSE)&gt;0,VLOOKUP(A19,Dividende_je_Aktie!A3:AM68,15,FALSE)/VLOOKUP(A19,Schlußkurse!A5:AU70,43,FALSE),"")</f>
        <v>5.6782334384858045E-2</v>
      </c>
      <c r="L19" s="84">
        <f>IF(VLOOKUP(A19,Schlußkurse!A5:AU70,44,FALSE)&gt;0,VLOOKUP(A19,Dividende_je_Aktie!A3:AM68,16,FALSE)/VLOOKUP(A19,Schlußkurse!A5:AU70,44,FALSE),"")</f>
        <v>2.9252925292529257E-2</v>
      </c>
      <c r="M19" s="84">
        <f>IF(VLOOKUP(A19,Schlußkurse!A5:AU70,45,FALSE)&gt;0,VLOOKUP(A19,Dividende_je_Aktie!A3:AM68,17,FALSE)/VLOOKUP(A19,Schlußkurse!A5:AU70,45,FALSE),"")</f>
        <v>3.4119106699751864E-2</v>
      </c>
      <c r="N19" s="84">
        <f>IF(VLOOKUP(A19,Schlußkurse!A5:AU70,46,FALSE)&gt;0,VLOOKUP(A19,Dividende_je_Aktie!A3:AM68,18,FALSE)/VLOOKUP(A19,Schlußkurse!A5:AU70,46,FALSE),"")</f>
        <v>3.9339103068450038E-2</v>
      </c>
      <c r="O19" s="85">
        <f>IF(VLOOKUP(A19,Schlußkurse!A5:AU70,47,FALSE)&gt;0,VLOOKUP(A19,Dividende_je_Aktie!A3:AM68,19,FALSE)/VLOOKUP(A19,Schlußkurse!A5:AU70,47,FALSE),"")</f>
        <v>2.8860028860028863E-2</v>
      </c>
      <c r="P19" s="5">
        <f t="shared" si="0"/>
        <v>5.4839303739330741E-2</v>
      </c>
      <c r="Q19" s="5">
        <f ca="1">VLOOKUP(A19,Dividende_je_Aktie!A3:AM68,24,FALSE)/VLOOKUP(A19,Schlußkurse!A5:AU70,35,FALSE)</f>
        <v>5.331906680093991E-2</v>
      </c>
      <c r="R19" s="5">
        <f t="shared" ca="1" si="1"/>
        <v>-2.7721667394192684E-2</v>
      </c>
    </row>
    <row r="20" spans="1:18" x14ac:dyDescent="0.25">
      <c r="A20" t="s">
        <v>32</v>
      </c>
      <c r="B20" t="s">
        <v>33</v>
      </c>
      <c r="C20" s="83">
        <f>IF(VLOOKUP(A20,Schlußkurse!A5:AU70,35,FALSE)&gt;0,VLOOKUP(A20,Dividende_je_Aktie!A3:AM68,7,FALSE)/VLOOKUP(A20,Schlußkurse!A5:AU70,35,FALSE),"")</f>
        <v>6.0477097099339232E-2</v>
      </c>
      <c r="D20" s="84">
        <f>IF(VLOOKUP(A20,Schlußkurse!A5:AU70,36,FALSE)&gt;0,VLOOKUP(A20,Dividende_je_Aktie!A3:AM68,8,FALSE)/VLOOKUP(A20,Schlußkurse!A5:AU70,36,FALSE),"")</f>
        <v>6.0029118602307086E-2</v>
      </c>
      <c r="E20" s="84">
        <f>IF(VLOOKUP(A20,Schlußkurse!A5:AU70,37,FALSE)&gt;0,VLOOKUP(A20,Dividende_je_Aktie!A3:AM68,9,FALSE)/VLOOKUP(A20,Schlußkurse!A5:AU70,37,FALSE),"")</f>
        <v>5.0564440263405452E-2</v>
      </c>
      <c r="F20" s="84">
        <f>IF(VLOOKUP(A20,Schlußkurse!A5:AU70,38,FALSE)&gt;0,VLOOKUP(A20,Dividende_je_Aktie!A3:AM68,10,FALSE)/VLOOKUP(A20,Schlußkurse!A5:AU70,38,FALSE),"")</f>
        <v>5.3447114304962941E-2</v>
      </c>
      <c r="G20" s="84">
        <f>IF(VLOOKUP(A20,Schlußkurse!A5:AU70,39,FALSE)&gt;0,VLOOKUP(A20,Dividende_je_Aktie!A3:AM68,11,FALSE)/VLOOKUP(A20,Schlußkurse!A5:AU70,39,FALSE),"")</f>
        <v>5.9984619328377335E-2</v>
      </c>
      <c r="H20" s="84">
        <f>IF(VLOOKUP(A20,Schlußkurse!A5:AU70,40,FALSE)&gt;0,VLOOKUP(A20,Dividende_je_Aktie!A3:AM68,12,FALSE)/VLOOKUP(A20,Schlußkurse!A5:AU70,40,FALSE),"")</f>
        <v>5.772151898734177E-2</v>
      </c>
      <c r="I20" s="84">
        <f>IF(VLOOKUP(A20,Schlußkurse!A5:AU70,41,FALSE)&gt;0,VLOOKUP(A20,Dividende_je_Aktie!A3:AM68,13,FALSE)/VLOOKUP(A20,Schlußkurse!A5:AU70,41,FALSE),"")</f>
        <v>5.7503152585119795E-2</v>
      </c>
      <c r="J20" s="84">
        <f>IF(VLOOKUP(A20,Schlußkurse!A5:AU70,42,FALSE)&gt;0,VLOOKUP(A20,Dividende_je_Aktie!A3:AM68,14,FALSE)/VLOOKUP(A20,Schlußkurse!A5:AU70,42,FALSE),"")</f>
        <v>5.0661037662481936E-2</v>
      </c>
      <c r="K20" s="84">
        <f>IF(VLOOKUP(A20,Schlußkurse!A5:AU70,43,FALSE)&gt;0,VLOOKUP(A20,Dividende_je_Aktie!A3:AM68,15,FALSE)/VLOOKUP(A20,Schlußkurse!A5:AU70,43,FALSE),"")</f>
        <v>5.8596761757902856E-2</v>
      </c>
      <c r="L20" s="84">
        <f>IF(VLOOKUP(A20,Schlußkurse!A5:AU70,44,FALSE)&gt;0,VLOOKUP(A20,Dividende_je_Aktie!A3:AM68,16,FALSE)/VLOOKUP(A20,Schlußkurse!A5:AU70,44,FALSE),"")</f>
        <v>3.6424423719866268E-2</v>
      </c>
      <c r="M20" s="84">
        <f>IF(VLOOKUP(A20,Schlußkurse!A5:AU70,45,FALSE)&gt;0,VLOOKUP(A20,Dividende_je_Aktie!A3:AM68,17,FALSE)/VLOOKUP(A20,Schlußkurse!A5:AU70,45,FALSE),"")</f>
        <v>3.4217749313815188E-2</v>
      </c>
      <c r="N20" s="84">
        <f>IF(VLOOKUP(A20,Schlußkurse!A5:AU70,46,FALSE)&gt;0,VLOOKUP(A20,Dividende_je_Aktie!A3:AM68,18,FALSE)/VLOOKUP(A20,Schlußkurse!A5:AU70,46,FALSE),"")</f>
        <v>3.0537229029217721E-2</v>
      </c>
      <c r="O20" s="85">
        <f>IF(VLOOKUP(A20,Schlußkurse!A5:AU70,47,FALSE)&gt;0,VLOOKUP(A20,Dividende_je_Aktie!A3:AM68,19,FALSE)/VLOOKUP(A20,Schlußkurse!A5:AU70,47,FALSE),"")</f>
        <v>3.3602986932171751E-2</v>
      </c>
      <c r="P20" s="5">
        <f t="shared" si="0"/>
        <v>4.952055766048534E-2</v>
      </c>
      <c r="Q20" s="5">
        <f ca="1">VLOOKUP(A20,Dividende_je_Aktie!A3:AM68,24,FALSE)/VLOOKUP(A20,Schlußkurse!A5:AU70,35,FALSE)</f>
        <v>6.0119958686427506E-2</v>
      </c>
      <c r="R20" s="5">
        <f t="shared" ca="1" si="1"/>
        <v>0.21404042132586687</v>
      </c>
    </row>
    <row r="21" spans="1:18" x14ac:dyDescent="0.25">
      <c r="A21" t="s">
        <v>34</v>
      </c>
      <c r="B21" t="s">
        <v>35</v>
      </c>
      <c r="C21" s="83">
        <f>IF(VLOOKUP(A21,Schlußkurse!A5:AU70,35,FALSE)&gt;0,VLOOKUP(A21,Dividende_je_Aktie!A3:AM68,7,FALSE)/VLOOKUP(A21,Schlußkurse!A5:AU70,35,FALSE),"")</f>
        <v>2.7657179610869914E-2</v>
      </c>
      <c r="D21" s="84">
        <f>IF(VLOOKUP(A21,Schlußkurse!A5:AU70,36,FALSE)&gt;0,VLOOKUP(A21,Dividende_je_Aktie!A3:AM68,8,FALSE)/VLOOKUP(A21,Schlußkurse!A5:AU70,36,FALSE),"")</f>
        <v>2.556681138446696E-2</v>
      </c>
      <c r="E21" s="84">
        <f>IF(VLOOKUP(A21,Schlußkurse!A5:AU70,37,FALSE)&gt;0,VLOOKUP(A21,Dividende_je_Aktie!A3:AM68,9,FALSE)/VLOOKUP(A21,Schlußkurse!A5:AU70,37,FALSE),"")</f>
        <v>2.7548209366391182E-2</v>
      </c>
      <c r="F21" s="84">
        <f>IF(VLOOKUP(A21,Schlußkurse!A5:AU70,38,FALSE)&gt;0,VLOOKUP(A21,Dividende_je_Aktie!A3:AM68,10,FALSE)/VLOOKUP(A21,Schlußkurse!A5:AU70,38,FALSE),"")</f>
        <v>2.7714067278287461E-2</v>
      </c>
      <c r="G21" s="84">
        <f>IF(VLOOKUP(A21,Schlußkurse!A5:AU70,39,FALSE)&gt;0,VLOOKUP(A21,Dividende_je_Aktie!A3:AM68,11,FALSE)/VLOOKUP(A21,Schlußkurse!A5:AU70,39,FALSE),"")</f>
        <v>2.905520488928965E-2</v>
      </c>
      <c r="H21" s="84">
        <f>IF(VLOOKUP(A21,Schlußkurse!A5:AU70,40,FALSE)&gt;0,VLOOKUP(A21,Dividende_je_Aktie!A3:AM68,12,FALSE)/VLOOKUP(A21,Schlußkurse!A5:AU70,40,FALSE),"")</f>
        <v>2.8618488779081734E-2</v>
      </c>
      <c r="I21" s="84">
        <f>IF(VLOOKUP(A21,Schlußkurse!A5:AU70,41,FALSE)&gt;0,VLOOKUP(A21,Dividende_je_Aktie!A3:AM68,13,FALSE)/VLOOKUP(A21,Schlußkurse!A5:AU70,41,FALSE),"")</f>
        <v>2.76478094427903E-2</v>
      </c>
      <c r="J21" s="84">
        <f>IF(VLOOKUP(A21,Schlußkurse!A5:AU70,42,FALSE)&gt;0,VLOOKUP(A21,Dividende_je_Aktie!A3:AM68,14,FALSE)/VLOOKUP(A21,Schlußkurse!A5:AU70,42,FALSE),"")</f>
        <v>2.8017744571561989E-2</v>
      </c>
      <c r="K21" s="84">
        <f>IF(VLOOKUP(A21,Schlußkurse!A5:AU70,43,FALSE)&gt;0,VLOOKUP(A21,Dividende_je_Aktie!A3:AM68,15,FALSE)/VLOOKUP(A21,Schlußkurse!A5:AU70,43,FALSE),"")</f>
        <v>2.779064381658175E-2</v>
      </c>
      <c r="L21" s="84">
        <f>IF(VLOOKUP(A21,Schlußkurse!A5:AU70,44,FALSE)&gt;0,VLOOKUP(A21,Dividende_je_Aktie!A3:AM68,16,FALSE)/VLOOKUP(A21,Schlußkurse!A5:AU70,44,FALSE),"")</f>
        <v>1.7915309446254073E-2</v>
      </c>
      <c r="M21" s="84">
        <f>IF(VLOOKUP(A21,Schlußkurse!A5:AU70,45,FALSE)&gt;0,VLOOKUP(A21,Dividende_je_Aktie!A3:AM68,17,FALSE)/VLOOKUP(A21,Schlußkurse!A5:AU70,45,FALSE),"")</f>
        <v>1.7421602787456445E-2</v>
      </c>
      <c r="N21" s="84">
        <f>IF(VLOOKUP(A21,Schlußkurse!A5:AU70,46,FALSE)&gt;0,VLOOKUP(A21,Dividende_je_Aktie!A3:AM68,18,FALSE)/VLOOKUP(A21,Schlußkurse!A5:AU70,46,FALSE),"")</f>
        <v>1.9263456090651557E-2</v>
      </c>
      <c r="O21" s="85">
        <f>IF(VLOOKUP(A21,Schlußkurse!A5:AU70,47,FALSE)&gt;0,VLOOKUP(A21,Dividende_je_Aktie!A3:AM68,19,FALSE)/VLOOKUP(A21,Schlußkurse!A5:AU70,47,FALSE),"")</f>
        <v>2.0014716703458425E-2</v>
      </c>
      <c r="P21" s="5">
        <f t="shared" si="0"/>
        <v>2.4940864935933962E-2</v>
      </c>
      <c r="Q21" s="5">
        <f ca="1">VLOOKUP(A21,Dividende_je_Aktie!A3:AM68,24,FALSE)/VLOOKUP(A21,Schlußkurse!A5:AU70,35,FALSE)</f>
        <v>2.5990691608154221E-2</v>
      </c>
      <c r="R21" s="5">
        <f t="shared" ca="1" si="1"/>
        <v>4.2092632910565309E-2</v>
      </c>
    </row>
    <row r="22" spans="1:18" x14ac:dyDescent="0.25">
      <c r="A22" t="s">
        <v>36</v>
      </c>
      <c r="B22" t="s">
        <v>37</v>
      </c>
      <c r="C22" s="83">
        <f>IF(VLOOKUP(A22,Schlußkurse!A5:AU70,35,FALSE)&gt;0,VLOOKUP(A22,Dividende_je_Aktie!A3:AM68,7,FALSE)/VLOOKUP(A22,Schlußkurse!A5:AU70,35,FALSE),"")</f>
        <v>6.2977235172103352E-2</v>
      </c>
      <c r="D22" s="84">
        <f>IF(VLOOKUP(A22,Schlußkurse!A5:AU70,36,FALSE)&gt;0,VLOOKUP(A22,Dividende_je_Aktie!A3:AM68,8,FALSE)/VLOOKUP(A22,Schlußkurse!A5:AU70,36,FALSE),"")</f>
        <v>6.151264830763583E-2</v>
      </c>
      <c r="E22" s="84">
        <f>IF(VLOOKUP(A22,Schlußkurse!A5:AU70,37,FALSE)&gt;0,VLOOKUP(A22,Dividende_je_Aktie!A3:AM68,9,FALSE)/VLOOKUP(A22,Schlußkurse!A5:AU70,37,FALSE),"")</f>
        <v>3.6662195432306775E-2</v>
      </c>
      <c r="F22" s="84">
        <f>IF(VLOOKUP(A22,Schlußkurse!A5:AU70,38,FALSE)&gt;0,VLOOKUP(A22,Dividende_je_Aktie!A3:AM68,10,FALSE)/VLOOKUP(A22,Schlußkurse!A5:AU70,38,FALSE),"")</f>
        <v>4.5354147863592868E-2</v>
      </c>
      <c r="G22" s="84">
        <f>IF(VLOOKUP(A22,Schlußkurse!A5:AU70,39,FALSE)&gt;0,VLOOKUP(A22,Dividende_je_Aktie!A3:AM68,11,FALSE)/VLOOKUP(A22,Schlußkurse!A5:AU70,39,FALSE),"")</f>
        <v>3.949528969301299E-2</v>
      </c>
      <c r="H22" s="84">
        <f>IF(VLOOKUP(A22,Schlußkurse!A5:AU70,40,FALSE)&gt;0,VLOOKUP(A22,Dividende_je_Aktie!A3:AM68,12,FALSE)/VLOOKUP(A22,Schlußkurse!A5:AU70,40,FALSE),"")</f>
        <v>2.566568920202272E-2</v>
      </c>
      <c r="I22" s="84">
        <f>IF(VLOOKUP(A22,Schlußkurse!A5:AU70,41,FALSE)&gt;0,VLOOKUP(A22,Dividende_je_Aktie!A3:AM68,13,FALSE)/VLOOKUP(A22,Schlußkurse!A5:AU70,41,FALSE),"")</f>
        <v>3.3192835437113682E-2</v>
      </c>
      <c r="J22" s="84">
        <f>IF(VLOOKUP(A22,Schlußkurse!A5:AU70,42,FALSE)&gt;0,VLOOKUP(A22,Dividende_je_Aktie!A3:AM68,14,FALSE)/VLOOKUP(A22,Schlußkurse!A5:AU70,42,FALSE),"")</f>
        <v>3.6543250898295493E-2</v>
      </c>
      <c r="K22" s="84">
        <f>IF(VLOOKUP(A22,Schlußkurse!A5:AU70,43,FALSE)&gt;0,VLOOKUP(A22,Dividende_je_Aktie!A3:AM68,15,FALSE)/VLOOKUP(A22,Schlußkurse!A5:AU70,43,FALSE),"")</f>
        <v>1.4641900937081662E-2</v>
      </c>
      <c r="L22" s="84">
        <f>IF(VLOOKUP(A22,Schlußkurse!A5:AU70,44,FALSE)&gt;0,VLOOKUP(A22,Dividende_je_Aktie!A3:AM68,16,FALSE)/VLOOKUP(A22,Schlußkurse!A5:AU70,44,FALSE),"")</f>
        <v>1.3970102547716856E-2</v>
      </c>
      <c r="M22" s="84">
        <f>IF(VLOOKUP(A22,Schlußkurse!A5:AU70,45,FALSE)&gt;0,VLOOKUP(A22,Dividende_je_Aktie!A3:AM68,17,FALSE)/VLOOKUP(A22,Schlußkurse!A5:AU70,45,FALSE),"")</f>
        <v>1.649645419027464E-2</v>
      </c>
      <c r="N22" s="84">
        <f>IF(VLOOKUP(A22,Schlußkurse!A5:AU70,46,FALSE)&gt;0,VLOOKUP(A22,Dividende_je_Aktie!A3:AM68,18,FALSE)/VLOOKUP(A22,Schlußkurse!A5:AU70,46,FALSE),"")</f>
        <v>1.8029452914280771E-2</v>
      </c>
      <c r="O22" s="85">
        <f>IF(VLOOKUP(A22,Schlußkurse!A5:AU70,47,FALSE)&gt;0,VLOOKUP(A22,Dividende_je_Aktie!A3:AM68,19,FALSE)/VLOOKUP(A22,Schlußkurse!A5:AU70,47,FALSE),"")</f>
        <v>0</v>
      </c>
      <c r="P22" s="5">
        <f t="shared" si="0"/>
        <v>3.1118554045802889E-2</v>
      </c>
      <c r="Q22" s="5">
        <f ca="1">VLOOKUP(A22,Dividende_je_Aktie!A3:AM68,24,FALSE)/VLOOKUP(A22,Schlußkurse!A5:AU70,35,FALSE)</f>
        <v>6.2545995706454569E-2</v>
      </c>
      <c r="R22" s="5">
        <f t="shared" ca="1" si="1"/>
        <v>1.0099261557717027</v>
      </c>
    </row>
    <row r="23" spans="1:18" x14ac:dyDescent="0.25">
      <c r="A23" t="s">
        <v>38</v>
      </c>
      <c r="B23" t="s">
        <v>39</v>
      </c>
      <c r="C23" s="83">
        <f>IF(VLOOKUP(A23,Schlußkurse!A5:AU70,35,FALSE)&gt;0,VLOOKUP(A23,Dividende_je_Aktie!A3:AM68,7,FALSE)/VLOOKUP(A23,Schlußkurse!A5:AU70,35,FALSE),"")</f>
        <v>4.8024149286498355E-2</v>
      </c>
      <c r="D23" s="84">
        <f>IF(VLOOKUP(A23,Schlußkurse!A5:AU70,36,FALSE)&gt;0,VLOOKUP(A23,Dividende_je_Aktie!A3:AM68,8,FALSE)/VLOOKUP(A23,Schlußkurse!A5:AU70,36,FALSE),"")</f>
        <v>4.1986827661909989E-2</v>
      </c>
      <c r="E23" s="84">
        <f>IF(VLOOKUP(A23,Schlußkurse!A5:AU70,37,FALSE)&gt;0,VLOOKUP(A23,Dividende_je_Aktie!A3:AM68,9,FALSE)/VLOOKUP(A23,Schlußkurse!A5:AU70,37,FALSE),"")</f>
        <v>4.1142857142857141E-2</v>
      </c>
      <c r="F23" s="84">
        <f>IF(VLOOKUP(A23,Schlußkurse!A5:AU70,38,FALSE)&gt;0,VLOOKUP(A23,Dividende_je_Aktie!A3:AM68,10,FALSE)/VLOOKUP(A23,Schlußkurse!A5:AU70,38,FALSE),"")</f>
        <v>4.3854231006794309E-2</v>
      </c>
      <c r="G23" s="84">
        <f>IF(VLOOKUP(A23,Schlußkurse!A5:AU70,39,FALSE)&gt;0,VLOOKUP(A23,Dividende_je_Aktie!A3:AM68,11,FALSE)/VLOOKUP(A23,Schlußkurse!A5:AU70,39,FALSE),"")</f>
        <v>4.3255366869593082E-2</v>
      </c>
      <c r="H23" s="84">
        <f>IF(VLOOKUP(A23,Schlußkurse!A5:AU70,40,FALSE)&gt;0,VLOOKUP(A23,Dividende_je_Aktie!A3:AM68,12,FALSE)/VLOOKUP(A23,Schlußkurse!A5:AU70,40,FALSE),"")</f>
        <v>4.1564392079855995E-2</v>
      </c>
      <c r="I23" s="84">
        <f>IF(VLOOKUP(A23,Schlußkurse!A5:AU70,41,FALSE)&gt;0,VLOOKUP(A23,Dividende_je_Aktie!A3:AM68,13,FALSE)/VLOOKUP(A23,Schlußkurse!A5:AU70,41,FALSE),"")</f>
        <v>4.6275624112035715E-2</v>
      </c>
      <c r="J23" s="84">
        <f>IF(VLOOKUP(A23,Schlußkurse!A5:AU70,42,FALSE)&gt;0,VLOOKUP(A23,Dividende_je_Aktie!A3:AM68,14,FALSE)/VLOOKUP(A23,Schlußkurse!A5:AU70,42,FALSE),"")</f>
        <v>4.9590875278948676E-2</v>
      </c>
      <c r="K23" s="84">
        <f>IF(VLOOKUP(A23,Schlußkurse!A5:AU70,43,FALSE)&gt;0,VLOOKUP(A23,Dividende_je_Aktie!A3:AM68,15,FALSE)/VLOOKUP(A23,Schlußkurse!A5:AU70,43,FALSE),"")</f>
        <v>4.6666666666666662E-2</v>
      </c>
      <c r="L23" s="84">
        <f>IF(VLOOKUP(A23,Schlußkurse!A5:AU70,44,FALSE)&gt;0,VLOOKUP(A23,Dividende_je_Aktie!A3:AM68,16,FALSE)/VLOOKUP(A23,Schlußkurse!A5:AU70,44,FALSE),"")</f>
        <v>3.3587786259541987E-2</v>
      </c>
      <c r="M23" s="84">
        <f>IF(VLOOKUP(A23,Schlußkurse!A5:AU70,45,FALSE)&gt;0,VLOOKUP(A23,Dividende_je_Aktie!A3:AM68,17,FALSE)/VLOOKUP(A23,Schlußkurse!A5:AU70,45,FALSE),"")</f>
        <v>0</v>
      </c>
      <c r="N23" s="84">
        <f>IF(VLOOKUP(A23,Schlußkurse!A5:AU70,46,FALSE)&gt;0,VLOOKUP(A23,Dividende_je_Aktie!A3:AM68,18,FALSE)/VLOOKUP(A23,Schlußkurse!A5:AU70,46,FALSE),"")</f>
        <v>0</v>
      </c>
      <c r="O23" s="85">
        <f>IF(VLOOKUP(A23,Schlußkurse!A5:AU70,47,FALSE)&gt;0,VLOOKUP(A23,Dividende_je_Aktie!A3:AM68,19,FALSE)/VLOOKUP(A23,Schlußkurse!A5:AU70,47,FALSE),"")</f>
        <v>0</v>
      </c>
      <c r="P23" s="5">
        <f t="shared" si="0"/>
        <v>3.3534521258823224E-2</v>
      </c>
      <c r="Q23" s="5">
        <f ca="1">VLOOKUP(A23,Dividende_je_Aktie!A3:AM68,24,FALSE)/VLOOKUP(A23,Schlußkurse!A5:AU70,35,FALSE)</f>
        <v>4.3211062324673748E-2</v>
      </c>
      <c r="R23" s="5">
        <f t="shared" ca="1" si="1"/>
        <v>0.28855462080898331</v>
      </c>
    </row>
    <row r="24" spans="1:18" x14ac:dyDescent="0.25">
      <c r="A24" t="s">
        <v>40</v>
      </c>
      <c r="B24" t="s">
        <v>41</v>
      </c>
      <c r="C24" s="83">
        <f>IF(VLOOKUP(A24,Schlußkurse!A5:AU70,35,FALSE)&gt;0,VLOOKUP(A24,Dividende_je_Aktie!A3:AM68,7,FALSE)/VLOOKUP(A24,Schlußkurse!A5:AU70,35,FALSE),"")</f>
        <v>4.9741602067183463E-2</v>
      </c>
      <c r="D24" s="84">
        <f>IF(VLOOKUP(A24,Schlußkurse!A5:AU70,36,FALSE)&gt;0,VLOOKUP(A24,Dividende_je_Aktie!A3:AM68,8,FALSE)/VLOOKUP(A24,Schlußkurse!A5:AU70,36,FALSE),"")</f>
        <v>4.5542635658914726E-2</v>
      </c>
      <c r="E24" s="84">
        <f>IF(VLOOKUP(A24,Schlußkurse!A5:AU70,37,FALSE)&gt;0,VLOOKUP(A24,Dividende_je_Aktie!A3:AM68,9,FALSE)/VLOOKUP(A24,Schlußkurse!A5:AU70,37,FALSE),"")</f>
        <v>4.8048048048048048E-2</v>
      </c>
      <c r="F24" s="84">
        <f>IF(VLOOKUP(A24,Schlußkurse!A5:AU70,38,FALSE)&gt;0,VLOOKUP(A24,Dividende_je_Aktie!A3:AM68,10,FALSE)/VLOOKUP(A24,Schlußkurse!A5:AU70,38,FALSE),"")</f>
        <v>5.0721469173589849E-2</v>
      </c>
      <c r="G24" s="84">
        <f>IF(VLOOKUP(A24,Schlußkurse!A5:AU70,39,FALSE)&gt;0,VLOOKUP(A24,Dividende_je_Aktie!A3:AM68,11,FALSE)/VLOOKUP(A24,Schlußkurse!A5:AU70,39,FALSE),"")</f>
        <v>4.6247818499127395E-2</v>
      </c>
      <c r="H24" s="84">
        <f>IF(VLOOKUP(A24,Schlußkurse!A5:AU70,40,FALSE)&gt;0,VLOOKUP(A24,Dividende_je_Aktie!A3:AM68,12,FALSE)/VLOOKUP(A24,Schlußkurse!A5:AU70,40,FALSE),"")</f>
        <v>4.3698252069917204E-2</v>
      </c>
      <c r="I24" s="84">
        <f>IF(VLOOKUP(A24,Schlußkurse!A5:AU70,41,FALSE)&gt;0,VLOOKUP(A24,Dividende_je_Aktie!A3:AM68,13,FALSE)/VLOOKUP(A24,Schlußkurse!A5:AU70,41,FALSE),"")</f>
        <v>4.4280442804428048E-2</v>
      </c>
      <c r="J24" s="84">
        <f>IF(VLOOKUP(A24,Schlußkurse!A5:AU70,42,FALSE)&gt;0,VLOOKUP(A24,Dividende_je_Aktie!A3:AM68,14,FALSE)/VLOOKUP(A24,Schlußkurse!A5:AU70,42,FALSE),"")</f>
        <v>4.0376106194690266E-2</v>
      </c>
      <c r="K24" s="84">
        <f>IF(VLOOKUP(A24,Schlußkurse!A5:AU70,43,FALSE)&gt;0,VLOOKUP(A24,Dividende_je_Aktie!A3:AM68,15,FALSE)/VLOOKUP(A24,Schlußkurse!A5:AU70,43,FALSE),"")</f>
        <v>3.5058430717863111E-2</v>
      </c>
      <c r="L24" s="84">
        <f>IF(VLOOKUP(A24,Schlußkurse!A5:AU70,44,FALSE)&gt;0,VLOOKUP(A24,Dividende_je_Aktie!A3:AM68,16,FALSE)/VLOOKUP(A24,Schlußkurse!A5:AU70,44,FALSE),"")</f>
        <v>2.677376171352075E-2</v>
      </c>
      <c r="M24" s="84">
        <f>IF(VLOOKUP(A24,Schlußkurse!A5:AU70,45,FALSE)&gt;0,VLOOKUP(A24,Dividende_je_Aktie!A3:AM68,17,FALSE)/VLOOKUP(A24,Schlußkurse!A5:AU70,45,FALSE),"")</f>
        <v>0</v>
      </c>
      <c r="N24" s="84">
        <f>IF(VLOOKUP(A24,Schlußkurse!A5:AU70,46,FALSE)&gt;0,VLOOKUP(A24,Dividende_je_Aktie!A3:AM68,18,FALSE)/VLOOKUP(A24,Schlußkurse!A5:AU70,46,FALSE),"")</f>
        <v>0</v>
      </c>
      <c r="O24" s="85">
        <f>IF(VLOOKUP(A24,Schlußkurse!A5:AU70,47,FALSE)&gt;0,VLOOKUP(A24,Dividende_je_Aktie!A3:AM68,19,FALSE)/VLOOKUP(A24,Schlußkurse!A5:AU70,47,FALSE),"")</f>
        <v>0</v>
      </c>
      <c r="P24" s="5">
        <f t="shared" si="0"/>
        <v>3.3114505149790995E-2</v>
      </c>
      <c r="Q24" s="5">
        <f ca="1">VLOOKUP(A24,Dividende_je_Aktie!A3:AM68,24,FALSE)/VLOOKUP(A24,Schlußkurse!A5:AU70,35,FALSE)</f>
        <v>4.7455498133792705E-2</v>
      </c>
      <c r="R24" s="5">
        <f t="shared" ca="1" si="1"/>
        <v>0.43307284584599093</v>
      </c>
    </row>
    <row r="25" spans="1:18" x14ac:dyDescent="0.25">
      <c r="A25" t="s">
        <v>42</v>
      </c>
      <c r="B25" t="s">
        <v>43</v>
      </c>
      <c r="C25" s="83">
        <f>IF(VLOOKUP(A25,Schlußkurse!A5:AU70,35,FALSE)&gt;0,VLOOKUP(A25,Dividende_je_Aktie!A3:AM68,7,FALSE)/VLOOKUP(A25,Schlußkurse!A5:AU70,35,FALSE),"")</f>
        <v>6.7677672722814095E-2</v>
      </c>
      <c r="D25" s="84">
        <f>IF(VLOOKUP(A25,Schlußkurse!A5:AU70,36,FALSE)&gt;0,VLOOKUP(A25,Dividende_je_Aktie!A3:AM68,8,FALSE)/VLOOKUP(A25,Schlußkurse!A5:AU70,36,FALSE),"")</f>
        <v>6.4052083112663333E-2</v>
      </c>
      <c r="E25" s="84">
        <f>IF(VLOOKUP(A25,Schlußkurse!A5:AU70,37,FALSE)&gt;0,VLOOKUP(A25,Dividende_je_Aktie!A3:AM68,9,FALSE)/VLOOKUP(A25,Schlußkurse!A5:AU70,37,FALSE),"")</f>
        <v>5.2745099727058875E-2</v>
      </c>
      <c r="F25" s="84">
        <f>IF(VLOOKUP(A25,Schlußkurse!A5:AU70,38,FALSE)&gt;0,VLOOKUP(A25,Dividende_je_Aktie!A3:AM68,10,FALSE)/VLOOKUP(A25,Schlußkurse!A5:AU70,38,FALSE),"")</f>
        <v>4.4637599536381141E-2</v>
      </c>
      <c r="G25" s="84">
        <f>IF(VLOOKUP(A25,Schlußkurse!A5:AU70,39,FALSE)&gt;0,VLOOKUP(A25,Dividende_je_Aktie!A3:AM68,11,FALSE)/VLOOKUP(A25,Schlußkurse!A5:AU70,39,FALSE),"")</f>
        <v>4.2773491351157274E-2</v>
      </c>
      <c r="H25" s="84">
        <f>IF(VLOOKUP(A25,Schlußkurse!A5:AU70,40,FALSE)&gt;0,VLOOKUP(A25,Dividende_je_Aktie!A3:AM68,12,FALSE)/VLOOKUP(A25,Schlußkurse!A5:AU70,40,FALSE),"")</f>
        <v>5.3704606991421613E-2</v>
      </c>
      <c r="I25" s="84">
        <f>IF(VLOOKUP(A25,Schlußkurse!A5:AU70,41,FALSE)&gt;0,VLOOKUP(A25,Dividende_je_Aktie!A3:AM68,13,FALSE)/VLOOKUP(A25,Schlußkurse!A5:AU70,41,FALSE),"")</f>
        <v>3.5452068429267354E-2</v>
      </c>
      <c r="J25" s="84">
        <f>IF(VLOOKUP(A25,Schlußkurse!A5:AU70,42,FALSE)&gt;0,VLOOKUP(A25,Dividende_je_Aktie!A3:AM68,14,FALSE)/VLOOKUP(A25,Schlußkurse!A5:AU70,42,FALSE),"")</f>
        <v>2.7926962057591539E-2</v>
      </c>
      <c r="K25" s="84">
        <f>IF(VLOOKUP(A25,Schlußkurse!A5:AU70,43,FALSE)&gt;0,VLOOKUP(A25,Dividende_je_Aktie!A3:AM68,15,FALSE)/VLOOKUP(A25,Schlußkurse!A5:AU70,43,FALSE),"")</f>
        <v>0.11811064330768972</v>
      </c>
      <c r="L25" s="84">
        <f>IF(VLOOKUP(A25,Schlußkurse!A5:AU70,44,FALSE)&gt;0,VLOOKUP(A25,Dividende_je_Aktie!A3:AM68,16,FALSE)/VLOOKUP(A25,Schlußkurse!A5:AU70,44,FALSE),"")</f>
        <v>6.3680242309698792E-2</v>
      </c>
      <c r="M25" s="84">
        <f>IF(VLOOKUP(A25,Schlußkurse!A5:AU70,45,FALSE)&gt;0,VLOOKUP(A25,Dividende_je_Aktie!A3:AM68,17,FALSE)/VLOOKUP(A25,Schlußkurse!A5:AU70,45,FALSE),"")</f>
        <v>5.0971132231796216E-2</v>
      </c>
      <c r="N25" s="84">
        <f>IF(VLOOKUP(A25,Schlußkurse!A5:AU70,46,FALSE)&gt;0,VLOOKUP(A25,Dividende_je_Aktie!A3:AM68,18,FALSE)/VLOOKUP(A25,Schlußkurse!A5:AU70,46,FALSE),"")</f>
        <v>5.2547841688972946E-2</v>
      </c>
      <c r="O25" s="85">
        <f>IF(VLOOKUP(A25,Schlußkurse!A5:AU70,47,FALSE)&gt;0,VLOOKUP(A25,Dividende_je_Aktie!A3:AM68,19,FALSE)/VLOOKUP(A25,Schlußkurse!A5:AU70,47,FALSE),"")</f>
        <v>4.7835706925165727E-2</v>
      </c>
      <c r="P25" s="5">
        <f t="shared" si="0"/>
        <v>5.5547319260898349E-2</v>
      </c>
      <c r="Q25" s="5">
        <f ca="1">VLOOKUP(A25,Dividende_je_Aktie!A3:AM68,24,FALSE)/VLOOKUP(A25,Schlußkurse!A5:AU70,35,FALSE)</f>
        <v>6.4787272116943906E-2</v>
      </c>
      <c r="R25" s="5">
        <f t="shared" ca="1" si="1"/>
        <v>0.16634381242858409</v>
      </c>
    </row>
    <row r="26" spans="1:18" x14ac:dyDescent="0.25">
      <c r="A26" t="s">
        <v>44</v>
      </c>
      <c r="B26" t="s">
        <v>45</v>
      </c>
      <c r="C26" s="83">
        <f>IF(VLOOKUP(A26,Schlußkurse!A5:AU70,35,FALSE)&gt;0,VLOOKUP(A26,Dividende_je_Aktie!A3:AM68,7,FALSE)/VLOOKUP(A26,Schlußkurse!A5:AU70,35,FALSE),"")</f>
        <v>5.9879073992768511E-2</v>
      </c>
      <c r="D26" s="84">
        <f>IF(VLOOKUP(A26,Schlußkurse!A5:AU70,36,FALSE)&gt;0,VLOOKUP(A26,Dividende_je_Aktie!A3:AM68,8,FALSE)/VLOOKUP(A26,Schlußkurse!A5:AU70,36,FALSE),"")</f>
        <v>5.6015907928718932E-2</v>
      </c>
      <c r="E26" s="84">
        <f>IF(VLOOKUP(A26,Schlußkurse!A5:AU70,37,FALSE)&gt;0,VLOOKUP(A26,Dividende_je_Aktie!A3:AM68,9,FALSE)/VLOOKUP(A26,Schlußkurse!A5:AU70,37,FALSE),"")</f>
        <v>4.6010957027906176E-2</v>
      </c>
      <c r="F26" s="84">
        <f>IF(VLOOKUP(A26,Schlußkurse!A5:AU70,38,FALSE)&gt;0,VLOOKUP(A26,Dividende_je_Aktie!A3:AM68,10,FALSE)/VLOOKUP(A26,Schlußkurse!A5:AU70,38,FALSE),"")</f>
        <v>5.0794451773358201E-2</v>
      </c>
      <c r="G26" s="84">
        <f>IF(VLOOKUP(A26,Schlußkurse!A5:AU70,39,FALSE)&gt;0,VLOOKUP(A26,Dividende_je_Aktie!A3:AM68,11,FALSE)/VLOOKUP(A26,Schlußkurse!A5:AU70,39,FALSE),"")</f>
        <v>4.5177934476918181E-2</v>
      </c>
      <c r="H26" s="84">
        <f>IF(VLOOKUP(A26,Schlußkurse!A5:AU70,40,FALSE)&gt;0,VLOOKUP(A26,Dividende_je_Aktie!A3:AM68,12,FALSE)/VLOOKUP(A26,Schlußkurse!A5:AU70,40,FALSE),"")</f>
        <v>4.2812118093522866E-2</v>
      </c>
      <c r="I26" s="84">
        <f>IF(VLOOKUP(A26,Schlußkurse!A5:AU70,41,FALSE)&gt;0,VLOOKUP(A26,Dividende_je_Aktie!A3:AM68,13,FALSE)/VLOOKUP(A26,Schlußkurse!A5:AU70,41,FALSE),"")</f>
        <v>2.1866059836344116E-2</v>
      </c>
      <c r="J26" s="84">
        <f>IF(VLOOKUP(A26,Schlußkurse!A5:AU70,42,FALSE)&gt;0,VLOOKUP(A26,Dividende_je_Aktie!A3:AM68,14,FALSE)/VLOOKUP(A26,Schlußkurse!A5:AU70,42,FALSE),"")</f>
        <v>1.8429735447534193E-2</v>
      </c>
      <c r="K26" s="84">
        <f>IF(VLOOKUP(A26,Schlußkurse!A5:AU70,43,FALSE)&gt;0,VLOOKUP(A26,Dividende_je_Aktie!A3:AM68,15,FALSE)/VLOOKUP(A26,Schlußkurse!A5:AU70,43,FALSE),"")</f>
        <v>7.5973870039181268E-2</v>
      </c>
      <c r="L26" s="84">
        <f>IF(VLOOKUP(A26,Schlußkurse!A5:AU70,44,FALSE)&gt;0,VLOOKUP(A26,Dividende_je_Aktie!A3:AM68,16,FALSE)/VLOOKUP(A26,Schlußkurse!A5:AU70,44,FALSE),"")</f>
        <v>1.5606942895096079E-2</v>
      </c>
      <c r="M26" s="84">
        <f>IF(VLOOKUP(A26,Schlußkurse!A5:AU70,45,FALSE)&gt;0,VLOOKUP(A26,Dividende_je_Aktie!A3:AM68,17,FALSE)/VLOOKUP(A26,Schlußkurse!A5:AU70,45,FALSE),"")</f>
        <v>2.3653327534083272E-2</v>
      </c>
      <c r="N26" s="84">
        <f>IF(VLOOKUP(A26,Schlußkurse!A5:AU70,46,FALSE)&gt;0,VLOOKUP(A26,Dividende_je_Aktie!A3:AM68,18,FALSE)/VLOOKUP(A26,Schlußkurse!A5:AU70,46,FALSE),"")</f>
        <v>2.1196314900429059E-2</v>
      </c>
      <c r="O26" s="85">
        <f>IF(VLOOKUP(A26,Schlußkurse!A5:AU70,47,FALSE)&gt;0,VLOOKUP(A26,Dividende_je_Aktie!A3:AM68,19,FALSE)/VLOOKUP(A26,Schlußkurse!A5:AU70,47,FALSE),"")</f>
        <v>3.1680626287820132E-2</v>
      </c>
      <c r="P26" s="5">
        <f t="shared" si="0"/>
        <v>3.9161332325667764E-2</v>
      </c>
      <c r="Q26" s="5">
        <f ca="1">VLOOKUP(A26,Dividende_je_Aktie!A3:AM68,24,FALSE)/VLOOKUP(A26,Schlußkurse!A5:AU70,35,FALSE)</f>
        <v>5.6799272158373423E-2</v>
      </c>
      <c r="R26" s="5">
        <f t="shared" ca="1" si="1"/>
        <v>0.45039172023126262</v>
      </c>
    </row>
    <row r="27" spans="1:18" x14ac:dyDescent="0.25">
      <c r="A27" t="s">
        <v>46</v>
      </c>
      <c r="B27" t="s">
        <v>47</v>
      </c>
      <c r="C27" s="83">
        <f>IF(VLOOKUP(A27,Schlußkurse!A5:AU70,35,FALSE)&gt;0,VLOOKUP(A27,Dividende_je_Aktie!A3:AM68,7,FALSE)/VLOOKUP(A27,Schlußkurse!A5:AU70,35,FALSE),"")</f>
        <v>6.6496737497734493E-2</v>
      </c>
      <c r="D27" s="84">
        <f>IF(VLOOKUP(A27,Schlußkurse!A5:AU70,36,FALSE)&gt;0,VLOOKUP(A27,Dividende_je_Aktie!A3:AM68,8,FALSE)/VLOOKUP(A27,Schlußkurse!A5:AU70,36,FALSE),"")</f>
        <v>6.4874865851448291E-2</v>
      </c>
      <c r="E27" s="84">
        <f>IF(VLOOKUP(A27,Schlußkurse!A5:AU70,37,FALSE)&gt;0,VLOOKUP(A27,Dividende_je_Aktie!A3:AM68,9,FALSE)/VLOOKUP(A27,Schlußkurse!A5:AU70,37,FALSE),"")</f>
        <v>3.5927754596565678E-2</v>
      </c>
      <c r="F27" s="84">
        <f>IF(VLOOKUP(A27,Schlußkurse!A5:AU70,38,FALSE)&gt;0,VLOOKUP(A27,Dividende_je_Aktie!A3:AM68,10,FALSE)/VLOOKUP(A27,Schlußkurse!A5:AU70,38,FALSE),"")</f>
        <v>2.7200910350176362E-2</v>
      </c>
      <c r="G27" s="84">
        <f>IF(VLOOKUP(A27,Schlußkurse!A5:AU70,39,FALSE)&gt;0,VLOOKUP(A27,Dividende_je_Aktie!A3:AM68,11,FALSE)/VLOOKUP(A27,Schlußkurse!A5:AU70,39,FALSE),"")</f>
        <v>4.7767088371892662E-2</v>
      </c>
      <c r="H27" s="84">
        <f>IF(VLOOKUP(A27,Schlußkurse!A5:AU70,40,FALSE)&gt;0,VLOOKUP(A27,Dividende_je_Aktie!A3:AM68,12,FALSE)/VLOOKUP(A27,Schlußkurse!A5:AU70,40,FALSE),"")</f>
        <v>3.9109458084682733E-2</v>
      </c>
      <c r="I27" s="84">
        <f>IF(VLOOKUP(A27,Schlußkurse!A5:AU70,41,FALSE)&gt;0,VLOOKUP(A27,Dividende_je_Aktie!A3:AM68,13,FALSE)/VLOOKUP(A27,Schlußkurse!A5:AU70,41,FALSE),"")</f>
        <v>1.9281840150845695E-2</v>
      </c>
      <c r="J27" s="84">
        <f>IF(VLOOKUP(A27,Schlußkurse!A5:AU70,42,FALSE)&gt;0,VLOOKUP(A27,Dividende_je_Aktie!A3:AM68,14,FALSE)/VLOOKUP(A27,Schlußkurse!A5:AU70,42,FALSE),"")</f>
        <v>5.7734339560394247E-2</v>
      </c>
      <c r="K27" s="84">
        <f>IF(VLOOKUP(A27,Schlußkurse!A5:AU70,43,FALSE)&gt;0,VLOOKUP(A27,Dividende_je_Aktie!A3:AM68,15,FALSE)/VLOOKUP(A27,Schlußkurse!A5:AU70,43,FALSE),"")</f>
        <v>7.1899015088073684E-2</v>
      </c>
      <c r="L27" s="84">
        <f>IF(VLOOKUP(A27,Schlußkurse!A5:AU70,44,FALSE)&gt;0,VLOOKUP(A27,Dividende_je_Aktie!A3:AM68,16,FALSE)/VLOOKUP(A27,Schlußkurse!A5:AU70,44,FALSE),"")</f>
        <v>3.4423450237829153E-2</v>
      </c>
      <c r="M27" s="84">
        <f>IF(VLOOKUP(A27,Schlußkurse!A5:AU70,45,FALSE)&gt;0,VLOOKUP(A27,Dividende_je_Aktie!A3:AM68,17,FALSE)/VLOOKUP(A27,Schlußkurse!A5:AU70,45,FALSE),"")</f>
        <v>3.4194848546066539E-2</v>
      </c>
      <c r="N27" s="84">
        <f>IF(VLOOKUP(A27,Schlußkurse!A5:AU70,46,FALSE)&gt;0,VLOOKUP(A27,Dividende_je_Aktie!A3:AM68,18,FALSE)/VLOOKUP(A27,Schlußkurse!A5:AU70,46,FALSE),"")</f>
        <v>3.2858444319770114E-2</v>
      </c>
      <c r="O27" s="85">
        <f>IF(VLOOKUP(A27,Schlußkurse!A5:AU70,47,FALSE)&gt;0,VLOOKUP(A27,Dividende_je_Aktie!A3:AM68,19,FALSE)/VLOOKUP(A27,Schlußkurse!A5:AU70,47,FALSE),"")</f>
        <v>2.8719315462807666E-2</v>
      </c>
      <c r="P27" s="5">
        <f t="shared" si="0"/>
        <v>4.3114466778329794E-2</v>
      </c>
      <c r="Q27" s="5">
        <f ca="1">VLOOKUP(A27,Dividende_je_Aktie!A3:AM68,24,FALSE)/VLOOKUP(A27,Schlußkurse!A5:AU70,35,FALSE)</f>
        <v>6.5203745379722997E-2</v>
      </c>
      <c r="R27" s="5">
        <f t="shared" ca="1" si="1"/>
        <v>0.51234029438340922</v>
      </c>
    </row>
    <row r="28" spans="1:18" x14ac:dyDescent="0.25">
      <c r="A28" t="s">
        <v>48</v>
      </c>
      <c r="B28" t="s">
        <v>49</v>
      </c>
      <c r="C28" s="83">
        <f>IF(VLOOKUP(A28,Schlußkurse!A5:AU70,35,FALSE)&gt;0,VLOOKUP(A28,Dividende_je_Aktie!A3:AM68,7,FALSE)/VLOOKUP(A28,Schlußkurse!A5:AU70,35,FALSE),"")</f>
        <v>7.0414456392087765E-2</v>
      </c>
      <c r="D28" s="84">
        <f>IF(VLOOKUP(A28,Schlußkurse!A5:AU70,36,FALSE)&gt;0,VLOOKUP(A28,Dividende_je_Aktie!A3:AM68,8,FALSE)/VLOOKUP(A28,Schlußkurse!A5:AU70,36,FALSE),"")</f>
        <v>6.9710311828166879E-2</v>
      </c>
      <c r="E28" s="84">
        <f>IF(VLOOKUP(A28,Schlußkurse!A5:AU70,37,FALSE)&gt;0,VLOOKUP(A28,Dividende_je_Aktie!A3:AM68,9,FALSE)/VLOOKUP(A28,Schlußkurse!A5:AU70,37,FALSE),"")</f>
        <v>5.6172053805656638E-2</v>
      </c>
      <c r="F28" s="84">
        <f>IF(VLOOKUP(A28,Schlußkurse!A5:AU70,38,FALSE)&gt;0,VLOOKUP(A28,Dividende_je_Aktie!A3:AM68,10,FALSE)/VLOOKUP(A28,Schlußkurse!A5:AU70,38,FALSE),"")</f>
        <v>5.0427937783523204E-2</v>
      </c>
      <c r="G28" s="84">
        <f>IF(VLOOKUP(A28,Schlußkurse!A5:AU70,39,FALSE)&gt;0,VLOOKUP(A28,Dividende_je_Aktie!A3:AM68,11,FALSE)/VLOOKUP(A28,Schlußkurse!A5:AU70,39,FALSE),"")</f>
        <v>5.0221855777867558E-2</v>
      </c>
      <c r="H28" s="84">
        <f>IF(VLOOKUP(A28,Schlußkurse!A5:AU70,40,FALSE)&gt;0,VLOOKUP(A28,Dividende_je_Aktie!A3:AM68,12,FALSE)/VLOOKUP(A28,Schlußkurse!A5:AU70,40,FALSE),"")</f>
        <v>4.6038944836711782E-2</v>
      </c>
      <c r="I28" s="84">
        <f>IF(VLOOKUP(A28,Schlußkurse!A5:AU70,41,FALSE)&gt;0,VLOOKUP(A28,Dividende_je_Aktie!A3:AM68,13,FALSE)/VLOOKUP(A28,Schlußkurse!A5:AU70,41,FALSE),"")</f>
        <v>5.072706375812177E-2</v>
      </c>
      <c r="J28" s="84">
        <f>IF(VLOOKUP(A28,Schlußkurse!A5:AU70,42,FALSE)&gt;0,VLOOKUP(A28,Dividende_je_Aktie!A3:AM68,14,FALSE)/VLOOKUP(A28,Schlußkurse!A5:AU70,42,FALSE),"")</f>
        <v>5.4885576797816735E-2</v>
      </c>
      <c r="K28" s="84">
        <f>IF(VLOOKUP(A28,Schlußkurse!A5:AU70,43,FALSE)&gt;0,VLOOKUP(A28,Dividende_je_Aktie!A3:AM68,15,FALSE)/VLOOKUP(A28,Schlußkurse!A5:AU70,43,FALSE),"")</f>
        <v>6.0174411771619314E-2</v>
      </c>
      <c r="L28" s="84">
        <f>IF(VLOOKUP(A28,Schlußkurse!A5:AU70,44,FALSE)&gt;0,VLOOKUP(A28,Dividende_je_Aktie!A3:AM68,16,FALSE)/VLOOKUP(A28,Schlußkurse!A5:AU70,44,FALSE),"")</f>
        <v>3.4128479505137047E-2</v>
      </c>
      <c r="M28" s="84">
        <f>IF(VLOOKUP(A28,Schlußkurse!A5:AU70,45,FALSE)&gt;0,VLOOKUP(A28,Dividende_je_Aktie!A3:AM68,17,FALSE)/VLOOKUP(A28,Schlußkurse!A5:AU70,45,FALSE),"")</f>
        <v>3.6059434124695006E-2</v>
      </c>
      <c r="N28" s="84">
        <f>IF(VLOOKUP(A28,Schlußkurse!A5:AU70,46,FALSE)&gt;0,VLOOKUP(A28,Dividende_je_Aktie!A3:AM68,18,FALSE)/VLOOKUP(A28,Schlußkurse!A5:AU70,46,FALSE),"")</f>
        <v>3.7039401925760447E-2</v>
      </c>
      <c r="O28" s="85">
        <f>IF(VLOOKUP(A28,Schlußkurse!A5:AU70,47,FALSE)&gt;0,VLOOKUP(A28,Dividende_je_Aktie!A3:AM68,19,FALSE)/VLOOKUP(A28,Schlußkurse!A5:AU70,47,FALSE),"")</f>
        <v>0</v>
      </c>
      <c r="P28" s="5">
        <f t="shared" si="0"/>
        <v>4.7384609869781873E-2</v>
      </c>
      <c r="Q28" s="5">
        <f ca="1">VLOOKUP(A28,Dividende_je_Aktie!A3:AM68,24,FALSE)/VLOOKUP(A28,Schlußkurse!A5:AU70,35,FALSE)</f>
        <v>6.9853096698073061E-2</v>
      </c>
      <c r="R28" s="5">
        <f t="shared" ca="1" si="1"/>
        <v>0.4741726668223516</v>
      </c>
    </row>
    <row r="29" spans="1:18" x14ac:dyDescent="0.25">
      <c r="A29" t="s">
        <v>50</v>
      </c>
      <c r="B29" t="s">
        <v>51</v>
      </c>
      <c r="C29" s="83">
        <f>IF(VLOOKUP(A29,Schlußkurse!A5:AU70,35,FALSE)&gt;0,VLOOKUP(A29,Dividende_je_Aktie!A3:AM68,7,FALSE)/VLOOKUP(A29,Schlußkurse!A5:AU70,35,FALSE),"")</f>
        <v>5.25234071705869E-2</v>
      </c>
      <c r="D29" s="84">
        <f>IF(VLOOKUP(A29,Schlußkurse!A5:AU70,36,FALSE)&gt;0,VLOOKUP(A29,Dividende_je_Aktie!A3:AM68,8,FALSE)/VLOOKUP(A29,Schlußkurse!A5:AU70,36,FALSE),"")</f>
        <v>5.1609956611098434E-2</v>
      </c>
      <c r="E29" s="84">
        <f>IF(VLOOKUP(A29,Schlußkurse!A5:AU70,37,FALSE)&gt;0,VLOOKUP(A29,Dividende_je_Aktie!A3:AM68,9,FALSE)/VLOOKUP(A29,Schlußkurse!A5:AU70,37,FALSE),"")</f>
        <v>4.9931911030413077E-2</v>
      </c>
      <c r="F29" s="84">
        <f>IF(VLOOKUP(A29,Schlußkurse!A5:AU70,38,FALSE)&gt;0,VLOOKUP(A29,Dividende_je_Aktie!A3:AM68,10,FALSE)/VLOOKUP(A29,Schlußkurse!A5:AU70,38,FALSE),"")</f>
        <v>5.3590568060021437E-2</v>
      </c>
      <c r="G29" s="84">
        <f>IF(VLOOKUP(A29,Schlußkurse!A5:AU70,39,FALSE)&gt;0,VLOOKUP(A29,Dividende_je_Aktie!A3:AM68,11,FALSE)/VLOOKUP(A29,Schlußkurse!A5:AU70,39,FALSE),"")</f>
        <v>5.5168408826945417E-2</v>
      </c>
      <c r="H29" s="84">
        <f>IF(VLOOKUP(A29,Schlußkurse!A5:AU70,40,FALSE)&gt;0,VLOOKUP(A29,Dividende_je_Aktie!A3:AM68,12,FALSE)/VLOOKUP(A29,Schlußkurse!A5:AU70,40,FALSE),"")</f>
        <v>5.0424929178470253E-2</v>
      </c>
      <c r="I29" s="84">
        <f>IF(VLOOKUP(A29,Schlußkurse!A5:AU70,41,FALSE)&gt;0,VLOOKUP(A29,Dividende_je_Aktie!A3:AM68,13,FALSE)/VLOOKUP(A29,Schlußkurse!A5:AU70,41,FALSE),"")</f>
        <v>5.460526315789474E-2</v>
      </c>
      <c r="J29" s="84">
        <f>IF(VLOOKUP(A29,Schlußkurse!A5:AU70,42,FALSE)&gt;0,VLOOKUP(A29,Dividende_je_Aktie!A3:AM68,14,FALSE)/VLOOKUP(A29,Schlußkurse!A5:AU70,42,FALSE),"")</f>
        <v>4.5621181262729127E-2</v>
      </c>
      <c r="K29" s="84">
        <f>IF(VLOOKUP(A29,Schlußkurse!A5:AU70,43,FALSE)&gt;0,VLOOKUP(A29,Dividende_je_Aktie!A3:AM68,15,FALSE)/VLOOKUP(A29,Schlußkurse!A5:AU70,43,FALSE),"")</f>
        <v>4.9701789264413522E-2</v>
      </c>
      <c r="L29" s="84">
        <f>IF(VLOOKUP(A29,Schlußkurse!A5:AU70,44,FALSE)&gt;0,VLOOKUP(A29,Dividende_je_Aktie!A3:AM68,16,FALSE)/VLOOKUP(A29,Schlußkurse!A5:AU70,44,FALSE),"")</f>
        <v>5.0184501845018457E-2</v>
      </c>
      <c r="M29" s="84">
        <f>IF(VLOOKUP(A29,Schlußkurse!A5:AU70,45,FALSE)&gt;0,VLOOKUP(A29,Dividende_je_Aktie!A3:AM68,17,FALSE)/VLOOKUP(A29,Schlußkurse!A5:AU70,45,FALSE),"")</f>
        <v>5.0622406639004143E-2</v>
      </c>
      <c r="N29" s="84">
        <f>IF(VLOOKUP(A29,Schlußkurse!A5:AU70,46,FALSE)&gt;0,VLOOKUP(A29,Dividende_je_Aktie!A3:AM68,18,FALSE)/VLOOKUP(A29,Schlußkurse!A5:AU70,46,FALSE),"")</f>
        <v>2.8469750889679714E-2</v>
      </c>
      <c r="O29" s="85">
        <f>IF(VLOOKUP(A29,Schlußkurse!A5:AU70,47,FALSE)&gt;0,VLOOKUP(A29,Dividende_je_Aktie!A3:AM68,19,FALSE)/VLOOKUP(A29,Schlußkurse!A5:AU70,47,FALSE),"")</f>
        <v>1.5533980582524271E-2</v>
      </c>
      <c r="P29" s="5">
        <f t="shared" si="0"/>
        <v>4.6768311886061502E-2</v>
      </c>
      <c r="Q29" s="5">
        <f ca="1">VLOOKUP(A29,Dividende_je_Aktie!A3:AM68,24,FALSE)/VLOOKUP(A29,Schlußkurse!A5:AU70,35,FALSE)</f>
        <v>5.2480272005277724E-2</v>
      </c>
      <c r="R29" s="5">
        <f t="shared" ca="1" si="1"/>
        <v>0.12213312580389668</v>
      </c>
    </row>
    <row r="30" spans="1:18" x14ac:dyDescent="0.25">
      <c r="A30" t="s">
        <v>52</v>
      </c>
      <c r="B30" t="s">
        <v>53</v>
      </c>
      <c r="C30" s="83">
        <f>IF(VLOOKUP(A30,Schlußkurse!A5:AU70,35,FALSE)&gt;0,VLOOKUP(A30,Dividende_je_Aktie!A3:AM68,7,FALSE)/VLOOKUP(A30,Schlußkurse!A5:AU70,35,FALSE),"")</f>
        <v>3.15E-2</v>
      </c>
      <c r="D30" s="84">
        <f>IF(VLOOKUP(A30,Schlußkurse!A5:AU70,36,FALSE)&gt;0,VLOOKUP(A30,Dividende_je_Aktie!A3:AM68,8,FALSE)/VLOOKUP(A30,Schlußkurse!A5:AU70,36,FALSE),"")</f>
        <v>2.9499999999999998E-2</v>
      </c>
      <c r="E30" s="84">
        <f>IF(VLOOKUP(A30,Schlußkurse!A5:AU70,37,FALSE)&gt;0,VLOOKUP(A30,Dividende_je_Aktie!A3:AM68,9,FALSE)/VLOOKUP(A30,Schlußkurse!A5:AU70,37,FALSE),"")</f>
        <v>3.4313725490196081E-2</v>
      </c>
      <c r="F30" s="84">
        <f>IF(VLOOKUP(A30,Schlußkurse!A5:AU70,38,FALSE)&gt;0,VLOOKUP(A30,Dividende_je_Aktie!A3:AM68,10,FALSE)/VLOOKUP(A30,Schlußkurse!A5:AU70,38,FALSE),"")</f>
        <v>3.5866780529462003E-2</v>
      </c>
      <c r="G30" s="84">
        <f>IF(VLOOKUP(A30,Schlußkurse!A5:AU70,39,FALSE)&gt;0,VLOOKUP(A30,Dividende_je_Aktie!A3:AM68,11,FALSE)/VLOOKUP(A30,Schlußkurse!A5:AU70,39,FALSE),"")</f>
        <v>3.3639674007282815E-2</v>
      </c>
      <c r="H30" s="84">
        <f>IF(VLOOKUP(A30,Schlußkurse!A5:AU70,40,FALSE)&gt;0,VLOOKUP(A30,Dividende_je_Aktie!A3:AM68,12,FALSE)/VLOOKUP(A30,Schlußkurse!A5:AU70,40,FALSE),"")</f>
        <v>3.3872788859616108E-2</v>
      </c>
      <c r="I30" s="84">
        <f>IF(VLOOKUP(A30,Schlußkurse!A5:AU70,41,FALSE)&gt;0,VLOOKUP(A30,Dividende_je_Aktie!A3:AM68,13,FALSE)/VLOOKUP(A30,Schlußkurse!A5:AU70,41,FALSE),"")</f>
        <v>3.5622317596566519E-2</v>
      </c>
      <c r="J30" s="84">
        <f>IF(VLOOKUP(A30,Schlußkurse!A5:AU70,42,FALSE)&gt;0,VLOOKUP(A30,Dividende_je_Aktie!A3:AM68,14,FALSE)/VLOOKUP(A30,Schlußkurse!A5:AU70,42,FALSE),"")</f>
        <v>2.0219780219780221E-2</v>
      </c>
      <c r="K30" s="84">
        <f>IF(VLOOKUP(A30,Schlußkurse!A5:AU70,43,FALSE)&gt;0,VLOOKUP(A30,Dividende_je_Aktie!A3:AM68,15,FALSE)/VLOOKUP(A30,Schlußkurse!A5:AU70,43,FALSE),"")</f>
        <v>4.4405997693194928E-2</v>
      </c>
      <c r="L30" s="84">
        <f>IF(VLOOKUP(A30,Schlußkurse!A5:AU70,44,FALSE)&gt;0,VLOOKUP(A30,Dividende_je_Aktie!A3:AM68,16,FALSE)/VLOOKUP(A30,Schlußkurse!A5:AU70,44,FALSE),"")</f>
        <v>2.9821073558648114E-2</v>
      </c>
      <c r="M30" s="84">
        <f>IF(VLOOKUP(A30,Schlußkurse!A5:AU70,45,FALSE)&gt;0,VLOOKUP(A30,Dividende_je_Aktie!A3:AM68,17,FALSE)/VLOOKUP(A30,Schlußkurse!A5:AU70,45,FALSE),"")</f>
        <v>4.6376811594202899E-2</v>
      </c>
      <c r="N30" s="84">
        <f>IF(VLOOKUP(A30,Schlußkurse!A5:AU70,46,FALSE)&gt;0,VLOOKUP(A30,Dividende_je_Aktie!A3:AM68,18,FALSE)/VLOOKUP(A30,Schlußkurse!A5:AU70,46,FALSE),"")</f>
        <v>3.4227039361095266E-2</v>
      </c>
      <c r="O30" s="85">
        <f>IF(VLOOKUP(A30,Schlußkurse!A5:AU70,47,FALSE)&gt;0,VLOOKUP(A30,Dividende_je_Aktie!A3:AM68,19,FALSE)/VLOOKUP(A30,Schlußkurse!A5:AU70,47,FALSE),"")</f>
        <v>3.8314176245210725E-2</v>
      </c>
      <c r="P30" s="5">
        <f t="shared" si="0"/>
        <v>3.443693578117351E-2</v>
      </c>
      <c r="Q30" s="5">
        <f ca="1">VLOOKUP(A30,Dividende_je_Aktie!A3:AM68,24,FALSE)/VLOOKUP(A30,Schlußkurse!A5:AU70,35,FALSE)</f>
        <v>2.9905555555555553E-2</v>
      </c>
      <c r="R30" s="5">
        <f t="shared" ca="1" si="1"/>
        <v>-0.13158488474155239</v>
      </c>
    </row>
    <row r="31" spans="1:18" x14ac:dyDescent="0.25">
      <c r="A31" t="s">
        <v>54</v>
      </c>
      <c r="B31" t="s">
        <v>55</v>
      </c>
      <c r="C31" s="83">
        <f>IF(VLOOKUP(A31,Schlußkurse!A5:AU70,35,FALSE)&gt;0,VLOOKUP(A31,Dividende_je_Aktie!A3:AM68,7,FALSE)/VLOOKUP(A31,Schlußkurse!A5:AU70,35,FALSE),"")</f>
        <v>5.8913308913308912E-2</v>
      </c>
      <c r="D31" s="84">
        <f>IF(VLOOKUP(A31,Schlußkurse!A5:AU70,36,FALSE)&gt;0,VLOOKUP(A31,Dividende_je_Aktie!A3:AM68,8,FALSE)/VLOOKUP(A31,Schlußkurse!A5:AU70,36,FALSE),"")</f>
        <v>5.7692307692307696E-2</v>
      </c>
      <c r="E31" s="84">
        <f>IF(VLOOKUP(A31,Schlußkurse!A5:AU70,37,FALSE)&gt;0,VLOOKUP(A31,Dividende_je_Aktie!A3:AM68,9,FALSE)/VLOOKUP(A31,Schlußkurse!A5:AU70,37,FALSE),"")</f>
        <v>5.5075915451027087E-2</v>
      </c>
      <c r="F31" s="84">
        <f>IF(VLOOKUP(A31,Schlußkurse!A5:AU70,38,FALSE)&gt;0,VLOOKUP(A31,Dividende_je_Aktie!A3:AM68,10,FALSE)/VLOOKUP(A31,Schlußkurse!A5:AU70,38,FALSE),"")</f>
        <v>5.1478953356086467E-2</v>
      </c>
      <c r="G31" s="84">
        <f>IF(VLOOKUP(A31,Schlußkurse!A5:AU70,39,FALSE)&gt;0,VLOOKUP(A31,Dividende_je_Aktie!A3:AM68,11,FALSE)/VLOOKUP(A31,Schlußkurse!A5:AU70,39,FALSE),"")</f>
        <v>5.2506674577276771E-2</v>
      </c>
      <c r="H31" s="84">
        <f>IF(VLOOKUP(A31,Schlußkurse!A5:AU70,40,FALSE)&gt;0,VLOOKUP(A31,Dividende_je_Aktie!A3:AM68,12,FALSE)/VLOOKUP(A31,Schlußkurse!A5:AU70,40,FALSE),"")</f>
        <v>5.6878306878306882E-2</v>
      </c>
      <c r="I31" s="84">
        <f>IF(VLOOKUP(A31,Schlußkurse!A5:AU70,41,FALSE)&gt;0,VLOOKUP(A31,Dividende_je_Aktie!A3:AM68,13,FALSE)/VLOOKUP(A31,Schlußkurse!A5:AU70,41,FALSE),"")</f>
        <v>5.7181756296800543E-2</v>
      </c>
      <c r="J31" s="84">
        <f>IF(VLOOKUP(A31,Schlußkurse!A5:AU70,42,FALSE)&gt;0,VLOOKUP(A31,Dividende_je_Aktie!A3:AM68,14,FALSE)/VLOOKUP(A31,Schlußkurse!A5:AU70,42,FALSE),"")</f>
        <v>5.886550124866214E-2</v>
      </c>
      <c r="K31" s="84">
        <f>IF(VLOOKUP(A31,Schlußkurse!A5:AU70,43,FALSE)&gt;0,VLOOKUP(A31,Dividende_je_Aktie!A3:AM68,15,FALSE)/VLOOKUP(A31,Schlußkurse!A5:AU70,43,FALSE),"")</f>
        <v>5.6491228070175439E-2</v>
      </c>
      <c r="L31" s="84">
        <f>IF(VLOOKUP(A31,Schlußkurse!A5:AU70,44,FALSE)&gt;0,VLOOKUP(A31,Dividende_je_Aktie!A3:AM68,16,FALSE)/VLOOKUP(A31,Schlußkurse!A5:AU70,44,FALSE),"")</f>
        <v>3.5370548604427329E-2</v>
      </c>
      <c r="M31" s="84">
        <f>IF(VLOOKUP(A31,Schlußkurse!A5:AU70,45,FALSE)&gt;0,VLOOKUP(A31,Dividende_je_Aktie!A3:AM68,17,FALSE)/VLOOKUP(A31,Schlußkurse!A5:AU70,45,FALSE),"")</f>
        <v>3.7762237762237763E-2</v>
      </c>
      <c r="N31" s="84">
        <f>IF(VLOOKUP(A31,Schlußkurse!A5:AU70,46,FALSE)&gt;0,VLOOKUP(A31,Dividende_je_Aktie!A3:AM68,18,FALSE)/VLOOKUP(A31,Schlußkurse!A5:AU70,46,FALSE),"")</f>
        <v>5.3082890975908542E-2</v>
      </c>
      <c r="O31" s="85">
        <f>IF(VLOOKUP(A31,Schlußkurse!A5:AU70,47,FALSE)&gt;0,VLOOKUP(A31,Dividende_je_Aktie!A3:AM68,19,FALSE)/VLOOKUP(A31,Schlußkurse!A5:AU70,47,FALSE),"")</f>
        <v>4.8894062863795114E-2</v>
      </c>
      <c r="P31" s="5">
        <f t="shared" si="0"/>
        <v>5.2322591745409285E-2</v>
      </c>
      <c r="Q31" s="5">
        <f ca="1">VLOOKUP(A31,Dividende_je_Aktie!A3:AM68,24,FALSE)/VLOOKUP(A31,Schlußkurse!A5:AU70,35,FALSE)</f>
        <v>5.7939899606566272E-2</v>
      </c>
      <c r="R31" s="5">
        <f t="shared" ca="1" si="1"/>
        <v>0.10735912870084152</v>
      </c>
    </row>
    <row r="32" spans="1:18" x14ac:dyDescent="0.25">
      <c r="A32" t="s">
        <v>56</v>
      </c>
      <c r="B32" t="s">
        <v>57</v>
      </c>
      <c r="C32" s="83">
        <f>IF(VLOOKUP(A32,Schlußkurse!A5:AU70,35,FALSE)&gt;0,VLOOKUP(A32,Dividende_je_Aktie!A3:AM68,7,FALSE)/VLOOKUP(A32,Schlußkurse!A5:AU70,35,FALSE),"")</f>
        <v>4.4479433182444392E-2</v>
      </c>
      <c r="D32" s="84">
        <f>IF(VLOOKUP(A32,Schlußkurse!A5:AU70,36,FALSE)&gt;0,VLOOKUP(A32,Dividende_je_Aktie!A3:AM68,8,FALSE)/VLOOKUP(A32,Schlußkurse!A5:AU70,36,FALSE),"")</f>
        <v>4.290493997244637E-2</v>
      </c>
      <c r="E32" s="84">
        <f>IF(VLOOKUP(A32,Schlußkurse!A5:AU70,37,FALSE)&gt;0,VLOOKUP(A32,Dividende_je_Aktie!A3:AM68,9,FALSE)/VLOOKUP(A32,Schlußkurse!A5:AU70,37,FALSE),"")</f>
        <v>3.7528971296131218E-2</v>
      </c>
      <c r="F32" s="84">
        <f>IF(VLOOKUP(A32,Schlußkurse!A5:AU70,38,FALSE)&gt;0,VLOOKUP(A32,Dividende_je_Aktie!A3:AM68,10,FALSE)/VLOOKUP(A32,Schlußkurse!A5:AU70,38,FALSE),"")</f>
        <v>3.1222480185733727E-2</v>
      </c>
      <c r="G32" s="84">
        <f>IF(VLOOKUP(A32,Schlußkurse!A5:AU70,39,FALSE)&gt;0,VLOOKUP(A32,Dividende_je_Aktie!A3:AM68,11,FALSE)/VLOOKUP(A32,Schlußkurse!A5:AU70,39,FALSE),"")</f>
        <v>3.2457924912150916E-2</v>
      </c>
      <c r="H32" s="84">
        <f>IF(VLOOKUP(A32,Schlußkurse!A5:AU70,40,FALSE)&gt;0,VLOOKUP(A32,Dividende_je_Aktie!A3:AM68,12,FALSE)/VLOOKUP(A32,Schlußkurse!A5:AU70,40,FALSE),"")</f>
        <v>2.9041353383458642E-2</v>
      </c>
      <c r="I32" s="84">
        <f>IF(VLOOKUP(A32,Schlußkurse!A5:AU70,41,FALSE)&gt;0,VLOOKUP(A32,Dividende_je_Aktie!A3:AM68,13,FALSE)/VLOOKUP(A32,Schlußkurse!A5:AU70,41,FALSE),"")</f>
        <v>3.1123287671232874E-2</v>
      </c>
      <c r="J32" s="84">
        <f>IF(VLOOKUP(A32,Schlußkurse!A5:AU70,42,FALSE)&gt;0,VLOOKUP(A32,Dividende_je_Aktie!A3:AM68,14,FALSE)/VLOOKUP(A32,Schlußkurse!A5:AU70,42,FALSE),"")</f>
        <v>3.4549941550850762E-2</v>
      </c>
      <c r="K32" s="84">
        <f>IF(VLOOKUP(A32,Schlußkurse!A5:AU70,43,FALSE)&gt;0,VLOOKUP(A32,Dividende_je_Aktie!A3:AM68,15,FALSE)/VLOOKUP(A32,Schlußkurse!A5:AU70,43,FALSE),"")</f>
        <v>3.4203055292686219E-2</v>
      </c>
      <c r="L32" s="84">
        <f>IF(VLOOKUP(A32,Schlußkurse!A5:AU70,44,FALSE)&gt;0,VLOOKUP(A32,Dividende_je_Aktie!A3:AM68,16,FALSE)/VLOOKUP(A32,Schlußkurse!A5:AU70,44,FALSE),"")</f>
        <v>2.421515054109075E-2</v>
      </c>
      <c r="M32" s="84">
        <f>IF(VLOOKUP(A32,Schlußkurse!A5:AU70,45,FALSE)&gt;0,VLOOKUP(A32,Dividende_je_Aktie!A3:AM68,17,FALSE)/VLOOKUP(A32,Schlußkurse!A5:AU70,45,FALSE),"")</f>
        <v>2.7257933279088688E-2</v>
      </c>
      <c r="N32" s="84">
        <f>IF(VLOOKUP(A32,Schlußkurse!A5:AU70,46,FALSE)&gt;0,VLOOKUP(A32,Dividende_je_Aktie!A3:AM68,18,FALSE)/VLOOKUP(A32,Schlußkurse!A5:AU70,46,FALSE),"")</f>
        <v>3.079359493225409E-2</v>
      </c>
      <c r="O32" s="85">
        <f>IF(VLOOKUP(A32,Schlußkurse!A5:AU70,47,FALSE)&gt;0,VLOOKUP(A32,Dividende_je_Aktie!A3:AM68,19,FALSE)/VLOOKUP(A32,Schlußkurse!A5:AU70,47,FALSE),"")</f>
        <v>2.9137307179584841E-2</v>
      </c>
      <c r="P32" s="5">
        <f t="shared" si="0"/>
        <v>3.2993490259934886E-2</v>
      </c>
      <c r="Q32" s="5">
        <f ca="1">VLOOKUP(A32,Dividende_je_Aktie!A3:AM68,24,FALSE)/VLOOKUP(A32,Schlußkurse!A5:AU70,35,FALSE)</f>
        <v>4.3224212206695971E-2</v>
      </c>
      <c r="R32" s="5">
        <f t="shared" ca="1" si="1"/>
        <v>0.31008304566020994</v>
      </c>
    </row>
    <row r="33" spans="1:18" x14ac:dyDescent="0.25">
      <c r="A33" t="s">
        <v>58</v>
      </c>
      <c r="B33" t="s">
        <v>59</v>
      </c>
      <c r="C33" s="83">
        <f>IF(VLOOKUP(A33,Schlußkurse!A5:AU70,35,FALSE)&gt;0,VLOOKUP(A33,Dividende_je_Aktie!A3:AM68,7,FALSE)/VLOOKUP(A33,Schlußkurse!A5:AU70,35,FALSE),"")</f>
        <v>3.5830618892508145E-2</v>
      </c>
      <c r="D33" s="84">
        <f>IF(VLOOKUP(A33,Schlußkurse!A5:AU70,36,FALSE)&gt;0,VLOOKUP(A33,Dividende_je_Aktie!A3:AM68,8,FALSE)/VLOOKUP(A33,Schlußkurse!A5:AU70,36,FALSE),"")</f>
        <v>3.3324981207717368E-2</v>
      </c>
      <c r="E33" s="84">
        <f>IF(VLOOKUP(A33,Schlußkurse!A5:AU70,37,FALSE)&gt;0,VLOOKUP(A33,Dividende_je_Aktie!A3:AM68,9,FALSE)/VLOOKUP(A33,Schlußkurse!A5:AU70,37,FALSE),"")</f>
        <v>2.8896257697773566E-2</v>
      </c>
      <c r="F33" s="84">
        <f>IF(VLOOKUP(A33,Schlußkurse!A5:AU70,38,FALSE)&gt;0,VLOOKUP(A33,Dividende_je_Aktie!A3:AM68,10,FALSE)/VLOOKUP(A33,Schlußkurse!A5:AU70,38,FALSE),"")</f>
        <v>2.71120793996611E-2</v>
      </c>
      <c r="G33" s="84">
        <f>IF(VLOOKUP(A33,Schlußkurse!A5:AU70,39,FALSE)&gt;0,VLOOKUP(A33,Dividende_je_Aktie!A3:AM68,11,FALSE)/VLOOKUP(A33,Schlußkurse!A5:AU70,39,FALSE),"")</f>
        <v>2.8137931034482758E-2</v>
      </c>
      <c r="H33" s="84">
        <f>IF(VLOOKUP(A33,Schlußkurse!A5:AU70,40,FALSE)&gt;0,VLOOKUP(A33,Dividende_je_Aktie!A3:AM68,12,FALSE)/VLOOKUP(A33,Schlußkurse!A5:AU70,40,FALSE),"")</f>
        <v>2.6868657996284122E-2</v>
      </c>
      <c r="I33" s="84">
        <f>IF(VLOOKUP(A33,Schlußkurse!A5:AU70,41,FALSE)&gt;0,VLOOKUP(A33,Dividende_je_Aktie!A3:AM68,13,FALSE)/VLOOKUP(A33,Schlußkurse!A5:AU70,41,FALSE),"")</f>
        <v>2.6759920936597233E-2</v>
      </c>
      <c r="J33" s="84">
        <f>IF(VLOOKUP(A33,Schlußkurse!A5:AU70,42,FALSE)&gt;0,VLOOKUP(A33,Dividende_je_Aktie!A3:AM68,14,FALSE)/VLOOKUP(A33,Schlußkurse!A5:AU70,42,FALSE),"")</f>
        <v>2.8771929824561403E-2</v>
      </c>
      <c r="K33" s="84">
        <f>IF(VLOOKUP(A33,Schlußkurse!A5:AU70,43,FALSE)&gt;0,VLOOKUP(A33,Dividende_je_Aktie!A3:AM68,15,FALSE)/VLOOKUP(A33,Schlußkurse!A5:AU70,43,FALSE),"")</f>
        <v>3.3576319858626018E-2</v>
      </c>
      <c r="L33" s="84">
        <f>IF(VLOOKUP(A33,Schlußkurse!A5:AU70,44,FALSE)&gt;0,VLOOKUP(A33,Dividende_je_Aktie!A3:AM68,16,FALSE)/VLOOKUP(A33,Schlußkurse!A5:AU70,44,FALSE),"")</f>
        <v>2.2160664819944602E-2</v>
      </c>
      <c r="M33" s="84">
        <f>IF(VLOOKUP(A33,Schlußkurse!A5:AU70,45,FALSE)&gt;0,VLOOKUP(A33,Dividende_je_Aktie!A3:AM68,17,FALSE)/VLOOKUP(A33,Schlußkurse!A5:AU70,45,FALSE),"")</f>
        <v>2.5619834710743802E-2</v>
      </c>
      <c r="N33" s="84">
        <f>IF(VLOOKUP(A33,Schlußkurse!A5:AU70,46,FALSE)&gt;0,VLOOKUP(A33,Dividende_je_Aktie!A3:AM68,18,FALSE)/VLOOKUP(A33,Schlußkurse!A5:AU70,46,FALSE),"")</f>
        <v>2.7784668816670802E-2</v>
      </c>
      <c r="O33" s="85">
        <f>IF(VLOOKUP(A33,Schlußkurse!A5:AU70,47,FALSE)&gt;0,VLOOKUP(A33,Dividende_je_Aktie!A3:AM68,19,FALSE)/VLOOKUP(A33,Schlußkurse!A5:AU70,47,FALSE),"")</f>
        <v>2.4015369836695485E-2</v>
      </c>
      <c r="P33" s="5">
        <f t="shared" si="0"/>
        <v>2.8373787310174339E-2</v>
      </c>
      <c r="Q33" s="5">
        <f ca="1">VLOOKUP(A33,Dividende_je_Aktie!A3:AM68,24,FALSE)/VLOOKUP(A33,Schlußkurse!A5:AU70,35,FALSE)</f>
        <v>3.3833068849355503E-2</v>
      </c>
      <c r="R33" s="5">
        <f t="shared" ca="1" si="1"/>
        <v>0.1924058103171713</v>
      </c>
    </row>
    <row r="34" spans="1:18" x14ac:dyDescent="0.25">
      <c r="A34" t="s">
        <v>60</v>
      </c>
      <c r="B34" t="s">
        <v>61</v>
      </c>
      <c r="C34" s="83">
        <f>IF(VLOOKUP(A34,Schlußkurse!A5:AU70,35,FALSE)&gt;0,VLOOKUP(A34,Dividende_je_Aktie!A3:AM68,7,FALSE)/VLOOKUP(A34,Schlußkurse!A5:AU70,35,FALSE),"")</f>
        <v>2.3955594507741748E-2</v>
      </c>
      <c r="D34" s="84">
        <f>IF(VLOOKUP(A34,Schlußkurse!A5:AU70,36,FALSE)&gt;0,VLOOKUP(A34,Dividende_je_Aktie!A3:AM68,8,FALSE)/VLOOKUP(A34,Schlußkurse!A5:AU70,36,FALSE),"")</f>
        <v>2.2348816827344437E-2</v>
      </c>
      <c r="E34" s="84">
        <f>IF(VLOOKUP(A34,Schlußkurse!A5:AU70,37,FALSE)&gt;0,VLOOKUP(A34,Dividende_je_Aktie!A3:AM68,9,FALSE)/VLOOKUP(A34,Schlußkurse!A5:AU70,37,FALSE),"")</f>
        <v>2.0523196993785228E-2</v>
      </c>
      <c r="F34" s="84">
        <f>IF(VLOOKUP(A34,Schlußkurse!A5:AU70,38,FALSE)&gt;0,VLOOKUP(A34,Dividende_je_Aktie!A3:AM68,10,FALSE)/VLOOKUP(A34,Schlußkurse!A5:AU70,38,FALSE),"")</f>
        <v>2.0395644839748508E-2</v>
      </c>
      <c r="G34" s="84">
        <f>IF(VLOOKUP(A34,Schlußkurse!A5:AU70,39,FALSE)&gt;0,VLOOKUP(A34,Dividende_je_Aktie!A3:AM68,11,FALSE)/VLOOKUP(A34,Schlußkurse!A5:AU70,39,FALSE),"")</f>
        <v>2.3340348192079585E-2</v>
      </c>
      <c r="H34" s="84">
        <f>IF(VLOOKUP(A34,Schlußkurse!A5:AU70,40,FALSE)&gt;0,VLOOKUP(A34,Dividende_je_Aktie!A3:AM68,12,FALSE)/VLOOKUP(A34,Schlußkurse!A5:AU70,40,FALSE),"")</f>
        <v>2.4677995454053466E-2</v>
      </c>
      <c r="I34" s="84">
        <f>IF(VLOOKUP(A34,Schlußkurse!A5:AU70,41,FALSE)&gt;0,VLOOKUP(A34,Dividende_je_Aktie!A3:AM68,13,FALSE)/VLOOKUP(A34,Schlußkurse!A5:AU70,41,FALSE),"")</f>
        <v>2.5133756376757497E-2</v>
      </c>
      <c r="J34" s="84">
        <f>IF(VLOOKUP(A34,Schlußkurse!A5:AU70,42,FALSE)&gt;0,VLOOKUP(A34,Dividende_je_Aktie!A3:AM68,14,FALSE)/VLOOKUP(A34,Schlußkurse!A5:AU70,42,FALSE),"")</f>
        <v>2.0937309799147898E-2</v>
      </c>
      <c r="K34" s="84">
        <f>IF(VLOOKUP(A34,Schlußkurse!A5:AU70,43,FALSE)&gt;0,VLOOKUP(A34,Dividende_je_Aktie!A3:AM68,15,FALSE)/VLOOKUP(A34,Schlußkurse!A5:AU70,43,FALSE),"")</f>
        <v>2.2760431864604608E-2</v>
      </c>
      <c r="L34" s="84">
        <f>IF(VLOOKUP(A34,Schlußkurse!A5:AU70,44,FALSE)&gt;0,VLOOKUP(A34,Dividende_je_Aktie!A3:AM68,16,FALSE)/VLOOKUP(A34,Schlußkurse!A5:AU70,44,FALSE),"")</f>
        <v>1.7957927142124165E-2</v>
      </c>
      <c r="M34" s="84">
        <f>IF(VLOOKUP(A34,Schlußkurse!A5:AU70,45,FALSE)&gt;0,VLOOKUP(A34,Dividende_je_Aktie!A3:AM68,17,FALSE)/VLOOKUP(A34,Schlußkurse!A5:AU70,45,FALSE),"")</f>
        <v>1.9289650949173304E-2</v>
      </c>
      <c r="N34" s="84">
        <f>IF(VLOOKUP(A34,Schlußkurse!A5:AU70,46,FALSE)&gt;0,VLOOKUP(A34,Dividende_je_Aktie!A3:AM68,18,FALSE)/VLOOKUP(A34,Schlußkurse!A5:AU70,46,FALSE),"")</f>
        <v>2.0260492040520984E-2</v>
      </c>
      <c r="O34" s="85">
        <f>IF(VLOOKUP(A34,Schlußkurse!A5:AU70,47,FALSE)&gt;0,VLOOKUP(A34,Dividende_je_Aktie!A3:AM68,19,FALSE)/VLOOKUP(A34,Schlußkurse!A5:AU70,47,FALSE),"")</f>
        <v>2.5945945945945945E-2</v>
      </c>
      <c r="P34" s="5">
        <f t="shared" si="0"/>
        <v>2.2117470071771339E-2</v>
      </c>
      <c r="Q34" s="5">
        <f ca="1">VLOOKUP(A34,Dividende_je_Aktie!A3:AM68,24,FALSE)/VLOOKUP(A34,Schlußkurse!A5:AU70,35,FALSE)</f>
        <v>2.2674635634758338E-2</v>
      </c>
      <c r="R34" s="5">
        <f t="shared" ca="1" si="1"/>
        <v>2.5191197780713326E-2</v>
      </c>
    </row>
    <row r="35" spans="1:18" x14ac:dyDescent="0.25">
      <c r="A35" t="s">
        <v>62</v>
      </c>
      <c r="B35" t="s">
        <v>63</v>
      </c>
      <c r="C35" s="83">
        <f>IF(VLOOKUP(A35,Schlußkurse!A5:AU70,35,FALSE)&gt;0,VLOOKUP(A35,Dividende_je_Aktie!A3:AM68,7,FALSE)/VLOOKUP(A35,Schlußkurse!A5:AU70,35,FALSE),"")</f>
        <v>3.6981934112646123E-2</v>
      </c>
      <c r="D35" s="84">
        <f>IF(VLOOKUP(A35,Schlußkurse!A5:AU70,36,FALSE)&gt;0,VLOOKUP(A35,Dividende_je_Aktie!A3:AM68,8,FALSE)/VLOOKUP(A35,Schlußkurse!A5:AU70,36,FALSE),"")</f>
        <v>3.4643995749202974E-2</v>
      </c>
      <c r="E35" s="84">
        <f>IF(VLOOKUP(A35,Schlußkurse!A5:AU70,37,FALSE)&gt;0,VLOOKUP(A35,Dividende_je_Aktie!A3:AM68,9,FALSE)/VLOOKUP(A35,Schlußkurse!A5:AU70,37,FALSE),"")</f>
        <v>3.3545275158956368E-2</v>
      </c>
      <c r="F35" s="84">
        <f>IF(VLOOKUP(A35,Schlußkurse!A5:AU70,38,FALSE)&gt;0,VLOOKUP(A35,Dividende_je_Aktie!A3:AM68,10,FALSE)/VLOOKUP(A35,Schlußkurse!A5:AU70,38,FALSE),"")</f>
        <v>2.8828828828828829E-2</v>
      </c>
      <c r="G35" s="84">
        <f>IF(VLOOKUP(A35,Schlußkurse!A5:AU70,39,FALSE)&gt;0,VLOOKUP(A35,Dividende_je_Aktie!A3:AM68,11,FALSE)/VLOOKUP(A35,Schlußkurse!A5:AU70,39,FALSE),"")</f>
        <v>3.7427233416023803E-2</v>
      </c>
      <c r="H35" s="84">
        <f>IF(VLOOKUP(A35,Schlußkurse!A5:AU70,40,FALSE)&gt;0,VLOOKUP(A35,Dividende_je_Aktie!A3:AM68,12,FALSE)/VLOOKUP(A35,Schlußkurse!A5:AU70,40,FALSE),"")</f>
        <v>3.129346314325452E-2</v>
      </c>
      <c r="I35" s="84">
        <f>IF(VLOOKUP(A35,Schlußkurse!A5:AU70,41,FALSE)&gt;0,VLOOKUP(A35,Dividende_je_Aktie!A3:AM68,13,FALSE)/VLOOKUP(A35,Schlußkurse!A5:AU70,41,FALSE),"")</f>
        <v>1.7574692442882248E-2</v>
      </c>
      <c r="J35" s="84">
        <f>IF(VLOOKUP(A35,Schlußkurse!A5:AU70,42,FALSE)&gt;0,VLOOKUP(A35,Dividende_je_Aktie!A3:AM68,14,FALSE)/VLOOKUP(A35,Schlußkurse!A5:AU70,42,FALSE),"")</f>
        <v>2.1715526601520086E-2</v>
      </c>
      <c r="K35" s="84">
        <f>IF(VLOOKUP(A35,Schlußkurse!A5:AU70,43,FALSE)&gt;0,VLOOKUP(A35,Dividende_je_Aktie!A3:AM68,15,FALSE)/VLOOKUP(A35,Schlußkurse!A5:AU70,43,FALSE),"")</f>
        <v>0.11133200795228627</v>
      </c>
      <c r="L35" s="84">
        <f>IF(VLOOKUP(A35,Schlußkurse!A5:AU70,44,FALSE)&gt;0,VLOOKUP(A35,Dividende_je_Aktie!A3:AM68,16,FALSE)/VLOOKUP(A35,Schlußkurse!A5:AU70,44,FALSE),"")</f>
        <v>4.0334855403348552E-2</v>
      </c>
      <c r="M35" s="84">
        <f>IF(VLOOKUP(A35,Schlußkurse!A5:AU70,45,FALSE)&gt;0,VLOOKUP(A35,Dividende_je_Aktie!A3:AM68,17,FALSE)/VLOOKUP(A35,Schlußkurse!A5:AU70,45,FALSE),"")</f>
        <v>3.6545682102628284E-2</v>
      </c>
      <c r="N35" s="84">
        <f>IF(VLOOKUP(A35,Schlußkurse!A5:AU70,46,FALSE)&gt;0,VLOOKUP(A35,Dividende_je_Aktie!A3:AM68,18,FALSE)/VLOOKUP(A35,Schlußkurse!A5:AU70,46,FALSE),"")</f>
        <v>3.0344202898550728E-2</v>
      </c>
      <c r="O35" s="85">
        <f>IF(VLOOKUP(A35,Schlußkurse!A5:AU70,47,FALSE)&gt;0,VLOOKUP(A35,Dividende_je_Aktie!A3:AM68,19,FALSE)/VLOOKUP(A35,Schlußkurse!A5:AU70,47,FALSE),"")</f>
        <v>3.6512261580381469E-2</v>
      </c>
      <c r="P35" s="5">
        <f t="shared" si="0"/>
        <v>3.823691995311617E-2</v>
      </c>
      <c r="Q35" s="5">
        <f ca="1">VLOOKUP(A35,Dividende_je_Aktie!A3:AM68,24,FALSE)/VLOOKUP(A35,Schlußkurse!A5:AU70,35,FALSE)</f>
        <v>3.5118077695123394E-2</v>
      </c>
      <c r="R35" s="5">
        <f t="shared" ca="1" si="1"/>
        <v>-8.1566252245654614E-2</v>
      </c>
    </row>
    <row r="36" spans="1:18" x14ac:dyDescent="0.25">
      <c r="A36" t="s">
        <v>64</v>
      </c>
      <c r="B36" t="s">
        <v>65</v>
      </c>
      <c r="C36" s="83">
        <f>IF(VLOOKUP(A36,Schlußkurse!A5:AU70,35,FALSE)&gt;0,VLOOKUP(A36,Dividende_je_Aktie!A3:AM68,7,FALSE)/VLOOKUP(A36,Schlußkurse!A5:AU70,35,FALSE),"")</f>
        <v>3.5411947060927623E-2</v>
      </c>
      <c r="D36" s="84">
        <f>IF(VLOOKUP(A36,Schlußkurse!A5:AU70,36,FALSE)&gt;0,VLOOKUP(A36,Dividende_je_Aktie!A3:AM68,8,FALSE)/VLOOKUP(A36,Schlußkurse!A5:AU70,36,FALSE),"")</f>
        <v>3.3861929176105872E-2</v>
      </c>
      <c r="E36" s="84">
        <f>IF(VLOOKUP(A36,Schlußkurse!A5:AU70,37,FALSE)&gt;0,VLOOKUP(A36,Dividende_je_Aktie!A3:AM68,9,FALSE)/VLOOKUP(A36,Schlußkurse!A5:AU70,37,FALSE),"")</f>
        <v>2.9204975662520283E-2</v>
      </c>
      <c r="F36" s="84">
        <f>IF(VLOOKUP(A36,Schlußkurse!A5:AU70,38,FALSE)&gt;0,VLOOKUP(A36,Dividende_je_Aktie!A3:AM68,10,FALSE)/VLOOKUP(A36,Schlußkurse!A5:AU70,38,FALSE),"")</f>
        <v>2.4308300395256915E-2</v>
      </c>
      <c r="G36" s="84">
        <f>IF(VLOOKUP(A36,Schlußkurse!A5:AU70,39,FALSE)&gt;0,VLOOKUP(A36,Dividende_je_Aktie!A3:AM68,11,FALSE)/VLOOKUP(A36,Schlußkurse!A5:AU70,39,FALSE),"")</f>
        <v>2.518775274407857E-2</v>
      </c>
      <c r="H36" s="84">
        <f>IF(VLOOKUP(A36,Schlußkurse!A5:AU70,40,FALSE)&gt;0,VLOOKUP(A36,Dividende_je_Aktie!A3:AM68,12,FALSE)/VLOOKUP(A36,Schlußkurse!A5:AU70,40,FALSE),"")</f>
        <v>2.1826333176026426E-2</v>
      </c>
      <c r="I36" s="84">
        <f>IF(VLOOKUP(A36,Schlußkurse!A5:AU70,41,FALSE)&gt;0,VLOOKUP(A36,Dividende_je_Aktie!A3:AM68,13,FALSE)/VLOOKUP(A36,Schlußkurse!A5:AU70,41,FALSE),"")</f>
        <v>2.3796498905908094E-2</v>
      </c>
      <c r="J36" s="84">
        <f>IF(VLOOKUP(A36,Schlußkurse!A5:AU70,42,FALSE)&gt;0,VLOOKUP(A36,Dividende_je_Aktie!A3:AM68,14,FALSE)/VLOOKUP(A36,Schlußkurse!A5:AU70,42,FALSE),"")</f>
        <v>2.4343745417216602E-2</v>
      </c>
      <c r="K36" s="84">
        <f>IF(VLOOKUP(A36,Schlußkurse!A5:AU70,43,FALSE)&gt;0,VLOOKUP(A36,Dividende_je_Aktie!A3:AM68,15,FALSE)/VLOOKUP(A36,Schlußkurse!A5:AU70,43,FALSE),"")</f>
        <v>1.9416259551547039E-2</v>
      </c>
      <c r="L36" s="84">
        <f>IF(VLOOKUP(A36,Schlußkurse!A5:AU70,44,FALSE)&gt;0,VLOOKUP(A36,Dividende_je_Aktie!A3:AM68,16,FALSE)/VLOOKUP(A36,Schlußkurse!A5:AU70,44,FALSE),"")</f>
        <v>1.4622691856121252E-2</v>
      </c>
      <c r="M36" s="84">
        <f>IF(VLOOKUP(A36,Schlußkurse!A5:AU70,45,FALSE)&gt;0,VLOOKUP(A36,Dividende_je_Aktie!A3:AM68,17,FALSE)/VLOOKUP(A36,Schlußkurse!A5:AU70,45,FALSE),"")</f>
        <v>1.6625535783868037E-2</v>
      </c>
      <c r="N36" s="84">
        <f>IF(VLOOKUP(A36,Schlußkurse!A5:AU70,46,FALSE)&gt;0,VLOOKUP(A36,Dividende_je_Aktie!A3:AM68,18,FALSE)/VLOOKUP(A36,Schlußkurse!A5:AU70,46,FALSE),"")</f>
        <v>2.0295531422467507E-2</v>
      </c>
      <c r="O36" s="85">
        <f>IF(VLOOKUP(A36,Schlußkurse!A5:AU70,47,FALSE)&gt;0,VLOOKUP(A36,Dividende_je_Aktie!A3:AM68,19,FALSE)/VLOOKUP(A36,Schlußkurse!A5:AU70,47,FALSE),"")</f>
        <v>2.0678891923527117E-2</v>
      </c>
      <c r="P36" s="5">
        <f t="shared" ref="P36:P67" si="2">AVERAGE(C36:O36)</f>
        <v>2.3813876390428566E-2</v>
      </c>
      <c r="Q36" s="5">
        <f ca="1">VLOOKUP(A36,Dividende_je_Aktie!A3:AM68,24,FALSE)/VLOOKUP(A36,Schlußkurse!A5:AU70,35,FALSE)</f>
        <v>3.4176238358305841E-2</v>
      </c>
      <c r="R36" s="5">
        <f t="shared" ca="1" si="1"/>
        <v>0.43513965546752331</v>
      </c>
    </row>
    <row r="37" spans="1:18" x14ac:dyDescent="0.25">
      <c r="A37" t="s">
        <v>66</v>
      </c>
      <c r="B37" t="s">
        <v>67</v>
      </c>
      <c r="C37" s="83">
        <f>IF(VLOOKUP(A37,Schlußkurse!A5:AU70,35,FALSE)&gt;0,VLOOKUP(A37,Dividende_je_Aktie!A3:AM68,7,FALSE)/VLOOKUP(A37,Schlußkurse!A5:AU70,35,FALSE),"")</f>
        <v>3.9936102236421724E-2</v>
      </c>
      <c r="D37" s="84">
        <f>IF(VLOOKUP(A37,Schlußkurse!A5:AU70,36,FALSE)&gt;0,VLOOKUP(A37,Dividende_je_Aktie!A3:AM68,8,FALSE)/VLOOKUP(A37,Schlußkurse!A5:AU70,36,FALSE),"")</f>
        <v>3.7140575079872208E-2</v>
      </c>
      <c r="E37" s="84">
        <f>IF(VLOOKUP(A37,Schlußkurse!A5:AU70,37,FALSE)&gt;0,VLOOKUP(A37,Dividende_je_Aktie!A3:AM68,9,FALSE)/VLOOKUP(A37,Schlußkurse!A5:AU70,37,FALSE),"")</f>
        <v>3.521962801741195E-2</v>
      </c>
      <c r="F37" s="84">
        <f>IF(VLOOKUP(A37,Schlußkurse!A5:AU70,38,FALSE)&gt;0,VLOOKUP(A37,Dividende_je_Aktie!A3:AM68,10,FALSE)/VLOOKUP(A37,Schlußkurse!A5:AU70,38,FALSE),"")</f>
        <v>2.8184088476632181E-2</v>
      </c>
      <c r="G37" s="84">
        <f>IF(VLOOKUP(A37,Schlußkurse!A5:AU70,39,FALSE)&gt;0,VLOOKUP(A37,Dividende_je_Aktie!A3:AM68,11,FALSE)/VLOOKUP(A37,Schlußkurse!A5:AU70,39,FALSE),"")</f>
        <v>3.3349213911386372E-2</v>
      </c>
      <c r="H37" s="84">
        <f>IF(VLOOKUP(A37,Schlußkurse!A5:AU70,40,FALSE)&gt;0,VLOOKUP(A37,Dividende_je_Aktie!A3:AM68,12,FALSE)/VLOOKUP(A37,Schlußkurse!A5:AU70,40,FALSE),"")</f>
        <v>3.4059184812953655E-2</v>
      </c>
      <c r="I37" s="84">
        <f>IF(VLOOKUP(A37,Schlußkurse!A5:AU70,41,FALSE)&gt;0,VLOOKUP(A37,Dividende_je_Aktie!A3:AM68,13,FALSE)/VLOOKUP(A37,Schlußkurse!A5:AU70,41,FALSE),"")</f>
        <v>2.5150355385456537E-2</v>
      </c>
      <c r="J37" s="84">
        <f>IF(VLOOKUP(A37,Schlußkurse!A5:AU70,42,FALSE)&gt;0,VLOOKUP(A37,Dividende_je_Aktie!A3:AM68,14,FALSE)/VLOOKUP(A37,Schlußkurse!A5:AU70,42,FALSE),"")</f>
        <v>4.0317250495703894E-2</v>
      </c>
      <c r="K37" s="84">
        <f>IF(VLOOKUP(A37,Schlußkurse!A5:AU70,43,FALSE)&gt;0,VLOOKUP(A37,Dividende_je_Aktie!A3:AM68,15,FALSE)/VLOOKUP(A37,Schlußkurse!A5:AU70,43,FALSE),"")</f>
        <v>7.6543209876543214E-2</v>
      </c>
      <c r="L37" s="84">
        <f>IF(VLOOKUP(A37,Schlußkurse!A5:AU70,44,FALSE)&gt;0,VLOOKUP(A37,Dividende_je_Aktie!A3:AM68,16,FALSE)/VLOOKUP(A37,Schlußkurse!A5:AU70,44,FALSE),"")</f>
        <v>3.1022390072835176E-2</v>
      </c>
      <c r="M37" s="84">
        <f>IF(VLOOKUP(A37,Schlußkurse!A5:AU70,45,FALSE)&gt;0,VLOOKUP(A37,Dividende_je_Aktie!A3:AM68,17,FALSE)/VLOOKUP(A37,Schlußkurse!A5:AU70,45,FALSE),"")</f>
        <v>2.7582882545123456E-2</v>
      </c>
      <c r="N37" s="84">
        <f>IF(VLOOKUP(A37,Schlußkurse!A5:AU70,46,FALSE)&gt;0,VLOOKUP(A37,Dividende_je_Aktie!A3:AM68,18,FALSE)/VLOOKUP(A37,Schlußkurse!A5:AU70,46,FALSE),"")</f>
        <v>2.5962910128388021E-2</v>
      </c>
      <c r="O37" s="85">
        <f>IF(VLOOKUP(A37,Schlußkurse!A5:AU70,47,FALSE)&gt;0,VLOOKUP(A37,Dividende_je_Aktie!A3:AM68,19,FALSE)/VLOOKUP(A37,Schlußkurse!A5:AU70,47,FALSE),"")</f>
        <v>2.2465753424657533E-2</v>
      </c>
      <c r="P37" s="5">
        <f t="shared" si="2"/>
        <v>3.5148734189491222E-2</v>
      </c>
      <c r="Q37" s="5">
        <f ca="1">VLOOKUP(A37,Dividende_je_Aktie!A3:AM68,24,FALSE)/VLOOKUP(A37,Schlußkurse!A5:AU70,35,FALSE)</f>
        <v>3.7707445864394742E-2</v>
      </c>
      <c r="R37" s="5">
        <f t="shared" ca="1" si="1"/>
        <v>7.2796694785911331E-2</v>
      </c>
    </row>
    <row r="38" spans="1:18" x14ac:dyDescent="0.25">
      <c r="A38" t="s">
        <v>68</v>
      </c>
      <c r="B38" t="s">
        <v>69</v>
      </c>
      <c r="C38" s="83">
        <f>IF(VLOOKUP(A38,Schlußkurse!A5:AU70,35,FALSE)&gt;0,VLOOKUP(A38,Dividende_je_Aktie!A3:AM68,7,FALSE)/VLOOKUP(A38,Schlußkurse!A5:AU70,35,FALSE),"")</f>
        <v>1.4207246223724516E-2</v>
      </c>
      <c r="D38" s="84">
        <f>IF(VLOOKUP(A38,Schlußkurse!A5:AU70,36,FALSE)&gt;0,VLOOKUP(A38,Dividende_je_Aktie!A3:AM68,8,FALSE)/VLOOKUP(A38,Schlußkurse!A5:AU70,36,FALSE),"")</f>
        <v>1.3150945389246858E-2</v>
      </c>
      <c r="E38" s="84">
        <f>IF(VLOOKUP(A38,Schlußkurse!A5:AU70,37,FALSE)&gt;0,VLOOKUP(A38,Dividende_je_Aktie!A3:AM68,9,FALSE)/VLOOKUP(A38,Schlußkurse!A5:AU70,37,FALSE),"")</f>
        <v>1.1608110199659495E-2</v>
      </c>
      <c r="F38" s="84">
        <f>IF(VLOOKUP(A38,Schlußkurse!A5:AU70,38,FALSE)&gt;0,VLOOKUP(A38,Dividende_je_Aktie!A3:AM68,10,FALSE)/VLOOKUP(A38,Schlußkurse!A5:AU70,38,FALSE),"")</f>
        <v>1.1564932866975065E-2</v>
      </c>
      <c r="G38" s="84">
        <f>IF(VLOOKUP(A38,Schlußkurse!A5:AU70,39,FALSE)&gt;0,VLOOKUP(A38,Dividende_je_Aktie!A3:AM68,11,FALSE)/VLOOKUP(A38,Schlußkurse!A5:AU70,39,FALSE),"")</f>
        <v>1.3875823142050799E-2</v>
      </c>
      <c r="H38" s="84">
        <f>IF(VLOOKUP(A38,Schlußkurse!A5:AU70,40,FALSE)&gt;0,VLOOKUP(A38,Dividende_je_Aktie!A3:AM68,12,FALSE)/VLOOKUP(A38,Schlußkurse!A5:AU70,40,FALSE),"")</f>
        <v>1.5481587968594491E-2</v>
      </c>
      <c r="I38" s="84">
        <f>IF(VLOOKUP(A38,Schlußkurse!A5:AU70,41,FALSE)&gt;0,VLOOKUP(A38,Dividende_je_Aktie!A3:AM68,13,FALSE)/VLOOKUP(A38,Schlußkurse!A5:AU70,41,FALSE),"")</f>
        <v>8.3254043767840152E-3</v>
      </c>
      <c r="J38" s="84">
        <f>IF(VLOOKUP(A38,Schlußkurse!A5:AU70,42,FALSE)&gt;0,VLOOKUP(A38,Dividende_je_Aktie!A3:AM68,14,FALSE)/VLOOKUP(A38,Schlußkurse!A5:AU70,42,FALSE),"")</f>
        <v>6.2189054726368162E-3</v>
      </c>
      <c r="K38" s="84">
        <f>IF(VLOOKUP(A38,Schlußkurse!A5:AU70,43,FALSE)&gt;0,VLOOKUP(A38,Dividende_je_Aktie!A3:AM68,15,FALSE)/VLOOKUP(A38,Schlußkurse!A5:AU70,43,FALSE),"")</f>
        <v>1.7060687301974162E-2</v>
      </c>
      <c r="L38" s="84">
        <f>IF(VLOOKUP(A38,Schlußkurse!A5:AU70,44,FALSE)&gt;0,VLOOKUP(A38,Dividende_je_Aktie!A3:AM68,16,FALSE)/VLOOKUP(A38,Schlußkurse!A5:AU70,44,FALSE),"")</f>
        <v>6.5101139269937219E-3</v>
      </c>
      <c r="M38" s="84">
        <f>IF(VLOOKUP(A38,Schlußkurse!A5:AU70,45,FALSE)&gt;0,VLOOKUP(A38,Dividende_je_Aktie!A3:AM68,17,FALSE)/VLOOKUP(A38,Schlußkurse!A5:AU70,45,FALSE),"")</f>
        <v>6.5029263168425791E-3</v>
      </c>
      <c r="N38" s="84">
        <f>IF(VLOOKUP(A38,Schlußkurse!A5:AU70,46,FALSE)&gt;0,VLOOKUP(A38,Dividende_je_Aktie!A3:AM68,18,FALSE)/VLOOKUP(A38,Schlußkurse!A5:AU70,46,FALSE),"")</f>
        <v>7.7893752921015741E-3</v>
      </c>
      <c r="O38" s="85">
        <f>IF(VLOOKUP(A38,Schlußkurse!A5:AU70,47,FALSE)&gt;0,VLOOKUP(A38,Dividende_je_Aktie!A3:AM68,19,FALSE)/VLOOKUP(A38,Schlußkurse!A5:AU70,47,FALSE),"")</f>
        <v>9.5310712924132675E-3</v>
      </c>
      <c r="P38" s="5">
        <f t="shared" si="2"/>
        <v>1.0909779213076719E-2</v>
      </c>
      <c r="Q38" s="5">
        <f ca="1">VLOOKUP(A38,Dividende_je_Aktie!A3:AM68,24,FALSE)/VLOOKUP(A38,Schlußkurse!A5:AU70,35,FALSE)</f>
        <v>1.336513972512705E-2</v>
      </c>
      <c r="R38" s="5">
        <f t="shared" ca="1" si="1"/>
        <v>0.22506051351683443</v>
      </c>
    </row>
    <row r="39" spans="1:18" x14ac:dyDescent="0.25">
      <c r="A39" t="s">
        <v>70</v>
      </c>
      <c r="B39" t="s">
        <v>71</v>
      </c>
      <c r="C39" s="83">
        <f>IF(VLOOKUP(A39,Schlußkurse!A5:AU70,35,FALSE)&gt;0,VLOOKUP(A39,Dividende_je_Aktie!A3:AM68,7,FALSE)/VLOOKUP(A39,Schlußkurse!A5:AU70,35,FALSE),"")</f>
        <v>3.1371532278973296E-2</v>
      </c>
      <c r="D39" s="84">
        <f>IF(VLOOKUP(A39,Schlußkurse!A5:AU70,36,FALSE)&gt;0,VLOOKUP(A39,Dividende_je_Aktie!A3:AM68,8,FALSE)/VLOOKUP(A39,Schlußkurse!A5:AU70,36,FALSE),"")</f>
        <v>2.9491833030852992E-2</v>
      </c>
      <c r="E39" s="84">
        <f>IF(VLOOKUP(A39,Schlußkurse!A5:AU70,37,FALSE)&gt;0,VLOOKUP(A39,Dividende_je_Aktie!A3:AM68,9,FALSE)/VLOOKUP(A39,Schlußkurse!A5:AU70,37,FALSE),"")</f>
        <v>2.648965345300424E-2</v>
      </c>
      <c r="F39" s="84">
        <f>IF(VLOOKUP(A39,Schlußkurse!A5:AU70,38,FALSE)&gt;0,VLOOKUP(A39,Dividende_je_Aktie!A3:AM68,10,FALSE)/VLOOKUP(A39,Schlußkurse!A5:AU70,38,FALSE),"")</f>
        <v>1.9725968971583945E-2</v>
      </c>
      <c r="G39" s="84">
        <f>IF(VLOOKUP(A39,Schlußkurse!A5:AU70,39,FALSE)&gt;0,VLOOKUP(A39,Dividende_je_Aktie!A3:AM68,11,FALSE)/VLOOKUP(A39,Schlußkurse!A5:AU70,39,FALSE),"")</f>
        <v>1.7227877838684416E-2</v>
      </c>
      <c r="H39" s="84">
        <f>IF(VLOOKUP(A39,Schlußkurse!A5:AU70,40,FALSE)&gt;0,VLOOKUP(A39,Dividende_je_Aktie!A3:AM68,12,FALSE)/VLOOKUP(A39,Schlußkurse!A5:AU70,40,FALSE),"")</f>
        <v>1.5771155101152925E-2</v>
      </c>
      <c r="I39" s="84">
        <f>IF(VLOOKUP(A39,Schlußkurse!A5:AU70,41,FALSE)&gt;0,VLOOKUP(A39,Dividende_je_Aktie!A3:AM68,13,FALSE)/VLOOKUP(A39,Schlußkurse!A5:AU70,41,FALSE),"")</f>
        <v>1.7034614336331428E-2</v>
      </c>
      <c r="J39" s="84">
        <f>IF(VLOOKUP(A39,Schlußkurse!A5:AU70,42,FALSE)&gt;0,VLOOKUP(A39,Dividende_je_Aktie!A3:AM68,14,FALSE)/VLOOKUP(A39,Schlußkurse!A5:AU70,42,FALSE),"")</f>
        <v>1.6424751718869365E-2</v>
      </c>
      <c r="K39" s="84">
        <f>IF(VLOOKUP(A39,Schlußkurse!A5:AU70,43,FALSE)&gt;0,VLOOKUP(A39,Dividende_je_Aktie!A3:AM68,15,FALSE)/VLOOKUP(A39,Schlußkurse!A5:AU70,43,FALSE),"")</f>
        <v>2.2576045627376425E-2</v>
      </c>
      <c r="L39" s="84">
        <f>IF(VLOOKUP(A39,Schlußkurse!A5:AU70,44,FALSE)&gt;0,VLOOKUP(A39,Dividende_je_Aktie!A3:AM68,16,FALSE)/VLOOKUP(A39,Schlußkurse!A5:AU70,44,FALSE),"")</f>
        <v>1.387604070305273E-2</v>
      </c>
      <c r="M39" s="84">
        <f>IF(VLOOKUP(A39,Schlußkurse!A5:AU70,45,FALSE)&gt;0,VLOOKUP(A39,Dividende_je_Aktie!A3:AM68,17,FALSE)/VLOOKUP(A39,Schlußkurse!A5:AU70,45,FALSE),"")</f>
        <v>1.1301756909483202E-2</v>
      </c>
      <c r="N39" s="84">
        <f>IF(VLOOKUP(A39,Schlußkurse!A5:AU70,46,FALSE)&gt;0,VLOOKUP(A39,Dividende_je_Aktie!A3:AM68,18,FALSE)/VLOOKUP(A39,Schlußkurse!A5:AU70,46,FALSE),"")</f>
        <v>9.4890510948905105E-3</v>
      </c>
      <c r="O39" s="85">
        <f>IF(VLOOKUP(A39,Schlußkurse!A5:AU70,47,FALSE)&gt;0,VLOOKUP(A39,Dividende_je_Aktie!A3:AM68,19,FALSE)/VLOOKUP(A39,Schlußkurse!A5:AU70,47,FALSE),"")</f>
        <v>7.100831811726516E-3</v>
      </c>
      <c r="P39" s="5">
        <f t="shared" si="2"/>
        <v>1.8298547144306308E-2</v>
      </c>
      <c r="Q39" s="5">
        <f ca="1">VLOOKUP(A39,Dividende_je_Aktie!A3:AM68,24,FALSE)/VLOOKUP(A39,Schlußkurse!A5:AU70,35,FALSE)</f>
        <v>2.9872994267277388E-2</v>
      </c>
      <c r="R39" s="5">
        <f t="shared" ca="1" si="1"/>
        <v>0.63253366683663348</v>
      </c>
    </row>
    <row r="40" spans="1:18" x14ac:dyDescent="0.25">
      <c r="A40" t="s">
        <v>72</v>
      </c>
      <c r="B40" t="s">
        <v>73</v>
      </c>
      <c r="C40" s="83">
        <f>IF(VLOOKUP(A40,Schlußkurse!A5:AU70,35,FALSE)&gt;0,VLOOKUP(A40,Dividende_je_Aktie!A3:AM68,7,FALSE)/VLOOKUP(A40,Schlußkurse!A5:AU70,35,FALSE),"")</f>
        <v>3.016393442622951E-2</v>
      </c>
      <c r="D40" s="84">
        <f>IF(VLOOKUP(A40,Schlußkurse!A5:AU70,36,FALSE)&gt;0,VLOOKUP(A40,Dividende_je_Aktie!A3:AM68,8,FALSE)/VLOOKUP(A40,Schlußkurse!A5:AU70,36,FALSE),"")</f>
        <v>2.7540983606557375E-2</v>
      </c>
      <c r="E40" s="84">
        <f>IF(VLOOKUP(A40,Schlußkurse!A5:AU70,37,FALSE)&gt;0,VLOOKUP(A40,Dividende_je_Aktie!A3:AM68,9,FALSE)/VLOOKUP(A40,Schlußkurse!A5:AU70,37,FALSE),"")</f>
        <v>2.5247682965803774E-2</v>
      </c>
      <c r="F40" s="84">
        <f>IF(VLOOKUP(A40,Schlußkurse!A5:AU70,38,FALSE)&gt;0,VLOOKUP(A40,Dividende_je_Aktie!A3:AM68,10,FALSE)/VLOOKUP(A40,Schlußkurse!A5:AU70,38,FALSE),"")</f>
        <v>2.4623803009575923E-2</v>
      </c>
      <c r="G40" s="84">
        <f>IF(VLOOKUP(A40,Schlußkurse!A5:AU70,39,FALSE)&gt;0,VLOOKUP(A40,Dividende_je_Aktie!A3:AM68,11,FALSE)/VLOOKUP(A40,Schlußkurse!A5:AU70,39,FALSE),"")</f>
        <v>2.7291893625295948E-2</v>
      </c>
      <c r="H40" s="84">
        <f>IF(VLOOKUP(A40,Schlußkurse!A5:AU70,40,FALSE)&gt;0,VLOOKUP(A40,Dividende_je_Aktie!A3:AM68,12,FALSE)/VLOOKUP(A40,Schlußkurse!A5:AU70,40,FALSE),"")</f>
        <v>3.007518796992481E-2</v>
      </c>
      <c r="I40" s="84">
        <f>IF(VLOOKUP(A40,Schlußkurse!A5:AU70,41,FALSE)&gt;0,VLOOKUP(A40,Dividende_je_Aktie!A3:AM68,13,FALSE)/VLOOKUP(A40,Schlußkurse!A5:AU70,41,FALSE),"")</f>
        <v>4.7147571900047151E-3</v>
      </c>
      <c r="J40" s="84">
        <f>IF(VLOOKUP(A40,Schlußkurse!A5:AU70,42,FALSE)&gt;0,VLOOKUP(A40,Dividende_je_Aktie!A3:AM68,14,FALSE)/VLOOKUP(A40,Schlußkurse!A5:AU70,42,FALSE),"")</f>
        <v>4.7996160307175427E-3</v>
      </c>
      <c r="K40" s="84">
        <f>IF(VLOOKUP(A40,Schlußkurse!A5:AU70,43,FALSE)&gt;0,VLOOKUP(A40,Dividende_je_Aktie!A3:AM68,15,FALSE)/VLOOKUP(A40,Schlußkurse!A5:AU70,43,FALSE),"")</f>
        <v>4.8208055819854108E-2</v>
      </c>
      <c r="L40" s="84">
        <f>IF(VLOOKUP(A40,Schlußkurse!A5:AU70,44,FALSE)&gt;0,VLOOKUP(A40,Dividende_je_Aktie!A3:AM68,16,FALSE)/VLOOKUP(A40,Schlußkurse!A5:AU70,44,FALSE),"")</f>
        <v>3.3906071019473079E-2</v>
      </c>
      <c r="M40" s="84">
        <f>IF(VLOOKUP(A40,Schlußkurse!A5:AU70,45,FALSE)&gt;0,VLOOKUP(A40,Dividende_je_Aktie!A3:AM68,17,FALSE)/VLOOKUP(A40,Schlußkurse!A5:AU70,45,FALSE),"")</f>
        <v>2.81282316442606E-2</v>
      </c>
      <c r="N40" s="84">
        <f>IF(VLOOKUP(A40,Schlußkurse!A5:AU70,46,FALSE)&gt;0,VLOOKUP(A40,Dividende_je_Aktie!A3:AM68,18,FALSE)/VLOOKUP(A40,Schlußkurse!A5:AU70,46,FALSE),"")</f>
        <v>3.4265558075081887E-2</v>
      </c>
      <c r="O40" s="85">
        <f>IF(VLOOKUP(A40,Schlußkurse!A5:AU70,47,FALSE)&gt;0,VLOOKUP(A40,Dividende_je_Aktie!A3:AM68,19,FALSE)/VLOOKUP(A40,Schlußkurse!A5:AU70,47,FALSE),"")</f>
        <v>3.4862855678031275E-2</v>
      </c>
      <c r="P40" s="5">
        <f t="shared" si="2"/>
        <v>2.7217587004677732E-2</v>
      </c>
      <c r="Q40" s="5">
        <f ca="1">VLOOKUP(A40,Dividende_je_Aktie!A3:AM68,24,FALSE)/VLOOKUP(A40,Schlußkurse!A5:AU70,35,FALSE)</f>
        <v>2.8072859744990894E-2</v>
      </c>
      <c r="R40" s="5">
        <f t="shared" ca="1" si="1"/>
        <v>3.1423532885783478E-2</v>
      </c>
    </row>
    <row r="41" spans="1:18" x14ac:dyDescent="0.25">
      <c r="A41" t="s">
        <v>74</v>
      </c>
      <c r="B41" t="s">
        <v>75</v>
      </c>
      <c r="C41" s="83">
        <f>IF(VLOOKUP(A41,Schlußkurse!A5:AU70,35,FALSE)&gt;0,VLOOKUP(A41,Dividende_je_Aktie!A3:AM68,7,FALSE)/VLOOKUP(A41,Schlußkurse!A5:AU70,35,FALSE),"")</f>
        <v>3.1045257534522731E-2</v>
      </c>
      <c r="D41" s="84">
        <f>IF(VLOOKUP(A41,Schlußkurse!A5:AU70,36,FALSE)&gt;0,VLOOKUP(A41,Dividende_je_Aktie!A3:AM68,8,FALSE)/VLOOKUP(A41,Schlußkurse!A5:AU70,36,FALSE),"")</f>
        <v>2.9331720592682194E-2</v>
      </c>
      <c r="E41" s="84">
        <f>IF(VLOOKUP(A41,Schlußkurse!A5:AU70,37,FALSE)&gt;0,VLOOKUP(A41,Dividende_je_Aktie!A3:AM68,9,FALSE)/VLOOKUP(A41,Schlußkurse!A5:AU70,37,FALSE),"")</f>
        <v>2.6393803194032704E-2</v>
      </c>
      <c r="F41" s="84">
        <f>IF(VLOOKUP(A41,Schlußkurse!A5:AU70,38,FALSE)&gt;0,VLOOKUP(A41,Dividende_je_Aktie!A3:AM68,10,FALSE)/VLOOKUP(A41,Schlußkurse!A5:AU70,38,FALSE),"")</f>
        <v>2.8290551611141451E-2</v>
      </c>
      <c r="G41" s="84">
        <f>IF(VLOOKUP(A41,Schlußkurse!A5:AU70,39,FALSE)&gt;0,VLOOKUP(A41,Dividende_je_Aktie!A3:AM68,11,FALSE)/VLOOKUP(A41,Schlußkurse!A5:AU70,39,FALSE),"")</f>
        <v>3.4236804564907276E-2</v>
      </c>
      <c r="H41" s="84">
        <f>IF(VLOOKUP(A41,Schlußkurse!A5:AU70,40,FALSE)&gt;0,VLOOKUP(A41,Dividende_je_Aktie!A3:AM68,12,FALSE)/VLOOKUP(A41,Schlußkurse!A5:AU70,40,FALSE),"")</f>
        <v>3.4309240622140899E-2</v>
      </c>
      <c r="I41" s="84">
        <f>IF(VLOOKUP(A41,Schlußkurse!A5:AU70,41,FALSE)&gt;0,VLOOKUP(A41,Dividende_je_Aktie!A3:AM68,13,FALSE)/VLOOKUP(A41,Schlußkurse!A5:AU70,41,FALSE),"")</f>
        <v>3.411479385610347E-2</v>
      </c>
      <c r="J41" s="84">
        <f>IF(VLOOKUP(A41,Schlußkurse!A5:AU70,42,FALSE)&gt;0,VLOOKUP(A41,Dividende_je_Aktie!A3:AM68,14,FALSE)/VLOOKUP(A41,Schlußkurse!A5:AU70,42,FALSE),"")</f>
        <v>2.9964291259121256E-2</v>
      </c>
      <c r="K41" s="84">
        <f>IF(VLOOKUP(A41,Schlußkurse!A5:AU70,43,FALSE)&gt;0,VLOOKUP(A41,Dividende_je_Aktie!A3:AM68,15,FALSE)/VLOOKUP(A41,Schlußkurse!A5:AU70,43,FALSE),"")</f>
        <v>2.9918101286979776E-2</v>
      </c>
      <c r="L41" s="84">
        <f>IF(VLOOKUP(A41,Schlußkurse!A5:AU70,44,FALSE)&gt;0,VLOOKUP(A41,Dividende_je_Aktie!A3:AM68,16,FALSE)/VLOOKUP(A41,Schlußkurse!A5:AU70,44,FALSE),"")</f>
        <v>2.4287856071964018E-2</v>
      </c>
      <c r="M41" s="84">
        <f>IF(VLOOKUP(A41,Schlußkurse!A5:AU70,45,FALSE)&gt;0,VLOOKUP(A41,Dividende_je_Aktie!A3:AM68,17,FALSE)/VLOOKUP(A41,Schlußkurse!A5:AU70,45,FALSE),"")</f>
        <v>2.2094430992736079E-2</v>
      </c>
      <c r="N41" s="84">
        <f>IF(VLOOKUP(A41,Schlußkurse!A5:AU70,46,FALSE)&gt;0,VLOOKUP(A41,Dividende_je_Aktie!A3:AM68,18,FALSE)/VLOOKUP(A41,Schlußkurse!A5:AU70,46,FALSE),"")</f>
        <v>2.1131447587354409E-2</v>
      </c>
      <c r="O41" s="85">
        <f>IF(VLOOKUP(A41,Schlußkurse!A5:AU70,47,FALSE)&gt;0,VLOOKUP(A41,Dividende_je_Aktie!A3:AM68,19,FALSE)/VLOOKUP(A41,Schlußkurse!A5:AU70,47,FALSE),"")</f>
        <v>1.7187007253232418E-2</v>
      </c>
      <c r="P41" s="5">
        <f t="shared" si="2"/>
        <v>2.786963895591682E-2</v>
      </c>
      <c r="Q41" s="5">
        <f ca="1">VLOOKUP(A41,Dividende_je_Aktie!A3:AM68,24,FALSE)/VLOOKUP(A41,Schlußkurse!A5:AU70,35,FALSE)</f>
        <v>2.9679187805888744E-2</v>
      </c>
      <c r="R41" s="5">
        <f t="shared" ca="1" si="1"/>
        <v>6.4929038113274551E-2</v>
      </c>
    </row>
    <row r="42" spans="1:18" x14ac:dyDescent="0.25">
      <c r="A42" t="s">
        <v>76</v>
      </c>
      <c r="B42" t="s">
        <v>77</v>
      </c>
      <c r="C42" s="83">
        <f>IF(VLOOKUP(A42,Schlußkurse!A5:AU70,35,FALSE)&gt;0,VLOOKUP(A42,Dividende_je_Aktie!A3:AM68,7,FALSE)/VLOOKUP(A42,Schlußkurse!A5:AU70,35,FALSE),"")</f>
        <v>3.8280616382806165E-2</v>
      </c>
      <c r="D42" s="84">
        <f>IF(VLOOKUP(A42,Schlußkurse!A5:AU70,36,FALSE)&gt;0,VLOOKUP(A42,Dividende_je_Aktie!A3:AM68,8,FALSE)/VLOOKUP(A42,Schlußkurse!A5:AU70,36,FALSE),"")</f>
        <v>3.6334144363341446E-2</v>
      </c>
      <c r="E42" s="84">
        <f>IF(VLOOKUP(A42,Schlußkurse!A5:AU70,37,FALSE)&gt;0,VLOOKUP(A42,Dividende_je_Aktie!A3:AM68,9,FALSE)/VLOOKUP(A42,Schlußkurse!A5:AU70,37,FALSE),"")</f>
        <v>3.4312160868177469E-2</v>
      </c>
      <c r="F42" s="84">
        <f>IF(VLOOKUP(A42,Schlußkurse!A5:AU70,38,FALSE)&gt;0,VLOOKUP(A42,Dividende_je_Aktie!A3:AM68,10,FALSE)/VLOOKUP(A42,Schlußkurse!A5:AU70,38,FALSE),"")</f>
        <v>3.8026340196624001E-2</v>
      </c>
      <c r="G42" s="84">
        <f>IF(VLOOKUP(A42,Schlußkurse!A5:AU70,39,FALSE)&gt;0,VLOOKUP(A42,Dividende_je_Aktie!A3:AM68,11,FALSE)/VLOOKUP(A42,Schlußkurse!A5:AU70,39,FALSE),"")</f>
        <v>2.5129959968735287E-2</v>
      </c>
      <c r="H42" s="84" t="str">
        <f>IF(VLOOKUP(A42,Schlußkurse!A5:AU70,40,FALSE)&gt;0,VLOOKUP(A42,Dividende_je_Aktie!A3:AM68,12,FALSE)/VLOOKUP(A42,Schlußkurse!A5:AU70,40,FALSE),"")</f>
        <v/>
      </c>
      <c r="I42" s="84" t="str">
        <f>IF(VLOOKUP(A42,Schlußkurse!A5:AU70,41,FALSE)&gt;0,VLOOKUP(A42,Dividende_je_Aktie!A3:AM68,13,FALSE)/VLOOKUP(A42,Schlußkurse!A5:AU70,41,FALSE),"")</f>
        <v/>
      </c>
      <c r="J42" s="84" t="str">
        <f>IF(VLOOKUP(A42,Schlußkurse!A5:AU70,42,FALSE)&gt;0,VLOOKUP(A42,Dividende_je_Aktie!A3:AM68,14,FALSE)/VLOOKUP(A42,Schlußkurse!A5:AU70,42,FALSE),"")</f>
        <v/>
      </c>
      <c r="K42" s="84" t="str">
        <f>IF(VLOOKUP(A42,Schlußkurse!A5:AU70,43,FALSE)&gt;0,VLOOKUP(A42,Dividende_je_Aktie!A3:AM68,15,FALSE)/VLOOKUP(A42,Schlußkurse!A5:AU70,43,FALSE),"")</f>
        <v/>
      </c>
      <c r="L42" s="84" t="str">
        <f>IF(VLOOKUP(A42,Schlußkurse!A5:AU70,44,FALSE)&gt;0,VLOOKUP(A42,Dividende_je_Aktie!A3:AM68,16,FALSE)/VLOOKUP(A42,Schlußkurse!A5:AU70,44,FALSE),"")</f>
        <v/>
      </c>
      <c r="M42" s="84" t="str">
        <f>IF(VLOOKUP(A42,Schlußkurse!A5:AU70,45,FALSE)&gt;0,VLOOKUP(A42,Dividende_je_Aktie!A3:AM68,17,FALSE)/VLOOKUP(A42,Schlußkurse!A5:AU70,45,FALSE),"")</f>
        <v/>
      </c>
      <c r="N42" s="84" t="str">
        <f>IF(VLOOKUP(A42,Schlußkurse!A5:AU70,46,FALSE)&gt;0,VLOOKUP(A42,Dividende_je_Aktie!A3:AM68,18,FALSE)/VLOOKUP(A42,Schlußkurse!A5:AU70,46,FALSE),"")</f>
        <v/>
      </c>
      <c r="O42" s="85" t="str">
        <f>IF(VLOOKUP(A42,Schlußkurse!A5:AU70,47,FALSE)&gt;0,VLOOKUP(A42,Dividende_je_Aktie!A3:AM68,19,FALSE)/VLOOKUP(A42,Schlußkurse!A5:AU70,47,FALSE),"")</f>
        <v/>
      </c>
      <c r="P42" s="5">
        <f t="shared" si="2"/>
        <v>3.4416644355936873E-2</v>
      </c>
      <c r="Q42" s="5">
        <f ca="1">VLOOKUP(A42,Dividende_je_Aktie!A3:AM68,24,FALSE)/VLOOKUP(A42,Schlußkurse!A5:AU70,35,FALSE)</f>
        <v>3.6728845633955128E-2</v>
      </c>
      <c r="R42" s="5">
        <f t="shared" ca="1" si="1"/>
        <v>6.7182647271055052E-2</v>
      </c>
    </row>
    <row r="43" spans="1:18" x14ac:dyDescent="0.25">
      <c r="A43" t="s">
        <v>78</v>
      </c>
      <c r="B43" t="s">
        <v>79</v>
      </c>
      <c r="C43" s="83">
        <f>IF(VLOOKUP(A43,Schlußkurse!A5:AU70,35,FALSE)&gt;0,VLOOKUP(A43,Dividende_je_Aktie!A3:AM68,7,FALSE)/VLOOKUP(A43,Schlußkurse!A5:AU70,35,FALSE),"")</f>
        <v>3.8297872340425532E-2</v>
      </c>
      <c r="D43" s="84">
        <f>IF(VLOOKUP(A43,Schlußkurse!A5:AU70,36,FALSE)&gt;0,VLOOKUP(A43,Dividende_je_Aktie!A3:AM68,8,FALSE)/VLOOKUP(A43,Schlußkurse!A5:AU70,36,FALSE),"")</f>
        <v>3.5910742086144268E-2</v>
      </c>
      <c r="E43" s="84">
        <f>IF(VLOOKUP(A43,Schlußkurse!A5:AU70,37,FALSE)&gt;0,VLOOKUP(A43,Dividende_je_Aktie!A3:AM68,9,FALSE)/VLOOKUP(A43,Schlußkurse!A5:AU70,37,FALSE),"")</f>
        <v>3.5005336179295618E-2</v>
      </c>
      <c r="F43" s="84">
        <f>IF(VLOOKUP(A43,Schlußkurse!A5:AU70,38,FALSE)&gt;0,VLOOKUP(A43,Dividende_je_Aktie!A3:AM68,10,FALSE)/VLOOKUP(A43,Schlußkurse!A5:AU70,38,FALSE),"")</f>
        <v>3.2155003607131818E-2</v>
      </c>
      <c r="G43" s="84">
        <f>IF(VLOOKUP(A43,Schlußkurse!A5:AU70,39,FALSE)&gt;0,VLOOKUP(A43,Dividende_je_Aktie!A3:AM68,11,FALSE)/VLOOKUP(A43,Schlußkurse!A5:AU70,39,FALSE),"")</f>
        <v>3.253599365151344E-2</v>
      </c>
      <c r="H43" s="84">
        <f>IF(VLOOKUP(A43,Schlußkurse!A5:AU70,40,FALSE)&gt;0,VLOOKUP(A43,Dividende_je_Aktie!A3:AM68,12,FALSE)/VLOOKUP(A43,Schlußkurse!A5:AU70,40,FALSE),"")</f>
        <v>2.5216784610784408E-2</v>
      </c>
      <c r="I43" s="84">
        <f>IF(VLOOKUP(A43,Schlußkurse!A5:AU70,41,FALSE)&gt;0,VLOOKUP(A43,Dividende_je_Aktie!A3:AM68,13,FALSE)/VLOOKUP(A43,Schlußkurse!A5:AU70,41,FALSE),"")</f>
        <v>2.9442417926003123E-2</v>
      </c>
      <c r="J43" s="84">
        <f>IF(VLOOKUP(A43,Schlußkurse!A5:AU70,42,FALSE)&gt;0,VLOOKUP(A43,Dividende_je_Aktie!A3:AM68,14,FALSE)/VLOOKUP(A43,Schlußkurse!A5:AU70,42,FALSE),"")</f>
        <v>3.2831518257527226E-2</v>
      </c>
      <c r="K43" s="84">
        <f>IF(VLOOKUP(A43,Schlußkurse!A5:AU70,43,FALSE)&gt;0,VLOOKUP(A43,Dividende_je_Aktie!A3:AM68,15,FALSE)/VLOOKUP(A43,Schlußkurse!A5:AU70,43,FALSE),"")</f>
        <v>2.6210001607975559E-2</v>
      </c>
      <c r="L43" s="84">
        <f>IF(VLOOKUP(A43,Schlußkurse!A5:AU70,44,FALSE)&gt;0,VLOOKUP(A43,Dividende_je_Aktie!A3:AM68,16,FALSE)/VLOOKUP(A43,Schlußkurse!A5:AU70,44,FALSE),"")</f>
        <v>2.5462570022067563E-2</v>
      </c>
      <c r="M43" s="84">
        <f>IF(VLOOKUP(A43,Schlußkurse!A5:AU70,45,FALSE)&gt;0,VLOOKUP(A43,Dividende_je_Aktie!A3:AM68,17,FALSE)/VLOOKUP(A43,Schlußkurse!A5:AU70,45,FALSE),"")</f>
        <v>2.2522522522522525E-2</v>
      </c>
      <c r="N43" s="84">
        <f>IF(VLOOKUP(A43,Schlußkurse!A5:AU70,46,FALSE)&gt;0,VLOOKUP(A43,Dividende_je_Aktie!A3:AM68,18,FALSE)/VLOOKUP(A43,Schlußkurse!A5:AU70,46,FALSE),"")</f>
        <v>1.9869513641755637E-2</v>
      </c>
      <c r="O43" s="85">
        <f>IF(VLOOKUP(A43,Schlußkurse!A5:AU70,47,FALSE)&gt;0,VLOOKUP(A43,Dividende_je_Aktie!A3:AM68,19,FALSE)/VLOOKUP(A43,Schlußkurse!A5:AU70,47,FALSE),"")</f>
        <v>1.7155333749220212E-2</v>
      </c>
      <c r="P43" s="5">
        <f t="shared" si="2"/>
        <v>2.8662739246335923E-2</v>
      </c>
      <c r="Q43" s="5">
        <f ca="1">VLOOKUP(A43,Dividende_je_Aktie!A3:AM68,24,FALSE)/VLOOKUP(A43,Schlußkurse!A5:AU70,35,FALSE)</f>
        <v>3.6394799054373525E-2</v>
      </c>
      <c r="R43" s="5">
        <f t="shared" ca="1" si="1"/>
        <v>0.26975997449462286</v>
      </c>
    </row>
    <row r="44" spans="1:18" x14ac:dyDescent="0.25">
      <c r="A44" t="s">
        <v>80</v>
      </c>
      <c r="B44" t="s">
        <v>81</v>
      </c>
      <c r="C44" s="83">
        <f>IF(VLOOKUP(A44,Schlußkurse!A5:AU70,35,FALSE)&gt;0,VLOOKUP(A44,Dividende_je_Aktie!A3:AM68,7,FALSE)/VLOOKUP(A44,Schlußkurse!A5:AU70,35,FALSE),"")</f>
        <v>3.2740213523131674E-2</v>
      </c>
      <c r="D44" s="84">
        <f>IF(VLOOKUP(A44,Schlußkurse!A5:AU70,36,FALSE)&gt;0,VLOOKUP(A44,Dividende_je_Aktie!A3:AM68,8,FALSE)/VLOOKUP(A44,Schlußkurse!A5:AU70,36,FALSE),"")</f>
        <v>3.1850533807829179E-2</v>
      </c>
      <c r="E44" s="84">
        <f>IF(VLOOKUP(A44,Schlußkurse!A5:AU70,37,FALSE)&gt;0,VLOOKUP(A44,Dividende_je_Aktie!A3:AM68,9,FALSE)/VLOOKUP(A44,Schlußkurse!A5:AU70,37,FALSE),"")</f>
        <v>3.1167459059693609E-2</v>
      </c>
      <c r="F44" s="84">
        <f>IF(VLOOKUP(A44,Schlußkurse!A5:AU70,38,FALSE)&gt;0,VLOOKUP(A44,Dividende_je_Aktie!A3:AM68,10,FALSE)/VLOOKUP(A44,Schlußkurse!A5:AU70,38,FALSE),"")</f>
        <v>3.4565434565434566E-2</v>
      </c>
      <c r="G44" s="84">
        <f>IF(VLOOKUP(A44,Schlußkurse!A5:AU70,39,FALSE)&gt;0,VLOOKUP(A44,Dividende_je_Aktie!A3:AM68,11,FALSE)/VLOOKUP(A44,Schlußkurse!A5:AU70,39,FALSE),"")</f>
        <v>4.1035661944308743E-2</v>
      </c>
      <c r="H44" s="84">
        <f>IF(VLOOKUP(A44,Schlußkurse!A5:AU70,40,FALSE)&gt;0,VLOOKUP(A44,Dividende_je_Aktie!A3:AM68,12,FALSE)/VLOOKUP(A44,Schlußkurse!A5:AU70,40,FALSE),"")</f>
        <v>4.0318302387267899E-2</v>
      </c>
      <c r="I44" s="84">
        <f>IF(VLOOKUP(A44,Schlußkurse!A5:AU70,41,FALSE)&gt;0,VLOOKUP(A44,Dividende_je_Aktie!A3:AM68,13,FALSE)/VLOOKUP(A44,Schlußkurse!A5:AU70,41,FALSE),"")</f>
        <v>4.2175360710321866E-2</v>
      </c>
      <c r="J44" s="84">
        <f>IF(VLOOKUP(A44,Schlußkurse!A5:AU70,42,FALSE)&gt;0,VLOOKUP(A44,Dividende_je_Aktie!A3:AM68,14,FALSE)/VLOOKUP(A44,Schlußkurse!A5:AU70,42,FALSE),"")</f>
        <v>4.1598248494800219E-2</v>
      </c>
      <c r="K44" s="84">
        <f>IF(VLOOKUP(A44,Schlußkurse!A5:AU70,43,FALSE)&gt;0,VLOOKUP(A44,Dividende_je_Aktie!A3:AM68,15,FALSE)/VLOOKUP(A44,Schlußkurse!A5:AU70,43,FALSE),"")</f>
        <v>0.05</v>
      </c>
      <c r="L44" s="84">
        <f>IF(VLOOKUP(A44,Schlußkurse!A5:AU70,44,FALSE)&gt;0,VLOOKUP(A44,Dividende_je_Aktie!A3:AM68,16,FALSE)/VLOOKUP(A44,Schlußkurse!A5:AU70,44,FALSE),"")</f>
        <v>2.6157287902254345E-2</v>
      </c>
      <c r="M44" s="84">
        <f>IF(VLOOKUP(A44,Schlußkurse!A5:AU70,45,FALSE)&gt;0,VLOOKUP(A44,Dividende_je_Aktie!A3:AM68,17,FALSE)/VLOOKUP(A44,Schlußkurse!A5:AU70,45,FALSE),"")</f>
        <v>3.4870383115393436E-2</v>
      </c>
      <c r="N44" s="84">
        <f>IF(VLOOKUP(A44,Schlußkurse!A5:AU70,46,FALSE)&gt;0,VLOOKUP(A44,Dividende_je_Aktie!A3:AM68,18,FALSE)/VLOOKUP(A44,Schlußkurse!A5:AU70,46,FALSE),"")</f>
        <v>4.7783715812637538E-2</v>
      </c>
      <c r="O44" s="85">
        <f>IF(VLOOKUP(A44,Schlußkurse!A5:AU70,47,FALSE)&gt;0,VLOOKUP(A44,Dividende_je_Aktie!A3:AM68,19,FALSE)/VLOOKUP(A44,Schlußkurse!A5:AU70,47,FALSE),"")</f>
        <v>4.6359676415681395E-2</v>
      </c>
      <c r="P44" s="5">
        <f t="shared" si="2"/>
        <v>3.8509405979904182E-2</v>
      </c>
      <c r="Q44" s="5">
        <f ca="1">VLOOKUP(A44,Dividende_je_Aktie!A3:AM68,24,FALSE)/VLOOKUP(A44,Schlußkurse!A5:AU70,35,FALSE)</f>
        <v>3.2030941083432185E-2</v>
      </c>
      <c r="R44" s="5">
        <f t="shared" ca="1" si="1"/>
        <v>-0.16823071485061936</v>
      </c>
    </row>
    <row r="45" spans="1:18" x14ac:dyDescent="0.25">
      <c r="A45" t="s">
        <v>82</v>
      </c>
      <c r="B45" t="s">
        <v>83</v>
      </c>
      <c r="C45" s="83">
        <f>IF(VLOOKUP(A45,Schlußkurse!A5:AU70,35,FALSE)&gt;0,VLOOKUP(A45,Dividende_je_Aktie!A3:AM68,7,FALSE)/VLOOKUP(A45,Schlußkurse!A5:AU70,35,FALSE),"")</f>
        <v>3.1174480425326244E-2</v>
      </c>
      <c r="D45" s="84">
        <f>IF(VLOOKUP(A45,Schlußkurse!A5:AU70,36,FALSE)&gt;0,VLOOKUP(A45,Dividende_je_Aktie!A3:AM68,8,FALSE)/VLOOKUP(A45,Schlußkurse!A5:AU70,36,FALSE),"")</f>
        <v>2.8757854035766067E-2</v>
      </c>
      <c r="E45" s="84">
        <f>IF(VLOOKUP(A45,Schlußkurse!A5:AU70,37,FALSE)&gt;0,VLOOKUP(A45,Dividende_je_Aktie!A3:AM68,9,FALSE)/VLOOKUP(A45,Schlußkurse!A5:AU70,37,FALSE),"")</f>
        <v>2.6858513189448444E-2</v>
      </c>
      <c r="F45" s="84">
        <f>IF(VLOOKUP(A45,Schlußkurse!A5:AU70,38,FALSE)&gt;0,VLOOKUP(A45,Dividende_je_Aktie!A3:AM68,10,FALSE)/VLOOKUP(A45,Schlußkurse!A5:AU70,38,FALSE),"")</f>
        <v>2.6631929367491678E-2</v>
      </c>
      <c r="G45" s="84">
        <f>IF(VLOOKUP(A45,Schlußkurse!A5:AU70,39,FALSE)&gt;0,VLOOKUP(A45,Dividende_je_Aktie!A3:AM68,11,FALSE)/VLOOKUP(A45,Schlußkurse!A5:AU70,39,FALSE),"")</f>
        <v>2.6152337365152011E-2</v>
      </c>
      <c r="H45" s="84">
        <f>IF(VLOOKUP(A45,Schlußkurse!A5:AU70,40,FALSE)&gt;0,VLOOKUP(A45,Dividende_je_Aktie!A3:AM68,12,FALSE)/VLOOKUP(A45,Schlußkurse!A5:AU70,40,FALSE),"")</f>
        <v>2.4615384615384615E-2</v>
      </c>
      <c r="I45" s="84">
        <f>IF(VLOOKUP(A45,Schlußkurse!A5:AU70,41,FALSE)&gt;0,VLOOKUP(A45,Dividende_je_Aktie!A3:AM68,13,FALSE)/VLOOKUP(A45,Schlußkurse!A5:AU70,41,FALSE),"")</f>
        <v>2.2598870056497175E-2</v>
      </c>
      <c r="J45" s="84">
        <f>IF(VLOOKUP(A45,Schlußkurse!A5:AU70,42,FALSE)&gt;0,VLOOKUP(A45,Dividende_je_Aktie!A3:AM68,14,FALSE)/VLOOKUP(A45,Schlußkurse!A5:AU70,42,FALSE),"")</f>
        <v>2.1876314682372739E-2</v>
      </c>
      <c r="K45" s="84">
        <f>IF(VLOOKUP(A45,Schlußkurse!A5:AU70,43,FALSE)&gt;0,VLOOKUP(A45,Dividende_je_Aktie!A3:AM68,15,FALSE)/VLOOKUP(A45,Schlußkurse!A5:AU70,43,FALSE),"")</f>
        <v>1.599418393311523E-2</v>
      </c>
      <c r="L45" s="84">
        <f>IF(VLOOKUP(A45,Schlußkurse!A5:AU70,44,FALSE)&gt;0,VLOOKUP(A45,Dividende_je_Aktie!A3:AM68,16,FALSE)/VLOOKUP(A45,Schlußkurse!A5:AU70,44,FALSE),"")</f>
        <v>1.3573125212080083E-2</v>
      </c>
      <c r="M45" s="84">
        <f>IF(VLOOKUP(A45,Schlußkurse!A5:AU70,45,FALSE)&gt;0,VLOOKUP(A45,Dividende_je_Aktie!A3:AM68,17,FALSE)/VLOOKUP(A45,Schlußkurse!A5:AU70,45,FALSE),"")</f>
        <v>1.5021459227467809E-2</v>
      </c>
      <c r="N45" s="84">
        <f>IF(VLOOKUP(A45,Schlußkurse!A5:AU70,46,FALSE)&gt;0,VLOOKUP(A45,Dividende_je_Aktie!A3:AM68,18,FALSE)/VLOOKUP(A45,Schlußkurse!A5:AU70,46,FALSE),"")</f>
        <v>1.3687600644122385E-2</v>
      </c>
      <c r="O45" s="85">
        <f>IF(VLOOKUP(A45,Schlußkurse!A5:AU70,47,FALSE)&gt;0,VLOOKUP(A45,Dividende_je_Aktie!A3:AM68,19,FALSE)/VLOOKUP(A45,Schlußkurse!A5:AU70,47,FALSE),"")</f>
        <v>5.6022408963585435E-3</v>
      </c>
      <c r="P45" s="5">
        <f t="shared" si="2"/>
        <v>2.0964945665429464E-2</v>
      </c>
      <c r="Q45" s="5">
        <f ca="1">VLOOKUP(A45,Dividende_je_Aktie!A3:AM68,24,FALSE)/VLOOKUP(A45,Schlußkurse!A5:AU70,35,FALSE)</f>
        <v>3.046291821062241E-2</v>
      </c>
      <c r="R45" s="5">
        <f t="shared" ca="1" si="1"/>
        <v>0.45304064683815537</v>
      </c>
    </row>
    <row r="46" spans="1:18" x14ac:dyDescent="0.25">
      <c r="A46" t="s">
        <v>84</v>
      </c>
      <c r="B46" t="s">
        <v>85</v>
      </c>
      <c r="C46" s="83">
        <f>IF(VLOOKUP(A46,Schlußkurse!A5:AU70,35,FALSE)&gt;0,VLOOKUP(A46,Dividende_je_Aktie!A3:AM68,7,FALSE)/VLOOKUP(A46,Schlußkurse!A5:AU70,35,FALSE),"")</f>
        <v>1.9414662416690816E-2</v>
      </c>
      <c r="D46" s="84">
        <f>IF(VLOOKUP(A46,Schlußkurse!A5:AU70,36,FALSE)&gt;0,VLOOKUP(A46,Dividende_je_Aktie!A3:AM68,8,FALSE)/VLOOKUP(A46,Schlußkurse!A5:AU70,36,FALSE),"")</f>
        <v>1.7965807012460158E-2</v>
      </c>
      <c r="E46" s="84">
        <f>IF(VLOOKUP(A46,Schlußkurse!A5:AU70,37,FALSE)&gt;0,VLOOKUP(A46,Dividende_je_Aktie!A3:AM68,9,FALSE)/VLOOKUP(A46,Schlußkurse!A5:AU70,37,FALSE),"")</f>
        <v>1.5966964900206469E-2</v>
      </c>
      <c r="F46" s="84">
        <f>IF(VLOOKUP(A46,Schlußkurse!A5:AU70,38,FALSE)&gt;0,VLOOKUP(A46,Dividende_je_Aktie!A3:AM68,10,FALSE)/VLOOKUP(A46,Schlußkurse!A5:AU70,38,FALSE),"")</f>
        <v>1.5297450424929181E-2</v>
      </c>
      <c r="G46" s="84">
        <f>IF(VLOOKUP(A46,Schlußkurse!A5:AU70,39,FALSE)&gt;0,VLOOKUP(A46,Dividende_je_Aktie!A3:AM68,11,FALSE)/VLOOKUP(A46,Schlußkurse!A5:AU70,39,FALSE),"")</f>
        <v>2.7700831024930751E-2</v>
      </c>
      <c r="H46" s="84">
        <f>IF(VLOOKUP(A46,Schlußkurse!A5:AU70,40,FALSE)&gt;0,VLOOKUP(A46,Dividende_je_Aktie!A3:AM68,12,FALSE)/VLOOKUP(A46,Schlußkurse!A5:AU70,40,FALSE),"")</f>
        <v>1.5625210468891017E-2</v>
      </c>
      <c r="I46" s="84">
        <f>IF(VLOOKUP(A46,Schlußkurse!A5:AU70,41,FALSE)&gt;0,VLOOKUP(A46,Dividende_je_Aktie!A3:AM68,13,FALSE)/VLOOKUP(A46,Schlußkurse!A5:AU70,41,FALSE),"")</f>
        <v>2.473453025715382E-2</v>
      </c>
      <c r="J46" s="84">
        <f>IF(VLOOKUP(A46,Schlußkurse!A5:AU70,42,FALSE)&gt;0,VLOOKUP(A46,Dividende_je_Aktie!A3:AM68,14,FALSE)/VLOOKUP(A46,Schlußkurse!A5:AU70,42,FALSE),"")</f>
        <v>2.3073556908143372E-2</v>
      </c>
      <c r="K46" s="84">
        <f>IF(VLOOKUP(A46,Schlußkurse!A5:AU70,43,FALSE)&gt;0,VLOOKUP(A46,Dividende_je_Aktie!A3:AM68,15,FALSE)/VLOOKUP(A46,Schlußkurse!A5:AU70,43,FALSE),"")</f>
        <v>3.2858064894678171E-2</v>
      </c>
      <c r="L46" s="84" t="str">
        <f>IF(VLOOKUP(A46,Schlußkurse!A5:AU70,44,FALSE)&gt;0,VLOOKUP(A46,Dividende_je_Aktie!A3:AM68,16,FALSE)/VLOOKUP(A46,Schlußkurse!A5:AU70,44,FALSE),"")</f>
        <v/>
      </c>
      <c r="M46" s="84" t="str">
        <f>IF(VLOOKUP(A46,Schlußkurse!A5:AU70,45,FALSE)&gt;0,VLOOKUP(A46,Dividende_je_Aktie!A3:AM68,17,FALSE)/VLOOKUP(A46,Schlußkurse!A5:AU70,45,FALSE),"")</f>
        <v/>
      </c>
      <c r="N46" s="84" t="str">
        <f>IF(VLOOKUP(A46,Schlußkurse!A5:AU70,46,FALSE)&gt;0,VLOOKUP(A46,Dividende_je_Aktie!A3:AM68,18,FALSE)/VLOOKUP(A46,Schlußkurse!A5:AU70,46,FALSE),"")</f>
        <v/>
      </c>
      <c r="O46" s="85" t="str">
        <f>IF(VLOOKUP(A46,Schlußkurse!A5:AU70,47,FALSE)&gt;0,VLOOKUP(A46,Dividende_je_Aktie!A3:AM68,19,FALSE)/VLOOKUP(A46,Schlußkurse!A5:AU70,47,FALSE),"")</f>
        <v/>
      </c>
      <c r="P46" s="5">
        <f t="shared" si="2"/>
        <v>2.1404119812009306E-2</v>
      </c>
      <c r="Q46" s="5">
        <f ca="1">VLOOKUP(A46,Dividende_je_Aktie!A3:AM68,24,FALSE)/VLOOKUP(A46,Schlußkurse!A5:AU70,35,FALSE)</f>
        <v>1.8259602691651371E-2</v>
      </c>
      <c r="R46" s="5">
        <f t="shared" ca="1" si="1"/>
        <v>-0.14691176969555297</v>
      </c>
    </row>
    <row r="47" spans="1:18" x14ac:dyDescent="0.25">
      <c r="A47" t="s">
        <v>86</v>
      </c>
      <c r="B47" t="s">
        <v>87</v>
      </c>
      <c r="C47" s="83">
        <f>IF(VLOOKUP(A47,Schlußkurse!A5:AU70,35,FALSE)&gt;0,VLOOKUP(A47,Dividende_je_Aktie!A3:AM68,7,FALSE)/VLOOKUP(A47,Schlußkurse!A5:AU70,35,FALSE),"")</f>
        <v>1.7968683152220416E-2</v>
      </c>
      <c r="D47" s="84">
        <f>IF(VLOOKUP(A47,Schlußkurse!A5:AU70,36,FALSE)&gt;0,VLOOKUP(A47,Dividende_je_Aktie!A3:AM68,8,FALSE)/VLOOKUP(A47,Schlußkurse!A5:AU70,36,FALSE),"")</f>
        <v>1.6428510310601521E-2</v>
      </c>
      <c r="E47" s="84">
        <f>IF(VLOOKUP(A47,Schlußkurse!A5:AU70,37,FALSE)&gt;0,VLOOKUP(A47,Dividende_je_Aktie!A3:AM68,9,FALSE)/VLOOKUP(A47,Schlußkurse!A5:AU70,37,FALSE),"")</f>
        <v>1.5391266753134457E-2</v>
      </c>
      <c r="F47" s="84">
        <f>IF(VLOOKUP(A47,Schlußkurse!A5:AU70,38,FALSE)&gt;0,VLOOKUP(A47,Dividende_je_Aktie!A3:AM68,10,FALSE)/VLOOKUP(A47,Schlußkurse!A5:AU70,38,FALSE),"")</f>
        <v>1.5936254980079681E-2</v>
      </c>
      <c r="G47" s="84">
        <f>IF(VLOOKUP(A47,Schlußkurse!A5:AU70,39,FALSE)&gt;0,VLOOKUP(A47,Dividende_je_Aktie!A3:AM68,11,FALSE)/VLOOKUP(A47,Schlußkurse!A5:AU70,39,FALSE),"")</f>
        <v>1.4694064975318563E-2</v>
      </c>
      <c r="H47" s="84">
        <f>IF(VLOOKUP(A47,Schlußkurse!A5:AU70,40,FALSE)&gt;0,VLOOKUP(A47,Dividende_je_Aktie!A3:AM68,12,FALSE)/VLOOKUP(A47,Schlußkurse!A5:AU70,40,FALSE),"")</f>
        <v>1.6538517336428256E-2</v>
      </c>
      <c r="I47" s="84">
        <f>IF(VLOOKUP(A47,Schlußkurse!A5:AU70,41,FALSE)&gt;0,VLOOKUP(A47,Dividende_je_Aktie!A3:AM68,13,FALSE)/VLOOKUP(A47,Schlußkurse!A5:AU70,41,FALSE),"")</f>
        <v>2.0512820512820516E-2</v>
      </c>
      <c r="J47" s="84">
        <f>IF(VLOOKUP(A47,Schlußkurse!A5:AU70,42,FALSE)&gt;0,VLOOKUP(A47,Dividende_je_Aktie!A3:AM68,14,FALSE)/VLOOKUP(A47,Schlußkurse!A5:AU70,42,FALSE),"")</f>
        <v>1.2398664759179782E-2</v>
      </c>
      <c r="K47" s="84">
        <f>IF(VLOOKUP(A47,Schlußkurse!A5:AU70,43,FALSE)&gt;0,VLOOKUP(A47,Dividende_je_Aktie!A3:AM68,15,FALSE)/VLOOKUP(A47,Schlußkurse!A5:AU70,43,FALSE),"")</f>
        <v>7.2647702407002187E-3</v>
      </c>
      <c r="L47" s="84">
        <f>IF(VLOOKUP(A47,Schlußkurse!A5:AU70,44,FALSE)&gt;0,VLOOKUP(A47,Dividende_je_Aktie!A3:AM68,16,FALSE)/VLOOKUP(A47,Schlußkurse!A5:AU70,44,FALSE),"")</f>
        <v>7.8864353312302852E-3</v>
      </c>
      <c r="M47" s="84">
        <f>IF(VLOOKUP(A47,Schlußkurse!A5:AU70,45,FALSE)&gt;0,VLOOKUP(A47,Dividende_je_Aktie!A3:AM68,17,FALSE)/VLOOKUP(A47,Schlußkurse!A5:AU70,45,FALSE),"")</f>
        <v>8.4352593842260647E-3</v>
      </c>
      <c r="N47" s="84">
        <f>IF(VLOOKUP(A47,Schlußkurse!A5:AU70,46,FALSE)&gt;0,VLOOKUP(A47,Dividende_je_Aktie!A3:AM68,18,FALSE)/VLOOKUP(A47,Schlußkurse!A5:AU70,46,FALSE),"")</f>
        <v>1.0675039246467817E-2</v>
      </c>
      <c r="O47" s="85">
        <f>IF(VLOOKUP(A47,Schlußkurse!A5:AU70,47,FALSE)&gt;0,VLOOKUP(A47,Dividende_je_Aktie!A3:AM68,19,FALSE)/VLOOKUP(A47,Schlußkurse!A5:AU70,47,FALSE),"")</f>
        <v>1.8579234972677595E-2</v>
      </c>
      <c r="P47" s="5">
        <f t="shared" si="2"/>
        <v>1.405457861192963E-2</v>
      </c>
      <c r="Q47" s="5">
        <f ca="1">VLOOKUP(A47,Dividende_je_Aktie!A3:AM68,24,FALSE)/VLOOKUP(A47,Schlußkurse!A5:AU70,35,FALSE)</f>
        <v>1.7254214084024985E-2</v>
      </c>
      <c r="R47" s="5">
        <f t="shared" ca="1" si="1"/>
        <v>0.22765787295675177</v>
      </c>
    </row>
    <row r="48" spans="1:18" x14ac:dyDescent="0.25">
      <c r="A48" t="s">
        <v>88</v>
      </c>
      <c r="B48" t="s">
        <v>89</v>
      </c>
      <c r="C48" s="83">
        <f>IF(VLOOKUP(A48,Schlußkurse!A5:AU70,35,FALSE)&gt;0,VLOOKUP(A48,Dividende_je_Aktie!A3:AM68,7,FALSE)/VLOOKUP(A48,Schlußkurse!A5:AU70,35,FALSE),"")</f>
        <v>1.1562057574327511E-2</v>
      </c>
      <c r="D48" s="84">
        <f>IF(VLOOKUP(A48,Schlußkurse!A5:AU70,36,FALSE)&gt;0,VLOOKUP(A48,Dividende_je_Aktie!A3:AM68,8,FALSE)/VLOOKUP(A48,Schlußkurse!A5:AU70,36,FALSE),"")</f>
        <v>1.1326097215667767E-2</v>
      </c>
      <c r="E48" s="84">
        <f>IF(VLOOKUP(A48,Schlußkurse!A5:AU70,37,FALSE)&gt;0,VLOOKUP(A48,Dividende_je_Aktie!A3:AM68,9,FALSE)/VLOOKUP(A48,Schlußkurse!A5:AU70,37,FALSE),"")</f>
        <v>1.1423131841980008E-2</v>
      </c>
      <c r="F48" s="84">
        <f>IF(VLOOKUP(A48,Schlußkurse!A5:AU70,38,FALSE)&gt;0,VLOOKUP(A48,Dividende_je_Aktie!A3:AM68,10,FALSE)/VLOOKUP(A48,Schlußkurse!A5:AU70,38,FALSE),"")</f>
        <v>8.8809946714031966E-3</v>
      </c>
      <c r="G48" s="84">
        <f>IF(VLOOKUP(A48,Schlußkurse!A5:AU70,39,FALSE)&gt;0,VLOOKUP(A48,Dividende_je_Aktie!A3:AM68,11,FALSE)/VLOOKUP(A48,Schlußkurse!A5:AU70,39,FALSE),"")</f>
        <v>9.066868152625614E-3</v>
      </c>
      <c r="H48" s="84">
        <f>IF(VLOOKUP(A48,Schlußkurse!A5:AU70,40,FALSE)&gt;0,VLOOKUP(A48,Dividende_je_Aktie!A3:AM68,12,FALSE)/VLOOKUP(A48,Schlußkurse!A5:AU70,40,FALSE),"")</f>
        <v>6.1367621274108705E-3</v>
      </c>
      <c r="I48" s="84">
        <f>IF(VLOOKUP(A48,Schlußkurse!A5:AU70,41,FALSE)&gt;0,VLOOKUP(A48,Dividende_je_Aktie!A3:AM68,13,FALSE)/VLOOKUP(A48,Schlußkurse!A5:AU70,41,FALSE),"")</f>
        <v>8.8613203367301739E-3</v>
      </c>
      <c r="J48" s="84">
        <f>IF(VLOOKUP(A48,Schlußkurse!A5:AU70,42,FALSE)&gt;0,VLOOKUP(A48,Dividende_je_Aktie!A3:AM68,14,FALSE)/VLOOKUP(A48,Schlußkurse!A5:AU70,42,FALSE),"")</f>
        <v>2.5523226135783566E-3</v>
      </c>
      <c r="K48" s="84">
        <f>IF(VLOOKUP(A48,Schlußkurse!A5:AU70,43,FALSE)&gt;0,VLOOKUP(A48,Dividende_je_Aktie!A3:AM68,15,FALSE)/VLOOKUP(A48,Schlußkurse!A5:AU70,43,FALSE),"")</f>
        <v>0</v>
      </c>
      <c r="L48" s="84">
        <f>IF(VLOOKUP(A48,Schlußkurse!A5:AU70,44,FALSE)&gt;0,VLOOKUP(A48,Dividende_je_Aktie!A3:AM68,16,FALSE)/VLOOKUP(A48,Schlußkurse!A5:AU70,44,FALSE),"")</f>
        <v>0</v>
      </c>
      <c r="M48" s="84">
        <f>IF(VLOOKUP(A48,Schlußkurse!A5:AU70,45,FALSE)&gt;0,VLOOKUP(A48,Dividende_je_Aktie!A3:AM68,17,FALSE)/VLOOKUP(A48,Schlußkurse!A5:AU70,45,FALSE),"")</f>
        <v>0</v>
      </c>
      <c r="N48" s="84">
        <f>IF(VLOOKUP(A48,Schlußkurse!A5:AU70,46,FALSE)&gt;0,VLOOKUP(A48,Dividende_je_Aktie!A3:AM68,18,FALSE)/VLOOKUP(A48,Schlußkurse!A5:AU70,46,FALSE),"")</f>
        <v>0</v>
      </c>
      <c r="O48" s="85">
        <f>IF(VLOOKUP(A48,Schlußkurse!A5:AU70,47,FALSE)&gt;0,VLOOKUP(A48,Dividende_je_Aktie!A3:AM68,19,FALSE)/VLOOKUP(A48,Schlußkurse!A5:AU70,47,FALSE),"")</f>
        <v>0</v>
      </c>
      <c r="P48" s="5">
        <f t="shared" si="2"/>
        <v>5.3699657333633457E-3</v>
      </c>
      <c r="Q48" s="5">
        <f ca="1">VLOOKUP(A48,Dividende_je_Aktie!A3:AM68,24,FALSE)/VLOOKUP(A48,Schlußkurse!A5:AU70,35,FALSE)</f>
        <v>1.1511588275391955E-2</v>
      </c>
      <c r="R48" s="5">
        <f t="shared" ca="1" si="1"/>
        <v>1.1436986466917278</v>
      </c>
    </row>
    <row r="49" spans="1:18" x14ac:dyDescent="0.25">
      <c r="A49" t="s">
        <v>90</v>
      </c>
      <c r="B49" t="s">
        <v>91</v>
      </c>
      <c r="C49" s="83">
        <f>IF(VLOOKUP(A49,Schlußkurse!A5:AU70,35,FALSE)&gt;0,VLOOKUP(A49,Dividende_je_Aktie!A3:AM68,7,FALSE)/VLOOKUP(A49,Schlußkurse!A5:AU70,35,FALSE),"")</f>
        <v>3.1488549618320615E-2</v>
      </c>
      <c r="D49" s="84">
        <f>IF(VLOOKUP(A49,Schlußkurse!A5:AU70,36,FALSE)&gt;0,VLOOKUP(A49,Dividende_je_Aktie!A3:AM68,8,FALSE)/VLOOKUP(A49,Schlußkurse!A5:AU70,36,FALSE),"")</f>
        <v>2.9262086513994912E-2</v>
      </c>
      <c r="E49" s="84">
        <f>IF(VLOOKUP(A49,Schlußkurse!A5:AU70,37,FALSE)&gt;0,VLOOKUP(A49,Dividende_je_Aktie!A3:AM68,9,FALSE)/VLOOKUP(A49,Schlußkurse!A5:AU70,37,FALSE),"")</f>
        <v>2.6755499153976309E-2</v>
      </c>
      <c r="F49" s="84">
        <f>IF(VLOOKUP(A49,Schlußkurse!A5:AU70,38,FALSE)&gt;0,VLOOKUP(A49,Dividende_je_Aktie!A3:AM68,10,FALSE)/VLOOKUP(A49,Schlußkurse!A5:AU70,38,FALSE),"")</f>
        <v>2.7007475283337357E-2</v>
      </c>
      <c r="G49" s="84">
        <f>IF(VLOOKUP(A49,Schlußkurse!A5:AU70,39,FALSE)&gt;0,VLOOKUP(A49,Dividende_je_Aktie!A3:AM68,11,FALSE)/VLOOKUP(A49,Schlußkurse!A5:AU70,39,FALSE),"")</f>
        <v>3.1126698816308633E-2</v>
      </c>
      <c r="H49" s="84">
        <f>IF(VLOOKUP(A49,Schlußkurse!A5:AU70,40,FALSE)&gt;0,VLOOKUP(A49,Dividende_je_Aktie!A3:AM68,12,FALSE)/VLOOKUP(A49,Schlußkurse!A5:AU70,40,FALSE),"")</f>
        <v>3.0595327807083648E-2</v>
      </c>
      <c r="I49" s="84">
        <f>IF(VLOOKUP(A49,Schlußkurse!A5:AU70,41,FALSE)&gt;0,VLOOKUP(A49,Dividende_je_Aktie!A3:AM68,13,FALSE)/VLOOKUP(A49,Schlußkurse!A5:AU70,41,FALSE),"")</f>
        <v>2.8930047451400581E-2</v>
      </c>
      <c r="J49" s="84">
        <f>IF(VLOOKUP(A49,Schlußkurse!A5:AU70,42,FALSE)&gt;0,VLOOKUP(A49,Dividende_je_Aktie!A3:AM68,14,FALSE)/VLOOKUP(A49,Schlußkurse!A5:AU70,42,FALSE),"")</f>
        <v>2.9276315789473685E-2</v>
      </c>
      <c r="K49" s="84">
        <f>IF(VLOOKUP(A49,Schlußkurse!A5:AU70,43,FALSE)&gt;0,VLOOKUP(A49,Dividende_je_Aktie!A3:AM68,15,FALSE)/VLOOKUP(A49,Schlußkurse!A5:AU70,43,FALSE),"")</f>
        <v>3.0125981376666056E-2</v>
      </c>
      <c r="L49" s="84">
        <f>IF(VLOOKUP(A49,Schlußkurse!A5:AU70,44,FALSE)&gt;0,VLOOKUP(A49,Dividende_je_Aktie!A3:AM68,16,FALSE)/VLOOKUP(A49,Schlußkurse!A5:AU70,44,FALSE),"")</f>
        <v>1.8840579710144925E-2</v>
      </c>
      <c r="M49" s="84">
        <f>IF(VLOOKUP(A49,Schlußkurse!A5:AU70,45,FALSE)&gt;0,VLOOKUP(A49,Dividende_je_Aktie!A3:AM68,17,FALSE)/VLOOKUP(A49,Schlußkurse!A5:AU70,45,FALSE),"")</f>
        <v>1.8512607724225982E-2</v>
      </c>
      <c r="N49" s="84">
        <f>IF(VLOOKUP(A49,Schlußkurse!A5:AU70,46,FALSE)&gt;0,VLOOKUP(A49,Dividende_je_Aktie!A3:AM68,18,FALSE)/VLOOKUP(A49,Schlußkurse!A5:AU70,46,FALSE),"")</f>
        <v>1.7020559487698012E-2</v>
      </c>
      <c r="O49" s="85">
        <f>IF(VLOOKUP(A49,Schlußkurse!A5:AU70,47,FALSE)&gt;0,VLOOKUP(A49,Dividende_je_Aktie!A3:AM68,19,FALSE)/VLOOKUP(A49,Schlußkurse!A5:AU70,47,FALSE),"")</f>
        <v>1.6283524904214558E-2</v>
      </c>
      <c r="P49" s="5">
        <f t="shared" si="2"/>
        <v>2.5786557972065024E-2</v>
      </c>
      <c r="Q49" s="5">
        <f ca="1">VLOOKUP(A49,Dividende_je_Aktie!A3:AM68,24,FALSE)/VLOOKUP(A49,Schlußkurse!A5:AU70,35,FALSE)</f>
        <v>2.9713563754594288E-2</v>
      </c>
      <c r="R49" s="5">
        <f t="shared" ca="1" si="1"/>
        <v>0.15228887030147442</v>
      </c>
    </row>
    <row r="50" spans="1:18" x14ac:dyDescent="0.25">
      <c r="A50" t="s">
        <v>92</v>
      </c>
      <c r="B50" t="s">
        <v>93</v>
      </c>
      <c r="C50" s="83">
        <f>IF(VLOOKUP(A50,Schlußkurse!A5:AU70,35,FALSE)&gt;0,VLOOKUP(A50,Dividende_je_Aktie!A3:AM68,7,FALSE)/VLOOKUP(A50,Schlußkurse!A5:AU70,35,FALSE),"")</f>
        <v>3.3823529411764704E-2</v>
      </c>
      <c r="D50" s="84">
        <f>IF(VLOOKUP(A50,Schlußkurse!A5:AU70,36,FALSE)&gt;0,VLOOKUP(A50,Dividende_je_Aktie!A3:AM68,8,FALSE)/VLOOKUP(A50,Schlußkurse!A5:AU70,36,FALSE),"")</f>
        <v>3.2352941176470591E-2</v>
      </c>
      <c r="E50" s="84">
        <f>IF(VLOOKUP(A50,Schlußkurse!A5:AU70,37,FALSE)&gt;0,VLOOKUP(A50,Dividende_je_Aktie!A3:AM68,9,FALSE)/VLOOKUP(A50,Schlußkurse!A5:AU70,37,FALSE),"")</f>
        <v>3.3386837881219905E-2</v>
      </c>
      <c r="F50" s="84">
        <f>IF(VLOOKUP(A50,Schlußkurse!A5:AU70,38,FALSE)&gt;0,VLOOKUP(A50,Dividende_je_Aktie!A3:AM68,10,FALSE)/VLOOKUP(A50,Schlußkurse!A5:AU70,38,FALSE),"")</f>
        <v>3.1341821743388835E-2</v>
      </c>
      <c r="G50" s="84">
        <f>IF(VLOOKUP(A50,Schlußkurse!A5:AU70,39,FALSE)&gt;0,VLOOKUP(A50,Dividende_je_Aktie!A3:AM68,11,FALSE)/VLOOKUP(A50,Schlußkurse!A5:AU70,39,FALSE),"")</f>
        <v>3.5088698647888897E-2</v>
      </c>
      <c r="H50" s="84">
        <f>IF(VLOOKUP(A50,Schlußkurse!A5:AU70,40,FALSE)&gt;0,VLOOKUP(A50,Dividende_je_Aktie!A3:AM68,12,FALSE)/VLOOKUP(A50,Schlußkurse!A5:AU70,40,FALSE),"")</f>
        <v>3.6968576709796676E-2</v>
      </c>
      <c r="I50" s="84">
        <f>IF(VLOOKUP(A50,Schlußkurse!A5:AU70,41,FALSE)&gt;0,VLOOKUP(A50,Dividende_je_Aktie!A3:AM68,13,FALSE)/VLOOKUP(A50,Schlußkurse!A5:AU70,41,FALSE),"")</f>
        <v>4.1119360365505418E-2</v>
      </c>
      <c r="J50" s="84">
        <f>IF(VLOOKUP(A50,Schlußkurse!A5:AU70,42,FALSE)&gt;0,VLOOKUP(A50,Dividende_je_Aktie!A3:AM68,14,FALSE)/VLOOKUP(A50,Schlußkurse!A5:AU70,42,FALSE),"")</f>
        <v>4.3980208905992302E-2</v>
      </c>
      <c r="K50" s="84">
        <f>IF(VLOOKUP(A50,Schlußkurse!A5:AU70,43,FALSE)&gt;0,VLOOKUP(A50,Dividende_je_Aktie!A3:AM68,15,FALSE)/VLOOKUP(A50,Schlußkurse!A5:AU70,43,FALSE),"")</f>
        <v>7.2275550536420097E-2</v>
      </c>
      <c r="L50" s="84">
        <f>IF(VLOOKUP(A50,Schlußkurse!A5:AU70,44,FALSE)&gt;0,VLOOKUP(A50,Dividende_je_Aktie!A3:AM68,16,FALSE)/VLOOKUP(A50,Schlußkurse!A5:AU70,44,FALSE),"")</f>
        <v>5.1033875934887812E-2</v>
      </c>
      <c r="M50" s="84">
        <f>IF(VLOOKUP(A50,Schlußkurse!A5:AU70,45,FALSE)&gt;0,VLOOKUP(A50,Dividende_je_Aktie!A3:AM68,17,FALSE)/VLOOKUP(A50,Schlußkurse!A5:AU70,45,FALSE),"")</f>
        <v>3.6965729688101655E-2</v>
      </c>
      <c r="N50" s="84">
        <f>IF(VLOOKUP(A50,Schlußkurse!A5:AU70,46,FALSE)&gt;0,VLOOKUP(A50,Dividende_je_Aktie!A3:AM68,18,FALSE)/VLOOKUP(A50,Schlußkurse!A5:AU70,46,FALSE),"")</f>
        <v>3.2590051457975985E-2</v>
      </c>
      <c r="O50" s="85">
        <f>IF(VLOOKUP(A50,Schlußkurse!A5:AU70,47,FALSE)&gt;0,VLOOKUP(A50,Dividende_je_Aktie!A3:AM68,19,FALSE)/VLOOKUP(A50,Schlußkurse!A5:AU70,47,FALSE),"")</f>
        <v>2.5288211230940872E-2</v>
      </c>
      <c r="P50" s="5">
        <f t="shared" si="2"/>
        <v>3.8939645668488745E-2</v>
      </c>
      <c r="Q50" s="5">
        <f ca="1">VLOOKUP(A50,Dividende_je_Aktie!A3:AM68,24,FALSE)/VLOOKUP(A50,Schlußkurse!A5:AU70,35,FALSE)</f>
        <v>3.2651143790849678E-2</v>
      </c>
      <c r="R50" s="5">
        <f t="shared" ca="1" si="1"/>
        <v>-0.16149355675128629</v>
      </c>
    </row>
    <row r="51" spans="1:18" x14ac:dyDescent="0.25">
      <c r="A51" t="s">
        <v>94</v>
      </c>
      <c r="B51" t="s">
        <v>95</v>
      </c>
      <c r="C51" s="83">
        <f>IF(VLOOKUP(A51,Schlußkurse!A5:AU70,35,FALSE)&gt;0,VLOOKUP(A51,Dividende_je_Aktie!A3:AM68,7,FALSE)/VLOOKUP(A51,Schlußkurse!A5:AU70,35,FALSE),"")</f>
        <v>5.4346426271732126E-2</v>
      </c>
      <c r="D51" s="84">
        <f>IF(VLOOKUP(A51,Schlußkurse!A5:AU70,36,FALSE)&gt;0,VLOOKUP(A51,Dividende_je_Aktie!A3:AM68,8,FALSE)/VLOOKUP(A51,Schlußkurse!A5:AU70,36,FALSE),"")</f>
        <v>5.2157115260785571E-2</v>
      </c>
      <c r="E51" s="84">
        <f>IF(VLOOKUP(A51,Schlußkurse!A5:AU70,37,FALSE)&gt;0,VLOOKUP(A51,Dividende_je_Aktie!A3:AM68,9,FALSE)/VLOOKUP(A51,Schlußkurse!A5:AU70,37,FALSE),"")</f>
        <v>4.7636586863106199E-2</v>
      </c>
      <c r="F51" s="84">
        <f>IF(VLOOKUP(A51,Schlußkurse!A5:AU70,38,FALSE)&gt;0,VLOOKUP(A51,Dividende_je_Aktie!A3:AM68,10,FALSE)/VLOOKUP(A51,Schlußkurse!A5:AU70,38,FALSE),"")</f>
        <v>4.1088029381384145E-2</v>
      </c>
      <c r="G51" s="84">
        <f>IF(VLOOKUP(A51,Schlußkurse!A5:AU70,39,FALSE)&gt;0,VLOOKUP(A51,Dividende_je_Aktie!A3:AM68,11,FALSE)/VLOOKUP(A51,Schlußkurse!A5:AU70,39,FALSE),"")</f>
        <v>3.8737446197991396E-2</v>
      </c>
      <c r="H51" s="84">
        <f>IF(VLOOKUP(A51,Schlußkurse!A5:AU70,40,FALSE)&gt;0,VLOOKUP(A51,Dividende_je_Aktie!A3:AM68,12,FALSE)/VLOOKUP(A51,Schlußkurse!A5:AU70,40,FALSE),"")</f>
        <v>3.5932721712538224E-2</v>
      </c>
      <c r="I51" s="84">
        <f>IF(VLOOKUP(A51,Schlußkurse!A5:AU70,41,FALSE)&gt;0,VLOOKUP(A51,Dividende_je_Aktie!A3:AM68,13,FALSE)/VLOOKUP(A51,Schlußkurse!A5:AU70,41,FALSE),"")</f>
        <v>4.1688023235947377E-2</v>
      </c>
      <c r="J51" s="84">
        <f>IF(VLOOKUP(A51,Schlußkurse!A5:AU70,42,FALSE)&gt;0,VLOOKUP(A51,Dividende_je_Aktie!A3:AM68,14,FALSE)/VLOOKUP(A51,Schlußkurse!A5:AU70,42,FALSE),"")</f>
        <v>4.6482672753683341E-2</v>
      </c>
      <c r="K51" s="84">
        <f>IF(VLOOKUP(A51,Schlußkurse!A5:AU70,43,FALSE)&gt;0,VLOOKUP(A51,Dividende_je_Aktie!A3:AM68,15,FALSE)/VLOOKUP(A51,Schlußkurse!A5:AU70,43,FALSE),"")</f>
        <v>3.5394162261549074E-2</v>
      </c>
      <c r="L51" s="84" t="str">
        <f>IF(VLOOKUP(A51,Schlußkurse!A5:AU70,44,FALSE)&gt;0,VLOOKUP(A51,Dividende_je_Aktie!A3:AM68,16,FALSE)/VLOOKUP(A51,Schlußkurse!A5:AU70,44,FALSE),"")</f>
        <v/>
      </c>
      <c r="M51" s="84" t="str">
        <f>IF(VLOOKUP(A51,Schlußkurse!A5:AU70,45,FALSE)&gt;0,VLOOKUP(A51,Dividende_je_Aktie!A3:AM68,17,FALSE)/VLOOKUP(A51,Schlußkurse!A5:AU70,45,FALSE),"")</f>
        <v/>
      </c>
      <c r="N51" s="84" t="str">
        <f>IF(VLOOKUP(A51,Schlußkurse!A5:AU70,46,FALSE)&gt;0,VLOOKUP(A51,Dividende_je_Aktie!A3:AM68,18,FALSE)/VLOOKUP(A51,Schlußkurse!A5:AU70,46,FALSE),"")</f>
        <v/>
      </c>
      <c r="O51" s="85" t="str">
        <f>IF(VLOOKUP(A51,Schlußkurse!A5:AU70,47,FALSE)&gt;0,VLOOKUP(A51,Dividende_je_Aktie!A3:AM68,19,FALSE)/VLOOKUP(A51,Schlußkurse!A5:AU70,47,FALSE),"")</f>
        <v/>
      </c>
      <c r="P51" s="5">
        <f t="shared" si="2"/>
        <v>4.3718131548746389E-2</v>
      </c>
      <c r="Q51" s="5">
        <f ca="1">VLOOKUP(A51,Dividende_je_Aktie!A3:AM68,24,FALSE)/VLOOKUP(A51,Schlußkurse!A5:AU70,35,FALSE)</f>
        <v>5.260105888244973E-2</v>
      </c>
      <c r="R51" s="5">
        <f t="shared" ca="1" si="1"/>
        <v>0.20318634440721106</v>
      </c>
    </row>
    <row r="52" spans="1:18" x14ac:dyDescent="0.25">
      <c r="A52" t="s">
        <v>96</v>
      </c>
      <c r="B52" t="s">
        <v>97</v>
      </c>
      <c r="C52" s="83">
        <f>IF(VLOOKUP(A52,Schlußkurse!A5:AU70,35,FALSE)&gt;0,VLOOKUP(A52,Dividende_je_Aktie!A3:AM68,7,FALSE)/VLOOKUP(A52,Schlußkurse!A5:AU70,35,FALSE),"")</f>
        <v>3.4217279726261762E-2</v>
      </c>
      <c r="D52" s="84">
        <f>IF(VLOOKUP(A52,Schlußkurse!A5:AU70,36,FALSE)&gt;0,VLOOKUP(A52,Dividende_je_Aktie!A3:AM68,8,FALSE)/VLOOKUP(A52,Schlußkurse!A5:AU70,36,FALSE),"")</f>
        <v>3.1773188317243066E-2</v>
      </c>
      <c r="E52" s="84">
        <f>IF(VLOOKUP(A52,Schlußkurse!A5:AU70,37,FALSE)&gt;0,VLOOKUP(A52,Dividende_je_Aktie!A3:AM68,9,FALSE)/VLOOKUP(A52,Schlußkurse!A5:AU70,37,FALSE),"")</f>
        <v>3.1174449675531238E-2</v>
      </c>
      <c r="F52" s="84">
        <f>IF(VLOOKUP(A52,Schlußkurse!A5:AU70,38,FALSE)&gt;0,VLOOKUP(A52,Dividende_je_Aktie!A3:AM68,10,FALSE)/VLOOKUP(A52,Schlußkurse!A5:AU70,38,FALSE),"")</f>
        <v>2.9744122613326408E-2</v>
      </c>
      <c r="G52" s="84">
        <f>IF(VLOOKUP(A52,Schlußkurse!A5:AU70,39,FALSE)&gt;0,VLOOKUP(A52,Dividende_je_Aktie!A3:AM68,11,FALSE)/VLOOKUP(A52,Schlußkurse!A5:AU70,39,FALSE),"")</f>
        <v>3.4938775510204086E-2</v>
      </c>
      <c r="H52" s="84">
        <f>IF(VLOOKUP(A52,Schlußkurse!A5:AU70,40,FALSE)&gt;0,VLOOKUP(A52,Dividende_je_Aktie!A3:AM68,12,FALSE)/VLOOKUP(A52,Schlußkurse!A5:AU70,40,FALSE),"")</f>
        <v>3.0989460437313196E-2</v>
      </c>
      <c r="I52" s="84">
        <f>IF(VLOOKUP(A52,Schlußkurse!A5:AU70,41,FALSE)&gt;0,VLOOKUP(A52,Dividende_je_Aktie!A3:AM68,13,FALSE)/VLOOKUP(A52,Schlußkurse!A5:AU70,41,FALSE),"")</f>
        <v>3.0010003334444816E-2</v>
      </c>
      <c r="J52" s="84">
        <f>IF(VLOOKUP(A52,Schlußkurse!A5:AU70,42,FALSE)&gt;0,VLOOKUP(A52,Dividende_je_Aktie!A3:AM68,14,FALSE)/VLOOKUP(A52,Schlußkurse!A5:AU70,42,FALSE),"")</f>
        <v>3.2093933463796472E-2</v>
      </c>
      <c r="K52" s="84">
        <f>IF(VLOOKUP(A52,Schlußkurse!A5:AU70,43,FALSE)&gt;0,VLOOKUP(A52,Dividende_je_Aktie!A3:AM68,15,FALSE)/VLOOKUP(A52,Schlußkurse!A5:AU70,43,FALSE),"")</f>
        <v>2.3844762374609439E-2</v>
      </c>
      <c r="L52" s="84">
        <f>IF(VLOOKUP(A52,Schlußkurse!A5:AU70,44,FALSE)&gt;0,VLOOKUP(A52,Dividende_je_Aktie!A3:AM68,16,FALSE)/VLOOKUP(A52,Schlußkurse!A5:AU70,44,FALSE),"")</f>
        <v>2.0918450727243014E-2</v>
      </c>
      <c r="M52" s="84">
        <f>IF(VLOOKUP(A52,Schlußkurse!A5:AU70,45,FALSE)&gt;0,VLOOKUP(A52,Dividende_je_Aktie!A3:AM68,17,FALSE)/VLOOKUP(A52,Schlußkurse!A5:AU70,45,FALSE),"")</f>
        <v>2.0300088261253308E-2</v>
      </c>
      <c r="N52" s="84">
        <f>IF(VLOOKUP(A52,Schlußkurse!A5:AU70,46,FALSE)&gt;0,VLOOKUP(A52,Dividende_je_Aktie!A3:AM68,18,FALSE)/VLOOKUP(A52,Schlußkurse!A5:AU70,46,FALSE),"")</f>
        <v>1.9526066350710899E-2</v>
      </c>
      <c r="O52" s="85">
        <f>IF(VLOOKUP(A52,Schlußkurse!A5:AU70,47,FALSE)&gt;0,VLOOKUP(A52,Dividende_je_Aktie!A3:AM68,19,FALSE)/VLOOKUP(A52,Schlußkurse!A5:AU70,47,FALSE),"")</f>
        <v>1.7083027185892729E-2</v>
      </c>
      <c r="P52" s="5">
        <f t="shared" si="2"/>
        <v>2.7431815998294643E-2</v>
      </c>
      <c r="Q52" s="5">
        <f ca="1">VLOOKUP(A52,Dividende_je_Aktie!A3:AM68,24,FALSE)/VLOOKUP(A52,Schlußkurse!A5:AU70,35,FALSE)</f>
        <v>3.349763058916181E-2</v>
      </c>
      <c r="R52" s="5">
        <f t="shared" ca="1" si="1"/>
        <v>0.22112333325815037</v>
      </c>
    </row>
    <row r="53" spans="1:18" x14ac:dyDescent="0.25">
      <c r="A53" t="s">
        <v>98</v>
      </c>
      <c r="B53" t="s">
        <v>99</v>
      </c>
      <c r="C53" s="83">
        <f>IF(VLOOKUP(A53,Schlußkurse!A5:AU70,35,FALSE)&gt;0,VLOOKUP(A53,Dividende_je_Aktie!A3:AM68,7,FALSE)/VLOOKUP(A53,Schlußkurse!A5:AU70,35,FALSE),"")</f>
        <v>4.6068796068796068E-2</v>
      </c>
      <c r="D53" s="84">
        <f>IF(VLOOKUP(A53,Schlußkurse!A5:AU70,36,FALSE)&gt;0,VLOOKUP(A53,Dividende_je_Aktie!A3:AM68,8,FALSE)/VLOOKUP(A53,Schlußkurse!A5:AU70,36,FALSE),"")</f>
        <v>4.5045045045045043E-2</v>
      </c>
      <c r="E53" s="84">
        <f>IF(VLOOKUP(A53,Schlußkurse!A5:AU70,37,FALSE)&gt;0,VLOOKUP(A53,Dividende_je_Aktie!A3:AM68,9,FALSE)/VLOOKUP(A53,Schlußkurse!A5:AU70,37,FALSE),"")</f>
        <v>4.6173578452330055E-2</v>
      </c>
      <c r="F53" s="84">
        <f>IF(VLOOKUP(A53,Schlußkurse!A5:AU70,38,FALSE)&gt;0,VLOOKUP(A53,Dividende_je_Aktie!A3:AM68,10,FALSE)/VLOOKUP(A53,Schlußkurse!A5:AU70,38,FALSE),"")</f>
        <v>4.2531542531542531E-2</v>
      </c>
      <c r="G53" s="84">
        <f>IF(VLOOKUP(A53,Schlußkurse!A5:AU70,39,FALSE)&gt;0,VLOOKUP(A53,Dividende_je_Aktie!A3:AM68,11,FALSE)/VLOOKUP(A53,Schlußkurse!A5:AU70,39,FALSE),"")</f>
        <v>4.6914721516061929E-2</v>
      </c>
      <c r="H53" s="84">
        <f>IF(VLOOKUP(A53,Schlußkurse!A5:AU70,40,FALSE)&gt;0,VLOOKUP(A53,Dividende_je_Aktie!A3:AM68,12,FALSE)/VLOOKUP(A53,Schlußkurse!A5:AU70,40,FALSE),"")</f>
        <v>4.9351944167497511E-2</v>
      </c>
      <c r="I53" s="84">
        <f>IF(VLOOKUP(A53,Schlußkurse!A5:AU70,41,FALSE)&gt;0,VLOOKUP(A53,Dividende_je_Aktie!A3:AM68,13,FALSE)/VLOOKUP(A53,Schlußkurse!A5:AU70,41,FALSE),"")</f>
        <v>5.3940749021799884E-2</v>
      </c>
      <c r="J53" s="84">
        <f>IF(VLOOKUP(A53,Schlußkurse!A5:AU70,42,FALSE)&gt;0,VLOOKUP(A53,Dividende_je_Aktie!A3:AM68,14,FALSE)/VLOOKUP(A53,Schlußkurse!A5:AU70,42,FALSE),"")</f>
        <v>5.6444310292785994E-2</v>
      </c>
      <c r="K53" s="84">
        <f>IF(VLOOKUP(A53,Schlußkurse!A5:AU70,43,FALSE)&gt;0,VLOOKUP(A53,Dividende_je_Aktie!A3:AM68,15,FALSE)/VLOOKUP(A53,Schlußkurse!A5:AU70,43,FALSE),"")</f>
        <v>5.2507374631268443E-2</v>
      </c>
      <c r="L53" s="84">
        <f>IF(VLOOKUP(A53,Schlußkurse!A5:AU70,44,FALSE)&gt;0,VLOOKUP(A53,Dividende_je_Aktie!A3:AM68,16,FALSE)/VLOOKUP(A53,Schlußkurse!A5:AU70,44,FALSE),"")</f>
        <v>3.8223849851224539E-2</v>
      </c>
      <c r="M53" s="84">
        <f>IF(VLOOKUP(A53,Schlußkurse!A5:AU70,45,FALSE)&gt;0,VLOOKUP(A53,Dividende_je_Aktie!A3:AM68,17,FALSE)/VLOOKUP(A53,Schlußkurse!A5:AU70,45,FALSE),"")</f>
        <v>4.3431635388739953E-2</v>
      </c>
      <c r="N53" s="84">
        <f>IF(VLOOKUP(A53,Schlußkurse!A5:AU70,46,FALSE)&gt;0,VLOOKUP(A53,Dividende_je_Aktie!A3:AM68,18,FALSE)/VLOOKUP(A53,Schlußkurse!A5:AU70,46,FALSE),"")</f>
        <v>5.3784860557768925E-2</v>
      </c>
      <c r="O53" s="85">
        <f>IF(VLOOKUP(A53,Schlußkurse!A5:AU70,47,FALSE)&gt;0,VLOOKUP(A53,Dividende_je_Aktie!A3:AM68,19,FALSE)/VLOOKUP(A53,Schlußkurse!A5:AU70,47,FALSE),"")</f>
        <v>3.8015304862996792E-2</v>
      </c>
      <c r="P53" s="5">
        <f t="shared" si="2"/>
        <v>4.7110285568296738E-2</v>
      </c>
      <c r="Q53" s="5">
        <f ca="1">VLOOKUP(A53,Dividende_je_Aktie!A3:AM68,24,FALSE)/VLOOKUP(A53,Schlußkurse!A5:AU70,35,FALSE)</f>
        <v>4.5252639002639011E-2</v>
      </c>
      <c r="R53" s="5">
        <f t="shared" ca="1" si="1"/>
        <v>-3.9431868078249277E-2</v>
      </c>
    </row>
    <row r="54" spans="1:18" x14ac:dyDescent="0.25">
      <c r="A54" t="s">
        <v>100</v>
      </c>
      <c r="B54" t="s">
        <v>101</v>
      </c>
      <c r="C54" s="83">
        <f>IF(VLOOKUP(A54,Schlußkurse!A5:AU70,35,FALSE)&gt;0,VLOOKUP(A54,Dividende_je_Aktie!A3:AM68,7,FALSE)/VLOOKUP(A54,Schlußkurse!A5:AU70,35,FALSE),"")</f>
        <v>2.4175824175824173E-2</v>
      </c>
      <c r="D54" s="84">
        <f>IF(VLOOKUP(A54,Schlußkurse!A5:AU70,36,FALSE)&gt;0,VLOOKUP(A54,Dividende_je_Aktie!A3:AM68,8,FALSE)/VLOOKUP(A54,Schlußkurse!A5:AU70,36,FALSE),"")</f>
        <v>2.2593551423864437E-2</v>
      </c>
      <c r="E54" s="84">
        <f>IF(VLOOKUP(A54,Schlußkurse!A5:AU70,37,FALSE)&gt;0,VLOOKUP(A54,Dividende_je_Aktie!A3:AM68,9,FALSE)/VLOOKUP(A54,Schlußkurse!A5:AU70,37,FALSE),"")</f>
        <v>2.5174076057846811E-2</v>
      </c>
      <c r="F54" s="84">
        <f>IF(VLOOKUP(A54,Schlußkurse!A5:AU70,38,FALSE)&gt;0,VLOOKUP(A54,Dividende_je_Aktie!A3:AM68,10,FALSE)/VLOOKUP(A54,Schlußkurse!A5:AU70,38,FALSE),"")</f>
        <v>2.2730521801286634E-2</v>
      </c>
      <c r="G54" s="84">
        <f>IF(VLOOKUP(A54,Schlußkurse!A5:AU70,39,FALSE)&gt;0,VLOOKUP(A54,Dividende_je_Aktie!A3:AM68,11,FALSE)/VLOOKUP(A54,Schlußkurse!A5:AU70,39,FALSE),"")</f>
        <v>2.3794002607561929E-2</v>
      </c>
      <c r="H54" s="84">
        <f>IF(VLOOKUP(A54,Schlußkurse!A5:AU70,40,FALSE)&gt;0,VLOOKUP(A54,Dividende_je_Aktie!A3:AM68,12,FALSE)/VLOOKUP(A54,Schlußkurse!A5:AU70,40,FALSE),"")</f>
        <v>2.1580167647583377E-2</v>
      </c>
      <c r="I54" s="84">
        <f>IF(VLOOKUP(A54,Schlußkurse!A5:AU70,41,FALSE)&gt;0,VLOOKUP(A54,Dividende_je_Aktie!A3:AM68,13,FALSE)/VLOOKUP(A54,Schlußkurse!A5:AU70,41,FALSE),"")</f>
        <v>2.0400524050159088E-2</v>
      </c>
      <c r="J54" s="84">
        <f>IF(VLOOKUP(A54,Schlußkurse!A5:AU70,42,FALSE)&gt;0,VLOOKUP(A54,Dividende_je_Aktie!A3:AM68,14,FALSE)/VLOOKUP(A54,Schlußkurse!A5:AU70,42,FALSE),"")</f>
        <v>2.0161290322580645E-2</v>
      </c>
      <c r="K54" s="84">
        <f>IF(VLOOKUP(A54,Schlußkurse!A5:AU70,43,FALSE)&gt;0,VLOOKUP(A54,Dividende_je_Aktie!A3:AM68,15,FALSE)/VLOOKUP(A54,Schlußkurse!A5:AU70,43,FALSE),"")</f>
        <v>1.7333070711049833E-2</v>
      </c>
      <c r="L54" s="84">
        <f>IF(VLOOKUP(A54,Schlußkurse!A5:AU70,44,FALSE)&gt;0,VLOOKUP(A54,Dividende_je_Aktie!A3:AM68,16,FALSE)/VLOOKUP(A54,Schlußkurse!A5:AU70,44,FALSE),"")</f>
        <v>1.4054961191525068E-2</v>
      </c>
      <c r="M54" s="84">
        <f>IF(VLOOKUP(A54,Schlußkurse!A5:AU70,45,FALSE)&gt;0,VLOOKUP(A54,Dividende_je_Aktie!A3:AM68,17,FALSE)/VLOOKUP(A54,Schlußkurse!A5:AU70,45,FALSE),"")</f>
        <v>1.3012361743656473E-2</v>
      </c>
      <c r="N54" s="84">
        <f>IF(VLOOKUP(A54,Schlußkurse!A5:AU70,46,FALSE)&gt;0,VLOOKUP(A54,Dividende_je_Aktie!A3:AM68,18,FALSE)/VLOOKUP(A54,Schlußkurse!A5:AU70,46,FALSE),"")</f>
        <v>9.9236641221374048E-3</v>
      </c>
      <c r="O54" s="85">
        <f>IF(VLOOKUP(A54,Schlußkurse!A5:AU70,47,FALSE)&gt;0,VLOOKUP(A54,Dividende_je_Aktie!A3:AM68,19,FALSE)/VLOOKUP(A54,Schlußkurse!A5:AU70,47,FALSE),"")</f>
        <v>6.6852367688022283E-3</v>
      </c>
      <c r="P54" s="5">
        <f t="shared" si="2"/>
        <v>1.8586096355682934E-2</v>
      </c>
      <c r="Q54" s="5">
        <f ca="1">VLOOKUP(A54,Dividende_je_Aktie!A3:AM68,24,FALSE)/VLOOKUP(A54,Schlußkurse!A5:AU70,35,FALSE)</f>
        <v>2.4292497625830953E-2</v>
      </c>
      <c r="R54" s="5">
        <f t="shared" ca="1" si="1"/>
        <v>0.30702527098452359</v>
      </c>
    </row>
    <row r="55" spans="1:18" x14ac:dyDescent="0.25">
      <c r="A55" t="s">
        <v>102</v>
      </c>
      <c r="B55" t="s">
        <v>103</v>
      </c>
      <c r="C55" s="83">
        <f>IF(VLOOKUP(A55,Schlußkurse!A5:AU70,35,FALSE)&gt;0,VLOOKUP(A55,Dividende_je_Aktie!A3:AM68,7,FALSE)/VLOOKUP(A55,Schlußkurse!A5:AU70,35,FALSE),"")</f>
        <v>3.2032827042499969E-2</v>
      </c>
      <c r="D55" s="84">
        <f>IF(VLOOKUP(A55,Schlußkurse!A5:AU70,36,FALSE)&gt;0,VLOOKUP(A55,Dividende_je_Aktie!A3:AM68,8,FALSE)/VLOOKUP(A55,Schlußkurse!A5:AU70,36,FALSE),"")</f>
        <v>2.9135801340981881E-2</v>
      </c>
      <c r="E55" s="84">
        <f>IF(VLOOKUP(A55,Schlußkurse!A5:AU70,37,FALSE)&gt;0,VLOOKUP(A55,Dividende_je_Aktie!A3:AM68,9,FALSE)/VLOOKUP(A55,Schlußkurse!A5:AU70,37,FALSE),"")</f>
        <v>2.6503338011774173E-2</v>
      </c>
      <c r="F55" s="84">
        <f>IF(VLOOKUP(A55,Schlußkurse!A5:AU70,38,FALSE)&gt;0,VLOOKUP(A55,Dividende_je_Aktie!A3:AM68,10,FALSE)/VLOOKUP(A55,Schlußkurse!A5:AU70,38,FALSE),"")</f>
        <v>2.6583614570127829E-2</v>
      </c>
      <c r="G55" s="84">
        <f>IF(VLOOKUP(A55,Schlußkurse!A5:AU70,39,FALSE)&gt;0,VLOOKUP(A55,Dividende_je_Aktie!A3:AM68,11,FALSE)/VLOOKUP(A55,Schlußkurse!A5:AU70,39,FALSE),"")</f>
        <v>2.5727348482934408E-2</v>
      </c>
      <c r="H55" s="84">
        <f>IF(VLOOKUP(A55,Schlußkurse!A5:AU70,40,FALSE)&gt;0,VLOOKUP(A55,Dividende_je_Aktie!A3:AM68,12,FALSE)/VLOOKUP(A55,Schlußkurse!A5:AU70,40,FALSE),"")</f>
        <v>2.5276627616478513E-2</v>
      </c>
      <c r="I55" s="84">
        <f>IF(VLOOKUP(A55,Schlußkurse!A5:AU70,41,FALSE)&gt;0,VLOOKUP(A55,Dividende_je_Aktie!A3:AM68,13,FALSE)/VLOOKUP(A55,Schlußkurse!A5:AU70,41,FALSE),"")</f>
        <v>1.8667861409796899E-2</v>
      </c>
      <c r="J55" s="84">
        <f>IF(VLOOKUP(A55,Schlußkurse!A5:AU70,42,FALSE)&gt;0,VLOOKUP(A55,Dividende_je_Aktie!A3:AM68,14,FALSE)/VLOOKUP(A55,Schlußkurse!A5:AU70,42,FALSE),"")</f>
        <v>1.0542741683679299E-2</v>
      </c>
      <c r="K55" s="84">
        <f>IF(VLOOKUP(A55,Schlußkurse!A5:AU70,43,FALSE)&gt;0,VLOOKUP(A55,Dividende_je_Aktie!A3:AM68,15,FALSE)/VLOOKUP(A55,Schlußkurse!A5:AU70,43,FALSE),"")</f>
        <v>1.4885953605671432E-2</v>
      </c>
      <c r="L55" s="84" t="str">
        <f>IF(VLOOKUP(A55,Schlußkurse!A5:AU70,44,FALSE)&gt;0,VLOOKUP(A55,Dividende_je_Aktie!A3:AM68,16,FALSE)/VLOOKUP(A55,Schlußkurse!A5:AU70,44,FALSE),"")</f>
        <v/>
      </c>
      <c r="M55" s="84" t="str">
        <f>IF(VLOOKUP(A55,Schlußkurse!A5:AU70,45,FALSE)&gt;0,VLOOKUP(A55,Dividende_je_Aktie!A3:AM68,17,FALSE)/VLOOKUP(A55,Schlußkurse!A5:AU70,45,FALSE),"")</f>
        <v/>
      </c>
      <c r="N55" s="84" t="str">
        <f>IF(VLOOKUP(A55,Schlußkurse!A5:AU70,46,FALSE)&gt;0,VLOOKUP(A55,Dividende_je_Aktie!A3:AM68,18,FALSE)/VLOOKUP(A55,Schlußkurse!A5:AU70,46,FALSE),"")</f>
        <v/>
      </c>
      <c r="O55" s="85" t="str">
        <f>IF(VLOOKUP(A55,Schlußkurse!A5:AU70,47,FALSE)&gt;0,VLOOKUP(A55,Dividende_je_Aktie!A3:AM68,19,FALSE)/VLOOKUP(A55,Schlußkurse!A5:AU70,47,FALSE),"")</f>
        <v/>
      </c>
      <c r="P55" s="5">
        <f t="shared" si="2"/>
        <v>2.3261790418216043E-2</v>
      </c>
      <c r="Q55" s="5">
        <f ca="1">VLOOKUP(A55,Dividende_je_Aktie!A3:AM68,24,FALSE)/VLOOKUP(A55,Schlußkurse!A5:AU70,35,FALSE)</f>
        <v>2.9723253774900822E-2</v>
      </c>
      <c r="R55" s="5">
        <f t="shared" ca="1" si="1"/>
        <v>0.27777154038946561</v>
      </c>
    </row>
    <row r="56" spans="1:18" x14ac:dyDescent="0.25">
      <c r="A56" t="s">
        <v>104</v>
      </c>
      <c r="B56" t="s">
        <v>105</v>
      </c>
      <c r="C56" s="83">
        <f>IF(VLOOKUP(A56,Schlußkurse!A5:AU70,35,FALSE)&gt;0,VLOOKUP(A56,Dividende_je_Aktie!A3:AM68,7,FALSE)/VLOOKUP(A56,Schlußkurse!A5:AU70,35,FALSE),"")</f>
        <v>1.4643143544506817E-2</v>
      </c>
      <c r="D56" s="84">
        <f>IF(VLOOKUP(A56,Schlußkurse!A5:AU70,36,FALSE)&gt;0,VLOOKUP(A56,Dividende_je_Aktie!A3:AM68,8,FALSE)/VLOOKUP(A56,Schlußkurse!A5:AU70,36,FALSE),"")</f>
        <v>1.3199679230152367E-2</v>
      </c>
      <c r="E56" s="84">
        <f>IF(VLOOKUP(A56,Schlußkurse!A5:AU70,37,FALSE)&gt;0,VLOOKUP(A56,Dividende_je_Aktie!A3:AM68,9,FALSE)/VLOOKUP(A56,Schlußkurse!A5:AU70,37,FALSE),"")</f>
        <v>1.2683694891532541E-2</v>
      </c>
      <c r="F56" s="84">
        <f>IF(VLOOKUP(A56,Schlußkurse!A5:AU70,38,FALSE)&gt;0,VLOOKUP(A56,Dividende_je_Aktie!A3:AM68,10,FALSE)/VLOOKUP(A56,Schlußkurse!A5:AU70,38,FALSE),"")</f>
        <v>1.3513513513513514E-2</v>
      </c>
      <c r="G56" s="84">
        <f>IF(VLOOKUP(A56,Schlußkurse!A5:AU70,39,FALSE)&gt;0,VLOOKUP(A56,Dividende_je_Aktie!A3:AM68,11,FALSE)/VLOOKUP(A56,Schlußkurse!A5:AU70,39,FALSE),"")</f>
        <v>1.6659423439084456E-2</v>
      </c>
      <c r="H56" s="84">
        <f>IF(VLOOKUP(A56,Schlußkurse!A5:AU70,40,FALSE)&gt;0,VLOOKUP(A56,Dividende_je_Aktie!A3:AM68,12,FALSE)/VLOOKUP(A56,Schlußkurse!A5:AU70,40,FALSE),"")</f>
        <v>1.5928639694170119E-2</v>
      </c>
      <c r="I56" s="84">
        <f>IF(VLOOKUP(A56,Schlußkurse!A5:AU70,41,FALSE)&gt;0,VLOOKUP(A56,Dividende_je_Aktie!A3:AM68,13,FALSE)/VLOOKUP(A56,Schlußkurse!A5:AU70,41,FALSE),"")</f>
        <v>1.4950166112956811E-2</v>
      </c>
      <c r="J56" s="84">
        <f>IF(VLOOKUP(A56,Schlußkurse!A5:AU70,42,FALSE)&gt;0,VLOOKUP(A56,Dividende_je_Aktie!A3:AM68,14,FALSE)/VLOOKUP(A56,Schlußkurse!A5:AU70,42,FALSE),"")</f>
        <v>1.5744932099980319E-2</v>
      </c>
      <c r="K56" s="84">
        <f>IF(VLOOKUP(A56,Schlußkurse!A5:AU70,43,FALSE)&gt;0,VLOOKUP(A56,Dividende_je_Aktie!A3:AM68,15,FALSE)/VLOOKUP(A56,Schlußkurse!A5:AU70,43,FALSE),"")</f>
        <v>1.5929203539823009E-2</v>
      </c>
      <c r="L56" s="84">
        <f>IF(VLOOKUP(A56,Schlußkurse!A5:AU70,44,FALSE)&gt;0,VLOOKUP(A56,Dividende_je_Aktie!A3:AM68,16,FALSE)/VLOOKUP(A56,Schlußkurse!A5:AU70,44,FALSE),"")</f>
        <v>8.2977118430978131E-3</v>
      </c>
      <c r="M56" s="84">
        <f>IF(VLOOKUP(A56,Schlußkurse!A5:AU70,45,FALSE)&gt;0,VLOOKUP(A56,Dividende_je_Aktie!A3:AM68,17,FALSE)/VLOOKUP(A56,Schlußkurse!A5:AU70,45,FALSE),"")</f>
        <v>8.9576547231270363E-3</v>
      </c>
      <c r="N56" s="84">
        <f>IF(VLOOKUP(A56,Schlußkurse!A5:AU70,46,FALSE)&gt;0,VLOOKUP(A56,Dividende_je_Aktie!A3:AM68,18,FALSE)/VLOOKUP(A56,Schlußkurse!A5:AU70,46,FALSE),"")</f>
        <v>1.0250569476082005E-2</v>
      </c>
      <c r="O56" s="85">
        <f>IF(VLOOKUP(A56,Schlußkurse!A5:AU70,47,FALSE)&gt;0,VLOOKUP(A56,Dividende_je_Aktie!A3:AM68,19,FALSE)/VLOOKUP(A56,Schlußkurse!A5:AU70,47,FALSE),"")</f>
        <v>1.0810810810810811E-2</v>
      </c>
      <c r="P56" s="5">
        <f t="shared" si="2"/>
        <v>1.3197626378372126E-2</v>
      </c>
      <c r="Q56" s="5">
        <f ca="1">VLOOKUP(A56,Dividende_je_Aktie!A3:AM68,24,FALSE)/VLOOKUP(A56,Schlußkurse!A5:AU70,35,FALSE)</f>
        <v>1.3492381716118683E-2</v>
      </c>
      <c r="R56" s="5">
        <f t="shared" ca="1" si="1"/>
        <v>2.2333965919022702E-2</v>
      </c>
    </row>
    <row r="57" spans="1:18" x14ac:dyDescent="0.25">
      <c r="A57" t="s">
        <v>107</v>
      </c>
      <c r="B57" t="s">
        <v>108</v>
      </c>
      <c r="C57" s="83">
        <f>IF(VLOOKUP(A57,Schlußkurse!A5:AU70,35,FALSE)&gt;0,VLOOKUP(A57,Dividende_je_Aktie!A3:AM68,7,FALSE)/VLOOKUP(A57,Schlußkurse!A5:AU70,35,FALSE),"")</f>
        <v>1.4542107685227795E-2</v>
      </c>
      <c r="D57" s="84">
        <f>IF(VLOOKUP(A57,Schlußkurse!A5:AU70,36,FALSE)&gt;0,VLOOKUP(A57,Dividende_je_Aktie!A3:AM68,8,FALSE)/VLOOKUP(A57,Schlußkurse!A5:AU70,36,FALSE),"")</f>
        <v>1.325356649792913E-2</v>
      </c>
      <c r="E57" s="84">
        <f>IF(VLOOKUP(A57,Schlußkurse!A5:AU70,37,FALSE)&gt;0,VLOOKUP(A57,Dividende_je_Aktie!A3:AM68,9,FALSE)/VLOOKUP(A57,Schlußkurse!A5:AU70,37,FALSE),"")</f>
        <v>1.4761798255423843E-2</v>
      </c>
      <c r="F57" s="84">
        <f>IF(VLOOKUP(A57,Schlußkurse!A5:AU70,38,FALSE)&gt;0,VLOOKUP(A57,Dividende_je_Aktie!A3:AM68,10,FALSE)/VLOOKUP(A57,Schlußkurse!A5:AU70,38,FALSE),"")</f>
        <v>1.4470406831929782E-2</v>
      </c>
      <c r="G57" s="84">
        <f>IF(VLOOKUP(A57,Schlußkurse!A5:AU70,39,FALSE)&gt;0,VLOOKUP(A57,Dividende_je_Aktie!A3:AM68,11,FALSE)/VLOOKUP(A57,Schlußkurse!A5:AU70,39,FALSE),"")</f>
        <v>1.5273311897106108E-2</v>
      </c>
      <c r="H57" s="84">
        <f>IF(VLOOKUP(A57,Schlußkurse!A5:AU70,40,FALSE)&gt;0,VLOOKUP(A57,Dividende_je_Aktie!A3:AM68,12,FALSE)/VLOOKUP(A57,Schlußkurse!A5:AU70,40,FALSE),"")</f>
        <v>1.794124243103835E-2</v>
      </c>
      <c r="I57" s="84">
        <f>IF(VLOOKUP(A57,Schlußkurse!A5:AU70,41,FALSE)&gt;0,VLOOKUP(A57,Dividende_je_Aktie!A3:AM68,13,FALSE)/VLOOKUP(A57,Schlußkurse!A5:AU70,41,FALSE),"")</f>
        <v>1.5472225206833567E-2</v>
      </c>
      <c r="J57" s="84">
        <f>IF(VLOOKUP(A57,Schlußkurse!A5:AU70,42,FALSE)&gt;0,VLOOKUP(A57,Dividende_je_Aktie!A3:AM68,14,FALSE)/VLOOKUP(A57,Schlußkurse!A5:AU70,42,FALSE),"")</f>
        <v>1.4548449080428219E-2</v>
      </c>
      <c r="K57" s="84">
        <f>IF(VLOOKUP(A57,Schlußkurse!A5:AU70,43,FALSE)&gt;0,VLOOKUP(A57,Dividende_je_Aktie!A3:AM68,15,FALSE)/VLOOKUP(A57,Schlußkurse!A5:AU70,43,FALSE),"")</f>
        <v>2.3461708720672866E-2</v>
      </c>
      <c r="L57" s="84">
        <f>IF(VLOOKUP(A57,Schlußkurse!A5:AU70,44,FALSE)&gt;0,VLOOKUP(A57,Dividende_je_Aktie!A3:AM68,16,FALSE)/VLOOKUP(A57,Schlußkurse!A5:AU70,44,FALSE),"")</f>
        <v>1.3791308873276087E-2</v>
      </c>
      <c r="M57" s="84">
        <f>IF(VLOOKUP(A57,Schlußkurse!A5:AU70,45,FALSE)&gt;0,VLOOKUP(A57,Dividende_je_Aktie!A3:AM68,17,FALSE)/VLOOKUP(A57,Schlußkurse!A5:AU70,45,FALSE),"")</f>
        <v>1.3455328310010766E-2</v>
      </c>
      <c r="N57" s="84">
        <f>IF(VLOOKUP(A57,Schlußkurse!A5:AU70,46,FALSE)&gt;0,VLOOKUP(A57,Dividende_je_Aktie!A3:AM68,18,FALSE)/VLOOKUP(A57,Schlußkurse!A5:AU70,46,FALSE),"")</f>
        <v>1.5882371626319561E-2</v>
      </c>
      <c r="O57" s="85">
        <f>IF(VLOOKUP(A57,Schlußkurse!A5:AU70,47,FALSE)&gt;0,VLOOKUP(A57,Dividende_je_Aktie!A3:AM68,19,FALSE)/VLOOKUP(A57,Schlußkurse!A5:AU70,47,FALSE),"")</f>
        <v>2.0156281494189833E-2</v>
      </c>
      <c r="P57" s="5">
        <f t="shared" si="2"/>
        <v>1.5923854377721994E-2</v>
      </c>
      <c r="Q57" s="5">
        <f ca="1">VLOOKUP(A57,Dividende_je_Aktie!A3:AM68,24,FALSE)/VLOOKUP(A57,Schlußkurse!A5:AU70,35,FALSE)</f>
        <v>1.3514854016464692E-2</v>
      </c>
      <c r="R57" s="5">
        <f t="shared" ca="1" si="1"/>
        <v>-0.15128249129353843</v>
      </c>
    </row>
    <row r="58" spans="1:18" x14ac:dyDescent="0.25">
      <c r="A58" t="s">
        <v>109</v>
      </c>
      <c r="B58" t="s">
        <v>110</v>
      </c>
      <c r="C58" s="83">
        <f>IF(VLOOKUP(A58,Schlußkurse!A5:AU70,35,FALSE)&gt;0,VLOOKUP(A58,Dividende_je_Aktie!A3:AM68,7,FALSE)/VLOOKUP(A58,Schlußkurse!A5:AU70,35,FALSE),"")</f>
        <v>1.9213973799126635E-2</v>
      </c>
      <c r="D58" s="84">
        <f>IF(VLOOKUP(A58,Schlußkurse!A5:AU70,36,FALSE)&gt;0,VLOOKUP(A58,Dividende_je_Aktie!A3:AM68,8,FALSE)/VLOOKUP(A58,Schlußkurse!A5:AU70,36,FALSE),"")</f>
        <v>1.7409024745269289E-2</v>
      </c>
      <c r="E58" s="84">
        <f>IF(VLOOKUP(A58,Schlußkurse!A5:AU70,37,FALSE)&gt;0,VLOOKUP(A58,Dividende_je_Aktie!A3:AM68,9,FALSE)/VLOOKUP(A58,Schlußkurse!A5:AU70,37,FALSE),"")</f>
        <v>1.9382627422828428E-2</v>
      </c>
      <c r="F58" s="84">
        <f>IF(VLOOKUP(A58,Schlußkurse!A5:AU70,38,FALSE)&gt;0,VLOOKUP(A58,Dividende_je_Aktie!A3:AM68,10,FALSE)/VLOOKUP(A58,Schlußkurse!A5:AU70,38,FALSE),"")</f>
        <v>1.9577133907595929E-2</v>
      </c>
      <c r="G58" s="84">
        <f>IF(VLOOKUP(A58,Schlußkurse!A5:AU70,39,FALSE)&gt;0,VLOOKUP(A58,Dividende_je_Aktie!A3:AM68,11,FALSE)/VLOOKUP(A58,Schlußkurse!A5:AU70,39,FALSE),"")</f>
        <v>2.1925643469971397E-2</v>
      </c>
      <c r="H58" s="84">
        <f>IF(VLOOKUP(A58,Schlußkurse!A5:AU70,40,FALSE)&gt;0,VLOOKUP(A58,Dividende_je_Aktie!A3:AM68,12,FALSE)/VLOOKUP(A58,Schlußkurse!A5:AU70,40,FALSE),"")</f>
        <v>2.4783147459727383E-2</v>
      </c>
      <c r="I58" s="84">
        <f>IF(VLOOKUP(A58,Schlußkurse!A5:AU70,41,FALSE)&gt;0,VLOOKUP(A58,Dividende_je_Aktie!A3:AM68,13,FALSE)/VLOOKUP(A58,Schlußkurse!A5:AU70,41,FALSE),"")</f>
        <v>2.1665864227250843E-2</v>
      </c>
      <c r="J58" s="84">
        <f>IF(VLOOKUP(A58,Schlußkurse!A5:AU70,42,FALSE)&gt;0,VLOOKUP(A58,Dividende_je_Aktie!A3:AM68,14,FALSE)/VLOOKUP(A58,Schlußkurse!A5:AU70,42,FALSE),"")</f>
        <v>1.9230769230769232E-2</v>
      </c>
      <c r="K58" s="84">
        <f>IF(VLOOKUP(A58,Schlußkurse!A5:AU70,43,FALSE)&gt;0,VLOOKUP(A58,Dividende_je_Aktie!A3:AM68,15,FALSE)/VLOOKUP(A58,Schlußkurse!A5:AU70,43,FALSE),"")</f>
        <v>2.3113964686998396E-2</v>
      </c>
      <c r="L58" s="84">
        <f>IF(VLOOKUP(A58,Schlußkurse!A5:AU70,44,FALSE)&gt;0,VLOOKUP(A58,Dividende_je_Aktie!A3:AM68,16,FALSE)/VLOOKUP(A58,Schlußkurse!A5:AU70,44,FALSE),"")</f>
        <v>1.408450704225352E-2</v>
      </c>
      <c r="M58" s="84">
        <f>IF(VLOOKUP(A58,Schlußkurse!A5:AU70,45,FALSE)&gt;0,VLOOKUP(A58,Dividende_je_Aktie!A3:AM68,17,FALSE)/VLOOKUP(A58,Schlußkurse!A5:AU70,45,FALSE),"")</f>
        <v>1.5546772068511197E-2</v>
      </c>
      <c r="N58" s="84">
        <f>IF(VLOOKUP(A58,Schlußkurse!A5:AU70,46,FALSE)&gt;0,VLOOKUP(A58,Dividende_je_Aktie!A3:AM68,18,FALSE)/VLOOKUP(A58,Schlußkurse!A5:AU70,46,FALSE),"")</f>
        <v>1.5923566878980892E-2</v>
      </c>
      <c r="O58" s="85">
        <f>IF(VLOOKUP(A58,Schlußkurse!A5:AU70,47,FALSE)&gt;0,VLOOKUP(A58,Dividende_je_Aktie!A3:AM68,19,FALSE)/VLOOKUP(A58,Schlußkurse!A5:AU70,47,FALSE),"")</f>
        <v>1.4682184422560429E-2</v>
      </c>
      <c r="P58" s="5">
        <f t="shared" si="2"/>
        <v>1.896455225860335E-2</v>
      </c>
      <c r="Q58" s="5">
        <f ca="1">VLOOKUP(A58,Dividende_je_Aktie!A3:AM68,24,FALSE)/VLOOKUP(A58,Schlußkurse!A5:AU70,35,FALSE)</f>
        <v>1.7775028303412585E-2</v>
      </c>
      <c r="R58" s="5">
        <f t="shared" ca="1" si="1"/>
        <v>-6.2723545432037953E-2</v>
      </c>
    </row>
    <row r="59" spans="1:18" x14ac:dyDescent="0.25">
      <c r="A59" t="s">
        <v>111</v>
      </c>
      <c r="B59" t="s">
        <v>112</v>
      </c>
      <c r="C59" s="83">
        <f>IF(VLOOKUP(A59,Schlußkurse!A5:AU70,35,FALSE)&gt;0,VLOOKUP(A59,Dividende_je_Aktie!A3:AM68,7,FALSE)/VLOOKUP(A59,Schlußkurse!A5:AU70,35,FALSE),"")</f>
        <v>3.4954914839140601E-2</v>
      </c>
      <c r="D59" s="84">
        <f>IF(VLOOKUP(A59,Schlußkurse!A5:AU70,36,FALSE)&gt;0,VLOOKUP(A59,Dividende_je_Aktie!A3:AM68,8,FALSE)/VLOOKUP(A59,Schlußkurse!A5:AU70,36,FALSE),"")</f>
        <v>3.3619058221084269E-2</v>
      </c>
      <c r="E59" s="84">
        <f>IF(VLOOKUP(A59,Schlußkurse!A5:AU70,37,FALSE)&gt;0,VLOOKUP(A59,Dividende_je_Aktie!A3:AM68,9,FALSE)/VLOOKUP(A59,Schlußkurse!A5:AU70,37,FALSE),"")</f>
        <v>3.7007665873645255E-2</v>
      </c>
      <c r="F59" s="84">
        <f>IF(VLOOKUP(A59,Schlußkurse!A5:AU70,38,FALSE)&gt;0,VLOOKUP(A59,Dividende_je_Aktie!A3:AM68,10,FALSE)/VLOOKUP(A59,Schlußkurse!A5:AU70,38,FALSE),"")</f>
        <v>3.5918049792531118E-2</v>
      </c>
      <c r="G59" s="84">
        <f>IF(VLOOKUP(A59,Schlußkurse!A5:AU70,39,FALSE)&gt;0,VLOOKUP(A59,Dividende_je_Aktie!A3:AM68,11,FALSE)/VLOOKUP(A59,Schlußkurse!A5:AU70,39,FALSE),"")</f>
        <v>3.712004482420507E-2</v>
      </c>
      <c r="H59" s="84">
        <f>IF(VLOOKUP(A59,Schlußkurse!A5:AU70,40,FALSE)&gt;0,VLOOKUP(A59,Dividende_je_Aktie!A3:AM68,12,FALSE)/VLOOKUP(A59,Schlußkurse!A5:AU70,40,FALSE),"")</f>
        <v>4.405286343612335E-2</v>
      </c>
      <c r="I59" s="84">
        <f>IF(VLOOKUP(A59,Schlußkurse!A5:AU70,41,FALSE)&gt;0,VLOOKUP(A59,Dividende_je_Aktie!A3:AM68,13,FALSE)/VLOOKUP(A59,Schlußkurse!A5:AU70,41,FALSE),"")</f>
        <v>5.0156739811912224E-2</v>
      </c>
      <c r="J59" s="84">
        <f>IF(VLOOKUP(A59,Schlußkurse!A5:AU70,42,FALSE)&gt;0,VLOOKUP(A59,Dividende_je_Aktie!A3:AM68,14,FALSE)/VLOOKUP(A59,Schlußkurse!A5:AU70,42,FALSE),"")</f>
        <v>3.9956411187795131E-2</v>
      </c>
      <c r="K59" s="84">
        <f>IF(VLOOKUP(A59,Schlußkurse!A5:AU70,43,FALSE)&gt;0,VLOOKUP(A59,Dividende_je_Aktie!A3:AM68,15,FALSE)/VLOOKUP(A59,Schlußkurse!A5:AU70,43,FALSE),"")</f>
        <v>4.5594713656387661E-2</v>
      </c>
      <c r="L59" s="84">
        <f>IF(VLOOKUP(A59,Schlußkurse!A5:AU70,44,FALSE)&gt;0,VLOOKUP(A59,Dividende_je_Aktie!A3:AM68,16,FALSE)/VLOOKUP(A59,Schlußkurse!A5:AU70,44,FALSE),"")</f>
        <v>2.7786598920292158E-2</v>
      </c>
      <c r="M59" s="84">
        <f>IF(VLOOKUP(A59,Schlußkurse!A5:AU70,45,FALSE)&gt;0,VLOOKUP(A59,Dividende_je_Aktie!A3:AM68,17,FALSE)/VLOOKUP(A59,Schlußkurse!A5:AU70,45,FALSE),"")</f>
        <v>2.1729807005003574E-2</v>
      </c>
      <c r="N59" s="84">
        <f>IF(VLOOKUP(A59,Schlußkurse!A5:AU70,46,FALSE)&gt;0,VLOOKUP(A59,Dividende_je_Aktie!A3:AM68,18,FALSE)/VLOOKUP(A59,Schlußkurse!A5:AU70,46,FALSE),"")</f>
        <v>1.6216216216216217E-2</v>
      </c>
      <c r="O59" s="85">
        <f>IF(VLOOKUP(A59,Schlußkurse!A5:AU70,47,FALSE)&gt;0,VLOOKUP(A59,Dividende_je_Aktie!A3:AM68,19,FALSE)/VLOOKUP(A59,Schlußkurse!A5:AU70,47,FALSE),"")</f>
        <v>1.7346938775510204E-2</v>
      </c>
      <c r="P59" s="5">
        <f t="shared" si="2"/>
        <v>3.3958463273834373E-2</v>
      </c>
      <c r="Q59" s="5">
        <f ca="1">VLOOKUP(A59,Dividende_je_Aktie!A3:AM68,24,FALSE)/VLOOKUP(A59,Schlußkurse!A5:AU70,35,FALSE)</f>
        <v>3.3889940257523468E-2</v>
      </c>
      <c r="R59" s="5">
        <f t="shared" ca="1" si="1"/>
        <v>-2.0178479738128807E-3</v>
      </c>
    </row>
    <row r="60" spans="1:18" x14ac:dyDescent="0.25">
      <c r="A60" t="s">
        <v>113</v>
      </c>
      <c r="B60" t="s">
        <v>114</v>
      </c>
      <c r="C60" s="83">
        <f>IF(VLOOKUP(A60,Schlußkurse!A5:AU70,35,FALSE)&gt;0,VLOOKUP(A60,Dividende_je_Aktie!A3:AM68,7,FALSE)/VLOOKUP(A60,Schlußkurse!A5:AU70,35,FALSE),"")</f>
        <v>3.1008583690987121E-2</v>
      </c>
      <c r="D60" s="84">
        <f>IF(VLOOKUP(A60,Schlußkurse!A5:AU70,36,FALSE)&gt;0,VLOOKUP(A60,Dividende_je_Aktie!A3:AM68,8,FALSE)/VLOOKUP(A60,Schlußkurse!A5:AU70,36,FALSE),"")</f>
        <v>2.8969957081545067E-2</v>
      </c>
      <c r="E60" s="84">
        <f>IF(VLOOKUP(A60,Schlußkurse!A5:AU70,37,FALSE)&gt;0,VLOOKUP(A60,Dividende_je_Aktie!A3:AM68,9,FALSE)/VLOOKUP(A60,Schlußkurse!A5:AU70,37,FALSE),"")</f>
        <v>2.7867095391211148E-2</v>
      </c>
      <c r="F60" s="84">
        <f>IF(VLOOKUP(A60,Schlußkurse!A5:AU70,38,FALSE)&gt;0,VLOOKUP(A60,Dividende_je_Aktie!A3:AM68,10,FALSE)/VLOOKUP(A60,Schlußkurse!A5:AU70,38,FALSE),"")</f>
        <v>2.4999999999999998E-2</v>
      </c>
      <c r="G60" s="84">
        <f>IF(VLOOKUP(A60,Schlußkurse!A5:AU70,39,FALSE)&gt;0,VLOOKUP(A60,Dividende_je_Aktie!A3:AM68,11,FALSE)/VLOOKUP(A60,Schlußkurse!A5:AU70,39,FALSE),"")</f>
        <v>2.6796589524969546E-2</v>
      </c>
      <c r="H60" s="84">
        <f>IF(VLOOKUP(A60,Schlußkurse!A5:AU70,40,FALSE)&gt;0,VLOOKUP(A60,Dividende_je_Aktie!A3:AM68,12,FALSE)/VLOOKUP(A60,Schlußkurse!A5:AU70,40,FALSE),"")</f>
        <v>3.1421838177533384E-2</v>
      </c>
      <c r="I60" s="84">
        <f>IF(VLOOKUP(A60,Schlußkurse!A5:AU70,41,FALSE)&gt;0,VLOOKUP(A60,Dividende_je_Aktie!A3:AM68,13,FALSE)/VLOOKUP(A60,Schlußkurse!A5:AU70,41,FALSE),"")</f>
        <v>3.5849056603773584E-2</v>
      </c>
      <c r="J60" s="84">
        <f>IF(VLOOKUP(A60,Schlußkurse!A5:AU70,42,FALSE)&gt;0,VLOOKUP(A60,Dividende_je_Aktie!A3:AM68,14,FALSE)/VLOOKUP(A60,Schlußkurse!A5:AU70,42,FALSE),"")</f>
        <v>4.1308089500860581E-2</v>
      </c>
      <c r="K60" s="84">
        <f>IF(VLOOKUP(A60,Schlußkurse!A5:AU70,43,FALSE)&gt;0,VLOOKUP(A60,Dividende_je_Aktie!A3:AM68,15,FALSE)/VLOOKUP(A60,Schlußkurse!A5:AU70,43,FALSE),"")</f>
        <v>3.67965367965368E-2</v>
      </c>
      <c r="L60" s="84">
        <f>IF(VLOOKUP(A60,Schlußkurse!A5:AU70,44,FALSE)&gt;0,VLOOKUP(A60,Dividende_je_Aktie!A3:AM68,16,FALSE)/VLOOKUP(A60,Schlußkurse!A5:AU70,44,FALSE),"")</f>
        <v>3.1822565091610418E-2</v>
      </c>
      <c r="M60" s="84">
        <f>IF(VLOOKUP(A60,Schlußkurse!A5:AU70,45,FALSE)&gt;0,VLOOKUP(A60,Dividende_je_Aktie!A3:AM68,17,FALSE)/VLOOKUP(A60,Schlußkurse!A5:AU70,45,FALSE),"")</f>
        <v>3.4084661902144035E-2</v>
      </c>
      <c r="N60" s="84">
        <f>IF(VLOOKUP(A60,Schlußkurse!A5:AU70,46,FALSE)&gt;0,VLOOKUP(A60,Dividende_je_Aktie!A3:AM68,18,FALSE)/VLOOKUP(A60,Schlußkurse!A5:AU70,46,FALSE),"")</f>
        <v>3.6452004860267312E-2</v>
      </c>
      <c r="O60" s="85">
        <f>IF(VLOOKUP(A60,Schlußkurse!A5:AU70,47,FALSE)&gt;0,VLOOKUP(A60,Dividende_je_Aktie!A3:AM68,19,FALSE)/VLOOKUP(A60,Schlußkurse!A5:AU70,47,FALSE),"")</f>
        <v>3.7659717552118367E-2</v>
      </c>
      <c r="P60" s="5">
        <f t="shared" si="2"/>
        <v>3.2695130474889027E-2</v>
      </c>
      <c r="Q60" s="5">
        <f ca="1">VLOOKUP(A60,Dividende_je_Aktie!A3:AM68,24,FALSE)/VLOOKUP(A60,Schlußkurse!A5:AU70,35,FALSE)</f>
        <v>3.040832141154029E-2</v>
      </c>
      <c r="R60" s="5">
        <f t="shared" ca="1" si="1"/>
        <v>-6.9943414512600999E-2</v>
      </c>
    </row>
    <row r="61" spans="1:18" x14ac:dyDescent="0.25">
      <c r="A61" t="s">
        <v>115</v>
      </c>
      <c r="B61" t="s">
        <v>116</v>
      </c>
      <c r="C61" s="83">
        <f>IF(VLOOKUP(A61,Schlußkurse!A5:AU70,35,FALSE)&gt;0,VLOOKUP(A61,Dividende_je_Aktie!A3:AM68,7,FALSE)/VLOOKUP(A61,Schlußkurse!A5:AU70,35,FALSE),"")</f>
        <v>2.1632535165049597E-2</v>
      </c>
      <c r="D61" s="84">
        <f>IF(VLOOKUP(A61,Schlußkurse!A5:AU70,36,FALSE)&gt;0,VLOOKUP(A61,Dividende_je_Aktie!A3:AM68,8,FALSE)/VLOOKUP(A61,Schlußkurse!A5:AU70,36,FALSE),"")</f>
        <v>2.051361093237462E-2</v>
      </c>
      <c r="E61" s="84">
        <f>IF(VLOOKUP(A61,Schlußkurse!A5:AU70,37,FALSE)&gt;0,VLOOKUP(A61,Dividende_je_Aktie!A3:AM68,9,FALSE)/VLOOKUP(A61,Schlußkurse!A5:AU70,37,FALSE),"")</f>
        <v>2.1068768460254274E-2</v>
      </c>
      <c r="F61" s="84">
        <f>IF(VLOOKUP(A61,Schlußkurse!A5:AU70,38,FALSE)&gt;0,VLOOKUP(A61,Dividende_je_Aktie!A3:AM68,10,FALSE)/VLOOKUP(A61,Schlußkurse!A5:AU70,38,FALSE),"")</f>
        <v>1.9184790024942507E-2</v>
      </c>
      <c r="G61" s="84">
        <f>IF(VLOOKUP(A61,Schlußkurse!A5:AU70,39,FALSE)&gt;0,VLOOKUP(A61,Dividende_je_Aktie!A3:AM68,11,FALSE)/VLOOKUP(A61,Schlußkurse!A5:AU70,39,FALSE),"")</f>
        <v>2.2648306555630732E-2</v>
      </c>
      <c r="H61" s="84">
        <f>IF(VLOOKUP(A61,Schlußkurse!A5:AU70,40,FALSE)&gt;0,VLOOKUP(A61,Dividende_je_Aktie!A3:AM68,12,FALSE)/VLOOKUP(A61,Schlußkurse!A5:AU70,40,FALSE),"")</f>
        <v>2.2885979999207471E-2</v>
      </c>
      <c r="I61" s="84">
        <f>IF(VLOOKUP(A61,Schlußkurse!A5:AU70,41,FALSE)&gt;0,VLOOKUP(A61,Dividende_je_Aktie!A3:AM68,13,FALSE)/VLOOKUP(A61,Schlußkurse!A5:AU70,41,FALSE),"")</f>
        <v>2.3183169128310113E-2</v>
      </c>
      <c r="J61" s="84">
        <f>IF(VLOOKUP(A61,Schlußkurse!A5:AU70,42,FALSE)&gt;0,VLOOKUP(A61,Dividende_je_Aktie!A3:AM68,14,FALSE)/VLOOKUP(A61,Schlußkurse!A5:AU70,42,FALSE),"")</f>
        <v>3.9000466459027286E-2</v>
      </c>
      <c r="K61" s="84">
        <f>IF(VLOOKUP(A61,Schlußkurse!A5:AU70,43,FALSE)&gt;0,VLOOKUP(A61,Dividende_je_Aktie!A3:AM68,15,FALSE)/VLOOKUP(A61,Schlußkurse!A5:AU70,43,FALSE),"")</f>
        <v>2.6469282488944968E-2</v>
      </c>
      <c r="L61" s="84">
        <f>IF(VLOOKUP(A61,Schlußkurse!A5:AU70,44,FALSE)&gt;0,VLOOKUP(A61,Dividende_je_Aktie!A3:AM68,16,FALSE)/VLOOKUP(A61,Schlußkurse!A5:AU70,44,FALSE),"")</f>
        <v>2.2787260189722172E-2</v>
      </c>
      <c r="M61" s="84">
        <f>IF(VLOOKUP(A61,Schlußkurse!A5:AU70,45,FALSE)&gt;0,VLOOKUP(A61,Dividende_je_Aktie!A3:AM68,17,FALSE)/VLOOKUP(A61,Schlußkurse!A5:AU70,45,FALSE),"")</f>
        <v>0</v>
      </c>
      <c r="N61" s="84">
        <f>IF(VLOOKUP(A61,Schlußkurse!A5:AU70,46,FALSE)&gt;0,VLOOKUP(A61,Dividende_je_Aktie!A3:AM68,18,FALSE)/VLOOKUP(A61,Schlußkurse!A5:AU70,46,FALSE),"")</f>
        <v>0</v>
      </c>
      <c r="O61" s="85">
        <f>IF(VLOOKUP(A61,Schlußkurse!A5:AU70,47,FALSE)&gt;0,VLOOKUP(A61,Dividende_je_Aktie!A3:AM68,19,FALSE)/VLOOKUP(A61,Schlußkurse!A5:AU70,47,FALSE),"")</f>
        <v>0</v>
      </c>
      <c r="P61" s="5">
        <f t="shared" si="2"/>
        <v>1.8413397646420287E-2</v>
      </c>
      <c r="Q61" s="5">
        <f ca="1">VLOOKUP(A61,Dividende_je_Aktie!A3:AM68,24,FALSE)/VLOOKUP(A61,Schlußkurse!A5:AU70,35,FALSE)</f>
        <v>2.1579697076284387E-2</v>
      </c>
      <c r="R61" s="5">
        <f t="shared" ca="1" si="1"/>
        <v>0.17195628371603955</v>
      </c>
    </row>
    <row r="62" spans="1:18" x14ac:dyDescent="0.25">
      <c r="A62" t="s">
        <v>117</v>
      </c>
      <c r="B62" t="s">
        <v>118</v>
      </c>
      <c r="C62" s="83">
        <f>IF(VLOOKUP(A62,Schlußkurse!A5:AU70,35,FALSE)&gt;0,VLOOKUP(A62,Dividende_je_Aktie!A3:AM68,7,FALSE)/VLOOKUP(A62,Schlußkurse!A5:AU70,35,FALSE),"")</f>
        <v>5.1666666666666666E-2</v>
      </c>
      <c r="D62" s="84">
        <f>IF(VLOOKUP(A62,Schlußkurse!A5:AU70,36,FALSE)&gt;0,VLOOKUP(A62,Dividende_je_Aktie!A3:AM68,8,FALSE)/VLOOKUP(A62,Schlußkurse!A5:AU70,36,FALSE),"")</f>
        <v>5.1794871794871793E-2</v>
      </c>
      <c r="E62" s="84">
        <f>IF(VLOOKUP(A62,Schlußkurse!A5:AU70,37,FALSE)&gt;0,VLOOKUP(A62,Dividende_je_Aktie!A3:AM68,9,FALSE)/VLOOKUP(A62,Schlußkurse!A5:AU70,37,FALSE),"")</f>
        <v>5.8139534883720936E-2</v>
      </c>
      <c r="F62" s="84">
        <f>IF(VLOOKUP(A62,Schlußkurse!A5:AU70,38,FALSE)&gt;0,VLOOKUP(A62,Dividende_je_Aktie!A3:AM68,10,FALSE)/VLOOKUP(A62,Schlußkurse!A5:AU70,38,FALSE),"")</f>
        <v>4.8402109835556942E-2</v>
      </c>
      <c r="G62" s="84">
        <f>IF(VLOOKUP(A62,Schlußkurse!A5:AU70,39,FALSE)&gt;0,VLOOKUP(A62,Dividende_je_Aktie!A3:AM68,11,FALSE)/VLOOKUP(A62,Schlußkurse!A5:AU70,39,FALSE),"")</f>
        <v>5.5430711610486891E-2</v>
      </c>
      <c r="H62" s="84">
        <f>IF(VLOOKUP(A62,Schlußkurse!A5:AU70,40,FALSE)&gt;0,VLOOKUP(A62,Dividende_je_Aktie!A3:AM68,12,FALSE)/VLOOKUP(A62,Schlußkurse!A5:AU70,40,FALSE),"")</f>
        <v>4.7570506286102612E-2</v>
      </c>
      <c r="I62" s="84">
        <f>IF(VLOOKUP(A62,Schlußkurse!A5:AU70,41,FALSE)&gt;0,VLOOKUP(A62,Dividende_je_Aktie!A3:AM68,13,FALSE)/VLOOKUP(A62,Schlußkurse!A5:AU70,41,FALSE),"")</f>
        <v>5.2419354838709679E-2</v>
      </c>
      <c r="J62" s="84">
        <f>IF(VLOOKUP(A62,Schlußkurse!A5:AU70,42,FALSE)&gt;0,VLOOKUP(A62,Dividende_je_Aktie!A3:AM68,14,FALSE)/VLOOKUP(A62,Schlußkurse!A5:AU70,42,FALSE),"")</f>
        <v>4.6229632436528986E-2</v>
      </c>
      <c r="K62" s="84">
        <f>IF(VLOOKUP(A62,Schlußkurse!A5:AU70,43,FALSE)&gt;0,VLOOKUP(A62,Dividende_je_Aktie!A3:AM68,15,FALSE)/VLOOKUP(A62,Schlußkurse!A5:AU70,43,FALSE),"")</f>
        <v>4.4375243285325022E-2</v>
      </c>
      <c r="L62" s="84">
        <f>IF(VLOOKUP(A62,Schlußkurse!A5:AU70,44,FALSE)&gt;0,VLOOKUP(A62,Dividende_je_Aktie!A3:AM68,16,FALSE)/VLOOKUP(A62,Schlußkurse!A5:AU70,44,FALSE),"")</f>
        <v>4.1438623924941367E-2</v>
      </c>
      <c r="M62" s="84">
        <f>IF(VLOOKUP(A62,Schlußkurse!A5:AU70,45,FALSE)&gt;0,VLOOKUP(A62,Dividende_je_Aktie!A3:AM68,17,FALSE)/VLOOKUP(A62,Schlußkurse!A5:AU70,45,FALSE),"")</f>
        <v>3.5714285714285712E-2</v>
      </c>
      <c r="N62" s="84">
        <f>IF(VLOOKUP(A62,Schlußkurse!A5:AU70,46,FALSE)&gt;0,VLOOKUP(A62,Dividende_je_Aktie!A3:AM68,18,FALSE)/VLOOKUP(A62,Schlußkurse!A5:AU70,46,FALSE),"")</f>
        <v>2.9952348536419333E-2</v>
      </c>
      <c r="O62" s="85">
        <f>IF(VLOOKUP(A62,Schlußkurse!A5:AU70,47,FALSE)&gt;0,VLOOKUP(A62,Dividende_je_Aktie!A3:AM68,19,FALSE)/VLOOKUP(A62,Schlußkurse!A5:AU70,47,FALSE),"")</f>
        <v>3.4369885433715219E-2</v>
      </c>
      <c r="P62" s="5">
        <f t="shared" si="2"/>
        <v>4.5961828865179327E-2</v>
      </c>
      <c r="Q62" s="5">
        <f ca="1">VLOOKUP(A62,Dividende_je_Aktie!A3:AM68,24,FALSE)/VLOOKUP(A62,Schlußkurse!A5:AU70,35,FALSE)</f>
        <v>5.1768874643874641E-2</v>
      </c>
      <c r="R62" s="5">
        <f t="shared" ca="1" si="1"/>
        <v>0.12634496759755209</v>
      </c>
    </row>
    <row r="63" spans="1:18" x14ac:dyDescent="0.25">
      <c r="A63" t="s">
        <v>119</v>
      </c>
      <c r="B63" t="s">
        <v>120</v>
      </c>
      <c r="C63" s="83">
        <f>IF(VLOOKUP(A63,Schlußkurse!A5:AU70,35,FALSE)&gt;0,VLOOKUP(A63,Dividende_je_Aktie!A3:AM68,7,FALSE)/VLOOKUP(A63,Schlußkurse!A5:AU70,35,FALSE),"")</f>
        <v>2.3287671232876714E-2</v>
      </c>
      <c r="D63" s="84">
        <f>IF(VLOOKUP(A63,Schlußkurse!A5:AU70,36,FALSE)&gt;0,VLOOKUP(A63,Dividende_je_Aktie!A3:AM68,8,FALSE)/VLOOKUP(A63,Schlußkurse!A5:AU70,36,FALSE),"")</f>
        <v>2.1917808219178082E-2</v>
      </c>
      <c r="E63" s="84">
        <f>IF(VLOOKUP(A63,Schlußkurse!A5:AU70,37,FALSE)&gt;0,VLOOKUP(A63,Dividende_je_Aktie!A3:AM68,9,FALSE)/VLOOKUP(A63,Schlußkurse!A5:AU70,37,FALSE),"")</f>
        <v>2.6103646833013437E-2</v>
      </c>
      <c r="F63" s="84">
        <f>IF(VLOOKUP(A63,Schlußkurse!A5:AU70,38,FALSE)&gt;0,VLOOKUP(A63,Dividende_je_Aktie!A3:AM68,10,FALSE)/VLOOKUP(A63,Schlußkurse!A5:AU70,38,FALSE),"")</f>
        <v>2.9407894581498832E-2</v>
      </c>
      <c r="G63" s="84">
        <f>IF(VLOOKUP(A63,Schlußkurse!A5:AU70,39,FALSE)&gt;0,VLOOKUP(A63,Dividende_je_Aktie!A3:AM68,11,FALSE)/VLOOKUP(A63,Schlußkurse!A5:AU70,39,FALSE),"")</f>
        <v>3.5541503989135977E-2</v>
      </c>
      <c r="H63" s="84">
        <f>IF(VLOOKUP(A63,Schlußkurse!A5:AU70,40,FALSE)&gt;0,VLOOKUP(A63,Dividende_je_Aktie!A3:AM68,12,FALSE)/VLOOKUP(A63,Schlußkurse!A5:AU70,40,FALSE),"")</f>
        <v>4.0442093554533251E-2</v>
      </c>
      <c r="I63" s="84">
        <f>IF(VLOOKUP(A63,Schlußkurse!A5:AU70,41,FALSE)&gt;0,VLOOKUP(A63,Dividende_je_Aktie!A3:AM68,13,FALSE)/VLOOKUP(A63,Schlußkurse!A5:AU70,41,FALSE),"")</f>
        <v>3.3565215462414838E-2</v>
      </c>
      <c r="J63" s="84">
        <f>IF(VLOOKUP(A63,Schlußkurse!A5:AU70,42,FALSE)&gt;0,VLOOKUP(A63,Dividende_je_Aktie!A3:AM68,14,FALSE)/VLOOKUP(A63,Schlußkurse!A5:AU70,42,FALSE),"")</f>
        <v>3.0656941467314798E-2</v>
      </c>
      <c r="K63" s="84">
        <f>IF(VLOOKUP(A63,Schlußkurse!A5:AU70,43,FALSE)&gt;0,VLOOKUP(A63,Dividende_je_Aktie!A3:AM68,15,FALSE)/VLOOKUP(A63,Schlußkurse!A5:AU70,43,FALSE),"")</f>
        <v>2.4743406879784557E-2</v>
      </c>
      <c r="L63" s="84">
        <f>IF(VLOOKUP(A63,Schlußkurse!A5:AU70,44,FALSE)&gt;0,VLOOKUP(A63,Dividende_je_Aktie!A3:AM68,16,FALSE)/VLOOKUP(A63,Schlußkurse!A5:AU70,44,FALSE),"")</f>
        <v>1.7653515856564477E-2</v>
      </c>
      <c r="M63" s="84">
        <f>IF(VLOOKUP(A63,Schlußkurse!A5:AU70,45,FALSE)&gt;0,VLOOKUP(A63,Dividende_je_Aktie!A3:AM68,17,FALSE)/VLOOKUP(A63,Schlußkurse!A5:AU70,45,FALSE),"")</f>
        <v>0</v>
      </c>
      <c r="N63" s="84">
        <f>IF(VLOOKUP(A63,Schlußkurse!A5:AU70,46,FALSE)&gt;0,VLOOKUP(A63,Dividende_je_Aktie!A3:AM68,18,FALSE)/VLOOKUP(A63,Schlußkurse!A5:AU70,46,FALSE),"")</f>
        <v>0</v>
      </c>
      <c r="O63" s="85">
        <f>IF(VLOOKUP(A63,Schlußkurse!A5:AU70,47,FALSE)&gt;0,VLOOKUP(A63,Dividende_je_Aktie!A3:AM68,19,FALSE)/VLOOKUP(A63,Schlußkurse!A5:AU70,47,FALSE),"")</f>
        <v>0</v>
      </c>
      <c r="P63" s="5">
        <f t="shared" si="2"/>
        <v>2.1793822928947305E-2</v>
      </c>
      <c r="Q63" s="5">
        <f ca="1">VLOOKUP(A63,Dividende_je_Aktie!A3:AM68,24,FALSE)/VLOOKUP(A63,Schlußkurse!A5:AU70,35,FALSE)</f>
        <v>2.2195585996955858E-2</v>
      </c>
      <c r="R63" s="5">
        <f t="shared" ca="1" si="1"/>
        <v>1.8434722045709506E-2</v>
      </c>
    </row>
    <row r="64" spans="1:18" x14ac:dyDescent="0.25">
      <c r="A64" t="s">
        <v>121</v>
      </c>
      <c r="B64" t="s">
        <v>122</v>
      </c>
      <c r="C64" s="83">
        <f>IF(VLOOKUP(A64,Schlußkurse!A5:AU70,35,FALSE)&gt;0,VLOOKUP(A64,Dividende_je_Aktie!A3:AM68,7,FALSE)/VLOOKUP(A64,Schlußkurse!A5:AU70,35,FALSE),"")</f>
        <v>4.5534150612959713E-2</v>
      </c>
      <c r="D64" s="84">
        <f>IF(VLOOKUP(A64,Schlußkurse!A5:AU70,36,FALSE)&gt;0,VLOOKUP(A64,Dividende_je_Aktie!A3:AM68,8,FALSE)/VLOOKUP(A64,Schlußkurse!A5:AU70,36,FALSE),"")</f>
        <v>4.2420704417201791E-2</v>
      </c>
      <c r="E64" s="84">
        <f>IF(VLOOKUP(A64,Schlußkurse!A5:AU70,37,FALSE)&gt;0,VLOOKUP(A64,Dividende_je_Aktie!A3:AM68,9,FALSE)/VLOOKUP(A64,Schlußkurse!A5:AU70,37,FALSE),"")</f>
        <v>3.4503754820377507E-2</v>
      </c>
      <c r="F64" s="84">
        <f>IF(VLOOKUP(A64,Schlußkurse!A5:AU70,38,FALSE)&gt;0,VLOOKUP(A64,Dividende_je_Aktie!A3:AM68,10,FALSE)/VLOOKUP(A64,Schlußkurse!A5:AU70,38,FALSE),"")</f>
        <v>4.7929148215681165E-2</v>
      </c>
      <c r="G64" s="84">
        <f>IF(VLOOKUP(A64,Schlußkurse!A5:AU70,39,FALSE)&gt;0,VLOOKUP(A64,Dividende_je_Aktie!A3:AM68,11,FALSE)/VLOOKUP(A64,Schlußkurse!A5:AU70,39,FALSE),"")</f>
        <v>5.407124681933842E-2</v>
      </c>
      <c r="H64" s="84">
        <f>IF(VLOOKUP(A64,Schlußkurse!A5:AU70,40,FALSE)&gt;0,VLOOKUP(A64,Dividende_je_Aktie!A3:AM68,12,FALSE)/VLOOKUP(A64,Schlußkurse!A5:AU70,40,FALSE),"")</f>
        <v>5.3288364249578418E-2</v>
      </c>
      <c r="I64" s="84">
        <f>IF(VLOOKUP(A64,Schlußkurse!A5:AU70,41,FALSE)&gt;0,VLOOKUP(A64,Dividende_je_Aktie!A3:AM68,13,FALSE)/VLOOKUP(A64,Schlußkurse!A5:AU70,41,FALSE),"")</f>
        <v>5.9301380991064169E-2</v>
      </c>
      <c r="J64" s="84">
        <f>IF(VLOOKUP(A64,Schlußkurse!A5:AU70,42,FALSE)&gt;0,VLOOKUP(A64,Dividende_je_Aktie!A3:AM68,14,FALSE)/VLOOKUP(A64,Schlußkurse!A5:AU70,42,FALSE),"")</f>
        <v>6.7244014263881824E-2</v>
      </c>
      <c r="K64" s="84">
        <f>IF(VLOOKUP(A64,Schlußkurse!A5:AU70,43,FALSE)&gt;0,VLOOKUP(A64,Dividende_je_Aktie!A3:AM68,15,FALSE)/VLOOKUP(A64,Schlußkurse!A5:AU70,43,FALSE),"")</f>
        <v>0.11154011154011155</v>
      </c>
      <c r="L64" s="84">
        <f>IF(VLOOKUP(A64,Schlußkurse!A5:AU70,44,FALSE)&gt;0,VLOOKUP(A64,Dividende_je_Aktie!A3:AM68,16,FALSE)/VLOOKUP(A64,Schlußkurse!A5:AU70,44,FALSE),"")</f>
        <v>3.9289289289289292E-2</v>
      </c>
      <c r="M64" s="84">
        <f>IF(VLOOKUP(A64,Schlußkurse!A5:AU70,45,FALSE)&gt;0,VLOOKUP(A64,Dividende_je_Aktie!A3:AM68,17,FALSE)/VLOOKUP(A64,Schlußkurse!A5:AU70,45,FALSE),"")</f>
        <v>3.7112760567136312E-2</v>
      </c>
      <c r="N64" s="84">
        <f>IF(VLOOKUP(A64,Schlußkurse!A5:AU70,46,FALSE)&gt;0,VLOOKUP(A64,Dividende_je_Aktie!A3:AM68,18,FALSE)/VLOOKUP(A64,Schlußkurse!A5:AU70,46,FALSE),"")</f>
        <v>3.9266725742135578E-2</v>
      </c>
      <c r="O64" s="85">
        <f>IF(VLOOKUP(A64,Schlußkurse!A5:AU70,47,FALSE)&gt;0,VLOOKUP(A64,Dividende_je_Aktie!A3:AM68,19,FALSE)/VLOOKUP(A64,Schlußkurse!A5:AU70,47,FALSE),"")</f>
        <v>4.6496240601503758E-2</v>
      </c>
      <c r="P64" s="5">
        <f t="shared" si="2"/>
        <v>5.2153684010019956E-2</v>
      </c>
      <c r="Q64" s="5">
        <f ca="1">VLOOKUP(A64,Dividende_je_Aktie!A3:AM68,24,FALSE)/VLOOKUP(A64,Schlußkurse!A5:AU70,35,FALSE)</f>
        <v>4.3052042118008269E-2</v>
      </c>
      <c r="R64" s="5">
        <f t="shared" ca="1" si="1"/>
        <v>-0.17451580007776724</v>
      </c>
    </row>
    <row r="65" spans="1:18" x14ac:dyDescent="0.25">
      <c r="A65" t="s">
        <v>123</v>
      </c>
      <c r="B65" t="s">
        <v>124</v>
      </c>
      <c r="C65" s="83">
        <f>IF(VLOOKUP(A65,Schlußkurse!A5:AU70,35,FALSE)&gt;0,VLOOKUP(A65,Dividende_je_Aktie!A3:AM68,7,FALSE)/VLOOKUP(A65,Schlußkurse!A5:AU70,35,FALSE),"")</f>
        <v>1.3019891500904159E-2</v>
      </c>
      <c r="D65" s="84">
        <f>IF(VLOOKUP(A65,Schlußkurse!A5:AU70,36,FALSE)&gt;0,VLOOKUP(A65,Dividende_je_Aktie!A3:AM68,8,FALSE)/VLOOKUP(A65,Schlußkurse!A5:AU70,36,FALSE),"")</f>
        <v>1.1030741410488246E-2</v>
      </c>
      <c r="E65" s="84">
        <f>IF(VLOOKUP(A65,Schlußkurse!A5:AU70,37,FALSE)&gt;0,VLOOKUP(A65,Dividende_je_Aktie!A3:AM68,9,FALSE)/VLOOKUP(A65,Schlußkurse!A5:AU70,37,FALSE),"")</f>
        <v>8.9269773254775937E-3</v>
      </c>
      <c r="F65" s="84">
        <f>IF(VLOOKUP(A65,Schlußkurse!A5:AU70,38,FALSE)&gt;0,VLOOKUP(A65,Dividende_je_Aktie!A3:AM68,10,FALSE)/VLOOKUP(A65,Schlußkurse!A5:AU70,38,FALSE),"")</f>
        <v>3.9177277179236044E-3</v>
      </c>
      <c r="G65" s="84">
        <f>IF(VLOOKUP(A65,Schlußkurse!A5:AU70,39,FALSE)&gt;0,VLOOKUP(A65,Dividende_je_Aktie!A3:AM68,11,FALSE)/VLOOKUP(A65,Schlußkurse!A5:AU70,39,FALSE),"")</f>
        <v>0</v>
      </c>
      <c r="H65" s="84">
        <f>IF(VLOOKUP(A65,Schlußkurse!A5:AU70,40,FALSE)&gt;0,VLOOKUP(A65,Dividende_je_Aktie!A3:AM68,12,FALSE)/VLOOKUP(A65,Schlußkurse!A5:AU70,40,FALSE),"")</f>
        <v>0</v>
      </c>
      <c r="I65" s="84">
        <f>IF(VLOOKUP(A65,Schlußkurse!A5:AU70,41,FALSE)&gt;0,VLOOKUP(A65,Dividende_je_Aktie!A3:AM68,13,FALSE)/VLOOKUP(A65,Schlußkurse!A5:AU70,41,FALSE),"")</f>
        <v>0</v>
      </c>
      <c r="J65" s="84">
        <f>IF(VLOOKUP(A65,Schlußkurse!A5:AU70,42,FALSE)&gt;0,VLOOKUP(A65,Dividende_je_Aktie!A3:AM68,14,FALSE)/VLOOKUP(A65,Schlußkurse!A5:AU70,42,FALSE),"")</f>
        <v>0</v>
      </c>
      <c r="K65" s="84">
        <f>IF(VLOOKUP(A65,Schlußkurse!A5:AU70,43,FALSE)&gt;0,VLOOKUP(A65,Dividende_je_Aktie!A3:AM68,15,FALSE)/VLOOKUP(A65,Schlußkurse!A5:AU70,43,FALSE),"")</f>
        <v>0.26751592356687898</v>
      </c>
      <c r="L65" s="84">
        <f>IF(VLOOKUP(A65,Schlußkurse!A5:AU70,44,FALSE)&gt;0,VLOOKUP(A65,Dividende_je_Aktie!A3:AM68,16,FALSE)/VLOOKUP(A65,Schlußkurse!A5:AU70,44,FALSE),"")</f>
        <v>1.3207547169811321E-2</v>
      </c>
      <c r="M65" s="84">
        <f>IF(VLOOKUP(A65,Schlußkurse!A5:AU70,45,FALSE)&gt;0,VLOOKUP(A65,Dividende_je_Aktie!A3:AM68,17,FALSE)/VLOOKUP(A65,Schlußkurse!A5:AU70,45,FALSE),"")</f>
        <v>9.0617593754356626E-3</v>
      </c>
      <c r="N65" s="84">
        <f>IF(VLOOKUP(A65,Schlußkurse!A5:AU70,46,FALSE)&gt;0,VLOOKUP(A65,Dividende_je_Aktie!A3:AM68,18,FALSE)/VLOOKUP(A65,Schlußkurse!A5:AU70,46,FALSE),"")</f>
        <v>9.2334750109922328E-3</v>
      </c>
      <c r="O65" s="85">
        <f>IF(VLOOKUP(A65,Schlußkurse!A5:AU70,47,FALSE)&gt;0,VLOOKUP(A65,Dividende_je_Aktie!A3:AM68,19,FALSE)/VLOOKUP(A65,Schlußkurse!A5:AU70,47,FALSE),"")</f>
        <v>4.2637429572102937E-3</v>
      </c>
      <c r="P65" s="5">
        <f t="shared" si="2"/>
        <v>2.6167522002701702E-2</v>
      </c>
      <c r="Q65" s="5">
        <f ca="1">VLOOKUP(A65,Dividende_je_Aktie!A3:AM68,24,FALSE)/VLOOKUP(A65,Schlußkurse!A5:AU70,35,FALSE)</f>
        <v>1.1434096845489251E-2</v>
      </c>
      <c r="R65" s="5">
        <f t="shared" ca="1" si="1"/>
        <v>-0.56304242930191395</v>
      </c>
    </row>
    <row r="66" spans="1:18" x14ac:dyDescent="0.25">
      <c r="A66" t="s">
        <v>125</v>
      </c>
      <c r="B66" t="s">
        <v>126</v>
      </c>
      <c r="C66" s="83">
        <f>IF(VLOOKUP(A66,Schlußkurse!A5:AU70,35,FALSE)&gt;0,VLOOKUP(A66,Dividende_je_Aktie!A3:AM68,7,FALSE)/VLOOKUP(A66,Schlußkurse!A5:AU70,35,FALSE),"")</f>
        <v>2.6105400554739762E-2</v>
      </c>
      <c r="D66" s="84">
        <f>IF(VLOOKUP(A66,Schlußkurse!A5:AU70,36,FALSE)&gt;0,VLOOKUP(A66,Dividende_je_Aktie!A3:AM68,8,FALSE)/VLOOKUP(A66,Schlußkurse!A5:AU70,36,FALSE),"")</f>
        <v>2.3658019252732906E-2</v>
      </c>
      <c r="E66" s="84">
        <f>IF(VLOOKUP(A66,Schlußkurse!A5:AU70,37,FALSE)&gt;0,VLOOKUP(A66,Dividende_je_Aktie!A3:AM68,9,FALSE)/VLOOKUP(A66,Schlußkurse!A5:AU70,37,FALSE),"")</f>
        <v>2.1590781966662937E-2</v>
      </c>
      <c r="F66" s="84">
        <f>IF(VLOOKUP(A66,Schlußkurse!A5:AU70,38,FALSE)&gt;0,VLOOKUP(A66,Dividende_je_Aktie!A3:AM68,10,FALSE)/VLOOKUP(A66,Schlußkurse!A5:AU70,38,FALSE),"")</f>
        <v>2.1234240212342399E-2</v>
      </c>
      <c r="G66" s="84">
        <f>IF(VLOOKUP(A66,Schlußkurse!A5:AU70,39,FALSE)&gt;0,VLOOKUP(A66,Dividende_je_Aktie!A3:AM68,11,FALSE)/VLOOKUP(A66,Schlußkurse!A5:AU70,39,FALSE),"")</f>
        <v>2.9026171931691741E-2</v>
      </c>
      <c r="H66" s="84">
        <f>IF(VLOOKUP(A66,Schlußkurse!A5:AU70,40,FALSE)&gt;0,VLOOKUP(A66,Dividende_je_Aktie!A3:AM68,12,FALSE)/VLOOKUP(A66,Schlußkurse!A5:AU70,40,FALSE),"")</f>
        <v>3.0857271095152603E-2</v>
      </c>
      <c r="I66" s="84">
        <f>IF(VLOOKUP(A66,Schlußkurse!A5:AU70,41,FALSE)&gt;0,VLOOKUP(A66,Dividende_je_Aktie!A3:AM68,13,FALSE)/VLOOKUP(A66,Schlußkurse!A5:AU70,41,FALSE),"")</f>
        <v>2.0988561234127401E-2</v>
      </c>
      <c r="J66" s="84">
        <f>IF(VLOOKUP(A66,Schlußkurse!A5:AU70,42,FALSE)&gt;0,VLOOKUP(A66,Dividende_je_Aktie!A3:AM68,14,FALSE)/VLOOKUP(A66,Schlußkurse!A5:AU70,42,FALSE),"")</f>
        <v>1.3436692506459949E-2</v>
      </c>
      <c r="K66" s="84">
        <f>IF(VLOOKUP(A66,Schlußkurse!A5:AU70,43,FALSE)&gt;0,VLOOKUP(A66,Dividende_je_Aktie!A3:AM68,15,FALSE)/VLOOKUP(A66,Schlußkurse!A5:AU70,43,FALSE),"")</f>
        <v>2.3257547521431235E-2</v>
      </c>
      <c r="L66" s="84">
        <f>IF(VLOOKUP(A66,Schlußkurse!A5:AU70,44,FALSE)&gt;0,VLOOKUP(A66,Dividende_je_Aktie!A3:AM68,16,FALSE)/VLOOKUP(A66,Schlußkurse!A5:AU70,44,FALSE),"")</f>
        <v>0</v>
      </c>
      <c r="M66" s="84">
        <f>IF(VLOOKUP(A66,Schlußkurse!A5:AU70,45,FALSE)&gt;0,VLOOKUP(A66,Dividende_je_Aktie!A3:AM68,17,FALSE)/VLOOKUP(A66,Schlußkurse!A5:AU70,45,FALSE),"")</f>
        <v>0</v>
      </c>
      <c r="N66" s="84">
        <f>IF(VLOOKUP(A66,Schlußkurse!A5:AU70,46,FALSE)&gt;0,VLOOKUP(A66,Dividende_je_Aktie!A3:AM68,18,FALSE)/VLOOKUP(A66,Schlußkurse!A5:AU70,46,FALSE),"")</f>
        <v>0</v>
      </c>
      <c r="O66" s="85">
        <f>IF(VLOOKUP(A66,Schlußkurse!A5:AU70,47,FALSE)&gt;0,VLOOKUP(A66,Dividende_je_Aktie!A3:AM68,19,FALSE)/VLOOKUP(A66,Schlußkurse!A5:AU70,47,FALSE),"")</f>
        <v>0</v>
      </c>
      <c r="P66" s="5">
        <f t="shared" si="2"/>
        <v>1.6165745098103149E-2</v>
      </c>
      <c r="Q66" s="5">
        <f ca="1">VLOOKUP(A66,Dividende_je_Aktie!A3:AM68,24,FALSE)/VLOOKUP(A66,Schlußkurse!A5:AU70,35,FALSE)</f>
        <v>2.4154293794528742E-2</v>
      </c>
      <c r="R66" s="5">
        <f t="shared" ca="1" si="1"/>
        <v>0.49416520228089889</v>
      </c>
    </row>
    <row r="67" spans="1:18" x14ac:dyDescent="0.25">
      <c r="A67" t="s">
        <v>127</v>
      </c>
      <c r="B67" t="s">
        <v>128</v>
      </c>
      <c r="C67" s="83">
        <f>IF(VLOOKUP(A67,Schlußkurse!A5:AU70,35,FALSE)&gt;0,VLOOKUP(A67,Dividende_je_Aktie!A3:AM68,7,FALSE)/VLOOKUP(A67,Schlußkurse!A5:AU70,35,FALSE),"")</f>
        <v>3.3557046979865772E-2</v>
      </c>
      <c r="D67" s="84">
        <f>IF(VLOOKUP(A67,Schlußkurse!A5:AU70,36,FALSE)&gt;0,VLOOKUP(A67,Dividende_je_Aktie!A3:AM68,8,FALSE)/VLOOKUP(A67,Schlußkurse!A5:AU70,36,FALSE),"")</f>
        <v>3.1255992329817829E-2</v>
      </c>
      <c r="E67" s="84">
        <f>IF(VLOOKUP(A67,Schlußkurse!A5:AU70,37,FALSE)&gt;0,VLOOKUP(A67,Dividende_je_Aktie!A3:AM68,9,FALSE)/VLOOKUP(A67,Schlußkurse!A5:AU70,37,FALSE),"")</f>
        <v>2.8217731658474424E-2</v>
      </c>
      <c r="F67" s="84">
        <f>IF(VLOOKUP(A67,Schlußkurse!A5:AU70,38,FALSE)&gt;0,VLOOKUP(A67,Dividende_je_Aktie!A3:AM68,10,FALSE)/VLOOKUP(A67,Schlußkurse!A5:AU70,38,FALSE),"")</f>
        <v>2.8037383177570097E-2</v>
      </c>
      <c r="G67" s="84">
        <f>IF(VLOOKUP(A67,Schlußkurse!A5:AU70,39,FALSE)&gt;0,VLOOKUP(A67,Dividende_je_Aktie!A3:AM68,11,FALSE)/VLOOKUP(A67,Schlußkurse!A5:AU70,39,FALSE),"")</f>
        <v>3.1833007175472924E-2</v>
      </c>
      <c r="H67" s="84">
        <f>IF(VLOOKUP(A67,Schlußkurse!A5:AU70,40,FALSE)&gt;0,VLOOKUP(A67,Dividende_je_Aktie!A3:AM68,12,FALSE)/VLOOKUP(A67,Schlußkurse!A5:AU70,40,FALSE),"")</f>
        <v>2.8161931103847123E-2</v>
      </c>
      <c r="I67" s="84">
        <f>IF(VLOOKUP(A67,Schlußkurse!A5:AU70,41,FALSE)&gt;0,VLOOKUP(A67,Dividende_je_Aktie!A3:AM68,13,FALSE)/VLOOKUP(A67,Schlußkurse!A5:AU70,41,FALSE),"")</f>
        <v>2.6954934718517475E-2</v>
      </c>
      <c r="J67" s="84">
        <f>IF(VLOOKUP(A67,Schlußkurse!A5:AU70,42,FALSE)&gt;0,VLOOKUP(A67,Dividende_je_Aktie!A3:AM68,14,FALSE)/VLOOKUP(A67,Schlußkurse!A5:AU70,42,FALSE),"")</f>
        <v>3.3606877686596329E-2</v>
      </c>
      <c r="K67" s="84">
        <f>IF(VLOOKUP(A67,Schlußkurse!A5:AU70,43,FALSE)&gt;0,VLOOKUP(A67,Dividende_je_Aktie!A3:AM68,15,FALSE)/VLOOKUP(A67,Schlußkurse!A5:AU70,43,FALSE),"")</f>
        <v>2.5000000000000001E-2</v>
      </c>
      <c r="L67" s="84">
        <f>IF(VLOOKUP(A67,Schlußkurse!A5:AU70,44,FALSE)&gt;0,VLOOKUP(A67,Dividende_je_Aktie!A3:AM68,16,FALSE)/VLOOKUP(A67,Schlußkurse!A5:AU70,44,FALSE),"")</f>
        <v>2.3529411764705882E-2</v>
      </c>
      <c r="M67" s="84">
        <f>IF(VLOOKUP(A67,Schlußkurse!A5:AU70,45,FALSE)&gt;0,VLOOKUP(A67,Dividende_je_Aktie!A3:AM68,17,FALSE)/VLOOKUP(A67,Schlußkurse!A5:AU70,45,FALSE),"")</f>
        <v>2.5823858161495471E-2</v>
      </c>
      <c r="N67" s="84">
        <f>IF(VLOOKUP(A67,Schlußkurse!A5:AU70,46,FALSE)&gt;0,VLOOKUP(A67,Dividende_je_Aktie!A3:AM68,18,FALSE)/VLOOKUP(A67,Schlußkurse!A5:AU70,46,FALSE),"")</f>
        <v>2.5050505050505049E-2</v>
      </c>
      <c r="O67" s="85">
        <f>IF(VLOOKUP(A67,Schlußkurse!A5:AU70,47,FALSE)&gt;0,VLOOKUP(A67,Dividende_je_Aktie!A3:AM68,19,FALSE)/VLOOKUP(A67,Schlußkurse!A5:AU70,47,FALSE),"")</f>
        <v>2.3887079261672099E-2</v>
      </c>
      <c r="P67" s="5">
        <f t="shared" si="2"/>
        <v>2.8070443005272346E-2</v>
      </c>
      <c r="Q67" s="5">
        <f ca="1">VLOOKUP(A67,Dividende_je_Aktie!A3:AM68,24,FALSE)/VLOOKUP(A67,Schlußkurse!A5:AU70,35,FALSE)</f>
        <v>3.306487695749441E-2</v>
      </c>
      <c r="R67" s="5">
        <f t="shared" ca="1" si="1"/>
        <v>0.17792501355550328</v>
      </c>
    </row>
    <row r="68" spans="1:18" x14ac:dyDescent="0.25">
      <c r="A68" t="s">
        <v>129</v>
      </c>
      <c r="B68" t="s">
        <v>130</v>
      </c>
      <c r="C68" s="83">
        <f>IF(VLOOKUP(A68,Schlußkurse!A5:AU70,35,FALSE)&gt;0,VLOOKUP(A68,Dividende_je_Aktie!A3:AM68,7,FALSE)/VLOOKUP(A68,Schlußkurse!A5:AU70,35,FALSE),"")</f>
        <v>3.5353057944985347E-2</v>
      </c>
      <c r="D68" s="84">
        <f>IF(VLOOKUP(A68,Schlußkurse!A5:AU70,36,FALSE)&gt;0,VLOOKUP(A68,Dividende_je_Aktie!A3:AM68,8,FALSE)/VLOOKUP(A68,Schlußkurse!A5:AU70,36,FALSE),"")</f>
        <v>3.327346630116268E-2</v>
      </c>
      <c r="E68" s="84">
        <f>IF(VLOOKUP(A68,Schlußkurse!A5:AU70,37,FALSE)&gt;0,VLOOKUP(A68,Dividende_je_Aktie!A3:AM68,9,FALSE)/VLOOKUP(A68,Schlußkurse!A5:AU70,37,FALSE),"")</f>
        <v>2.9080837805089143E-2</v>
      </c>
      <c r="F68" s="84">
        <f>IF(VLOOKUP(A68,Schlußkurse!A5:AU70,38,FALSE)&gt;0,VLOOKUP(A68,Dividende_je_Aktie!A3:AM68,10,FALSE)/VLOOKUP(A68,Schlußkurse!A5:AU70,38,FALSE),"")</f>
        <v>3.1016657093624358E-2</v>
      </c>
      <c r="G68" s="84">
        <f>IF(VLOOKUP(A68,Schlußkurse!A5:AU70,39,FALSE)&gt;0,VLOOKUP(A68,Dividende_je_Aktie!A3:AM68,11,FALSE)/VLOOKUP(A68,Schlußkurse!A5:AU70,39,FALSE),"")</f>
        <v>3.5058628449603217E-2</v>
      </c>
      <c r="H68" s="84">
        <f>IF(VLOOKUP(A68,Schlußkurse!A5:AU70,40,FALSE)&gt;0,VLOOKUP(A68,Dividende_je_Aktie!A3:AM68,12,FALSE)/VLOOKUP(A68,Schlußkurse!A5:AU70,40,FALSE),"")</f>
        <v>3.8064165307232188E-2</v>
      </c>
      <c r="I68" s="84">
        <f>IF(VLOOKUP(A68,Schlußkurse!A5:AU70,41,FALSE)&gt;0,VLOOKUP(A68,Dividende_je_Aktie!A3:AM68,13,FALSE)/VLOOKUP(A68,Schlußkurse!A5:AU70,41,FALSE),"")</f>
        <v>4.1878172588832488E-2</v>
      </c>
      <c r="J68" s="84">
        <f>IF(VLOOKUP(A68,Schlußkurse!A5:AU70,42,FALSE)&gt;0,VLOOKUP(A68,Dividende_je_Aktie!A3:AM68,14,FALSE)/VLOOKUP(A68,Schlußkurse!A5:AU70,42,FALSE),"")</f>
        <v>3.7670695338251452E-2</v>
      </c>
      <c r="K68" s="84">
        <f>IF(VLOOKUP(A68,Schlußkurse!A5:AU70,43,FALSE)&gt;0,VLOOKUP(A68,Dividende_je_Aktie!A3:AM68,15,FALSE)/VLOOKUP(A68,Schlußkurse!A5:AU70,43,FALSE),"")</f>
        <v>4.3989381873340914E-2</v>
      </c>
      <c r="L68" s="84">
        <f>IF(VLOOKUP(A68,Schlußkurse!A5:AU70,44,FALSE)&gt;0,VLOOKUP(A68,Dividende_je_Aktie!A3:AM68,16,FALSE)/VLOOKUP(A68,Schlußkurse!A5:AU70,44,FALSE),"")</f>
        <v>3.0573983270839343E-2</v>
      </c>
      <c r="M68" s="84">
        <f>IF(VLOOKUP(A68,Schlußkurse!A5:AU70,45,FALSE)&gt;0,VLOOKUP(A68,Dividende_je_Aktie!A3:AM68,17,FALSE)/VLOOKUP(A68,Schlußkurse!A5:AU70,45,FALSE),"")</f>
        <v>2.8844738778513613E-2</v>
      </c>
      <c r="N68" s="84">
        <f>IF(VLOOKUP(A68,Schlußkurse!A5:AU70,46,FALSE)&gt;0,VLOOKUP(A68,Dividende_je_Aktie!A3:AM68,18,FALSE)/VLOOKUP(A68,Schlußkurse!A5:AU70,46,FALSE),"")</f>
        <v>2.967848309975268E-2</v>
      </c>
      <c r="O68" s="85">
        <f>IF(VLOOKUP(A68,Schlußkurse!A5:AU70,47,FALSE)&gt;0,VLOOKUP(A68,Dividende_je_Aktie!A3:AM68,19,FALSE)/VLOOKUP(A68,Schlußkurse!A5:AU70,47,FALSE),"")</f>
        <v>2.4312414526667679E-2</v>
      </c>
      <c r="P68" s="5">
        <f t="shared" ref="P68" si="3">AVERAGE(C68:O68)</f>
        <v>3.3753437105991928E-2</v>
      </c>
      <c r="Q68" s="5">
        <f ca="1">VLOOKUP(A68,Dividende_je_Aktie!A3:AM68,24,FALSE)/VLOOKUP(A68,Schlußkurse!A5:AU70,35,FALSE)</f>
        <v>3.3695161273382269E-2</v>
      </c>
      <c r="R68" s="5">
        <f t="shared" ref="R68" ca="1" si="4">(Q68/P68)-1</f>
        <v>-1.7265155079365657E-3</v>
      </c>
    </row>
  </sheetData>
  <autoFilter ref="A3:R3">
    <sortState ref="A4:S68">
      <sortCondition ref="B3"/>
    </sortState>
  </autoFilter>
  <mergeCells count="1">
    <mergeCell ref="C1:O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1</vt:i4>
      </vt:variant>
    </vt:vector>
  </HeadingPairs>
  <TitlesOfParts>
    <vt:vector size="14" baseType="lpstr">
      <vt:lpstr>Report_Unternehmen</vt:lpstr>
      <vt:lpstr>Bewertung</vt:lpstr>
      <vt:lpstr>Schlußkurse</vt:lpstr>
      <vt:lpstr>Buchwert_je_Aktie</vt:lpstr>
      <vt:lpstr>Ergebnis_je_Aktie_verwässert</vt:lpstr>
      <vt:lpstr>Dividende_je_Aktie</vt:lpstr>
      <vt:lpstr>Aktien_im_Umlauf_splitbereinigt</vt:lpstr>
      <vt:lpstr>KGV</vt:lpstr>
      <vt:lpstr>Dividendenrendite</vt:lpstr>
      <vt:lpstr>Ausschüttungsquote</vt:lpstr>
      <vt:lpstr>Bewertung_Stammdaten</vt:lpstr>
      <vt:lpstr>Bereinigung_offen</vt:lpstr>
      <vt:lpstr>Bereinigung</vt:lpstr>
      <vt:lpstr>Bewertung!_FilterDatenbank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2014-07-20T12:36:11Z</dcterms:created>
  <dcterms:modified xsi:type="dcterms:W3CDTF">2015-03-14T12:34:18Z</dcterms:modified>
</cp:coreProperties>
</file>